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58"/>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ФХД'!$O$66</definedName>
    <definedName name="B_FHD_CHECK_INDEX_2">'Показатели ФХД'!$O$68</definedName>
    <definedName name="B_FHD_COSTS_INDEX_1">'Показатели ФХД'!$H$65:$M$65</definedName>
    <definedName name="B_FHD_COSTS_INDEX_2">'Показатели ФХД'!$H$67:$M$67</definedName>
    <definedName name="B_FHD_DATA_TOP80_ACTIVITY">'Показатели ФХД'!$H$81:$M$81</definedName>
    <definedName name="B_FHD_diff_1">'Показатели ФХД'!$I$25:$I$27</definedName>
    <definedName name="B_FHD_FLAG_DIFFERENTIATION">'Показатели ФХД'!$H$24:$M$24</definedName>
    <definedName name="B_FHD_FLAG_INDEX_1">'Показатели ФХД'!$H$66:$M$66</definedName>
    <definedName name="B_FHD_FLAG_INDEX_2">'Показатели ФХД'!$H$68:$M$68</definedName>
    <definedName name="B_FHD_TKO_DATA_TOP80_ACTIVITY">'ТКО. Показатели ФХД'!$H$43:$M$43</definedName>
    <definedName name="B_FHD_TKO_diff_1">'ТКО. Показатели ФХД'!$I$10:$I$12</definedName>
    <definedName name="B_FHD_TKO_FLAG_DIFFERENTIATION">'ТКО. Показатели ФХД'!$H$9:$M$9</definedName>
    <definedName name="B_FHD_TKO_TRANS_DATA_TOP80_ACTIVITY">'ТКО. Транс. Показатели ФХД'!$H$35:$M$35</definedName>
    <definedName name="B_FHD_TKO_TRANS_diff_1">'ТКО. Транс. Показатели ФХД'!$I$10:$I$12</definedName>
    <definedName name="B_FHD_TKO_TRANS_FLAG_DIFFERENTIATION">'ТКО. Транс. Показатели ФХД'!$H$9:$M$9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&gt;20%'!$D$13:$S$50</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&gt;20%'!$V$11:$V$50</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ОТЭП'!$L$9:$R$9</definedName>
    <definedName name="B_OTEP_HEAT_DATA_TOP80_ACTIVITY">'Показатели ОТЭП'!$L$15:$R$15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территорий'!$E$24:$I$24</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Дифференциация!$I$12:$I$24</definedName>
    <definedName name="DIFFERENTIATION_AREA_ID">Дифференциация!$U$11:$U$25</definedName>
    <definedName name="DIFFERENTIATION_CheckC">Дифференциация!$D$12:$M$24</definedName>
    <definedName name="DIFFERENTIATION_fieldMarker">Дифференциация!$W$12:$W$24</definedName>
    <definedName name="DIFFERENTIATION_ID">TEHSHEET!$E$57</definedName>
    <definedName name="DIFFERENTIATION_ID_DIFF">Дифференциация!$O$12:$O$24</definedName>
    <definedName name="DIFFERENTIATION_SYSTEM">Дифференциация!$M$12:$M$24</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Дифференциация!$Q$12:$Q$24</definedName>
    <definedName name="DIFFERENTIATION_UNMERGE_SYSTEM">Дифференциация!$R$12:$R$24</definedName>
    <definedName name="DIFFERENTIATION_UNMERGE_VD">Дифференциация!$P$12:$P$24</definedName>
    <definedName name="DIFFERENTIATION_VD">Дифференциация!$E$12:$E$24</definedName>
    <definedName name="DIFFERENTIATION_VD_ID">Дифференциация!$V$11:$V$25</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Ограничения!$F$36:$Q$36</definedName>
    <definedName name="flag_Q_LIMIT_p4">Ограничения!$F$770:$Q$770</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Дифференциация!$G$12:$G$24</definedName>
    <definedName name="pDel_DIFFERENTIATION_SYSTEM">Дифференциация!$K$12:$K$24</definedName>
    <definedName name="pDel_DIFFERENTIATION_VD">Дифференциация!$C$12:$C$24</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территорий'!$C$12:$C$24</definedName>
    <definedName name="pDel_LT_MO">'Список территорий'!$D$11:$D$24</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ФХД'!$M$24</definedName>
    <definedName name="pIns_B_FHD_TKO_2">'ТКО. Показатели ФХД'!$F$34</definedName>
    <definedName name="pIns_B_FHD_TKO_DIFFERENTIATION">'ТКО. Показатели ФХД'!$M$9</definedName>
    <definedName name="pIns_B_FHD_TKO_TRANS_2">'ТКО. Транс. Показатели ФХД'!$F$29</definedName>
    <definedName name="pIns_B_FHD_TKO_TRANS_DIFFERENTIATION">'ТКО. Транс. Показатели ФХД'!$M$9</definedName>
    <definedName name="pIns_B_FHD20_DIFFERENTIATION">'Показатели ФХД &gt;20%'!$D$50</definedName>
    <definedName name="pIns_B_KNE_DIFFERENTIATION">'Показатели КНЭ'!$Q$6</definedName>
    <definedName name="pIns_B_OTEP_2">'Показатели ОТЭП'!$J$18</definedName>
    <definedName name="pIns_B_OTEP_DIFFERENTIATION">'Показатели ОТЭП'!$Q$9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территорий'!$G$24</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Ограничения!$E$769</definedName>
    <definedName name="pIns_Q_LIMIT_4">Ограничения!$E$781</definedName>
    <definedName name="pIns_Q_LIMIT_DIFFERENTIATION">Ограничения!$Q$25</definedName>
    <definedName name="pIns_Q_PH_DIFFERENTIATION">'Потребительские характеристики'!$Q$8</definedName>
    <definedName name="pIns_Q_TP_1">ТП!$E$22</definedName>
    <definedName name="pIns_Q_TP_DIFFERENTIATION">ТП!$L$8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Ограничения!$Q$26</definedName>
    <definedName name="pNote_Q_PH">'Потребительские характеристики'!$Q$9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Ограничения!$E$32:$Q$781</definedName>
    <definedName name="Q_LIMIT_diff_1">Ограничения!$I$26:$J$28</definedName>
    <definedName name="Q_LIMIT_p3">Ограничения!$F$36:$Q$769</definedName>
    <definedName name="Q_LIMIT_p4">Ограничения!$F$770:$Q$781</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ФХД'!$M$131</definedName>
    <definedName name="tblEnd_1_B_FHD_TKO">'ТКО. Показатели ФХД'!$M$47</definedName>
    <definedName name="tblEnd_1_B_FHD_TKO_TRANS">'ТКО. Транс. Показатели ФХД'!$M$38</definedName>
    <definedName name="tblEnd_1_B_KNE">'Показатели КНЭ'!$J$101</definedName>
    <definedName name="tblEnd_1_B_OTEP">'Показатели ОТЭП'!$Q$34</definedName>
    <definedName name="tblEnd_1_B_STANDARTS">'Стандарты качества'!$L$13</definedName>
    <definedName name="tblEnd_1_CHANGE_INFO">'Сведения об изменении'!$E$14</definedName>
    <definedName name="tblEnd_1_DIFFERENTIATION">Дифференциация!$M$25</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Ограничения!$Q$782</definedName>
    <definedName name="tblEnd_1_Q_PH">'Потребительские характеристики'!$Q$21</definedName>
    <definedName name="tblEnd_1_Q_TP">ТП!$L$23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территорий'!$I$25</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территорий'!$E$11:$I$24</definedName>
    <definedName name="TERRITORY_ID">TEHSHEET!$E$56</definedName>
    <definedName name="TERRITORY_LIST_ID">'Список территорий'!$F$11:$F$24</definedName>
    <definedName name="TERRITORY_MO_LIST">'Список территорий'!$H$11:$H$24</definedName>
    <definedName name="TERRITORY_MR_LIST">'Список территорий'!$G$11:$G$24</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Дифференциация!$F$12:$F$24</definedName>
    <definedName name="Y_N_DIFFERENTIATION_SYSTEM">Дифференциация!$J$12:$J$24</definedName>
    <definedName name="YEAR_IP_LIST">TEHSHEET!$BE$2:$BE$72</definedName>
    <definedName name="year_list">TEHSHEET!$C$2:$C$6</definedName>
    <definedName name="year_list1">TEHSHEET!$B$2:$B$27</definedName>
    <definedName name="REESTR_IP_RANGE">REESTR_IP!$A$2:$I$89</definedName>
    <definedName name="VD_LIST">REESTR_VED!$A$2:$B$11</definedName>
    <definedName name="VD_ID_LIST">REESTR_VED!$A$2:$A$11</definedName>
    <definedName name="VD_NAME_LIST">REESTR_VED!$B$2:$B$11</definedName>
    <definedName name="et_B_FHD20_1">et_union_hor!$127:$135</definedName>
    <definedName name="ter_5">'Список территорий'!$G$16:$I$16</definedName>
    <definedName name="ter_51">'Список территорий'!$G$19:$I$19</definedName>
    <definedName name="ter_511">'Список территорий'!$G$22:$I$22</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&gt;20%'!$H$23:$R$25</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Q_PH_diff_51">'Потребительские характеристики'!$M$9:$N$11</definedName>
    <definedName name="Q_TP_diff_51">ТП!$J$9:$J$11</definedName>
    <definedName name="Q_Limit_diff_51">Ограничения!$M$26:$N$28</definedName>
    <definedName name="B_FHD_diff_51">'Показатели ФХД'!$K$25:$K$27</definedName>
    <definedName name="B_OTEP_diff_51">'Показатели ОТЭП'!$O$10:$O$12</definedName>
    <definedName name="B_FHD20_diff_51">'Показатели ФХД &gt;20%'!$H$32:$R$34</definedName>
    <definedName name="B_KNE_diff_51">'Показатели КНЭ'!$M$7:$N$9</definedName>
    <definedName name="B_FHD_TKO_diff_51">'ТКО. Показатели ФХД'!$K$10:$K$12</definedName>
    <definedName name="B_FHD_TKO_TRANS_diff_51">'ТКО. Транс. Показатели ФХД'!$K$10:$K$12</definedName>
    <definedName name="Q_PH_diff_511">'Потребительские характеристики'!$O$9:$P$11</definedName>
    <definedName name="Q_TP_diff_511">ТП!$K$9:$K$11</definedName>
    <definedName name="Q_Limit_diff_511">Ограничения!$O$26:$P$28</definedName>
    <definedName name="B_FHD_diff_511">'Показатели ФХД'!$L$25:$L$27</definedName>
    <definedName name="B_OTEP_diff_511">'Показатели ОТЭП'!$P$10:$P$12</definedName>
    <definedName name="B_FHD20_diff_511">'Показатели ФХД &gt;20%'!$H$41:$R$43</definedName>
    <definedName name="B_KNE_diff_511">'Показатели КНЭ'!$O$7:$P$9</definedName>
    <definedName name="B_FHD_TKO_diff_511">'ТКО. Показатели ФХД'!$L$10:$L$12</definedName>
    <definedName name="B_FHD_TKO_TRANS_diff_511">'ТКО. Транс. Показатели ФХД'!$L$10:$L$12</definedName>
    <definedName name="DESCRIPTION_TERRITORY">REESTR_DS!$B$2:$B$5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<sst xmlns="http://schemas.openxmlformats.org/spreadsheetml/2006/main" count="32523" uniqueCount="5621">
  <si>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</si>
  <si>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</si>
  <si>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</si>
  <si>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</si>
  <si>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</si>
  <si>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</si>
  <si>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</si>
  <si>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</si>
  <si>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</si>
  <si>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</si>
  <si>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</si>
  <si>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</si>
  <si>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</si>
  <si>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31383902</t>
  </si>
  <si>
    <t>Flag_Row_Size</t>
  </si>
  <si>
    <t>Субъект РФ</t>
  </si>
  <si>
    <t>Республика Саха (Якутия)</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</si>
  <si>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</si>
  <si>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</si>
  <si>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</si>
  <si>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</si>
  <si>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</si>
  <si>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</si>
  <si>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</si>
  <si>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</si>
  <si>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</si>
  <si>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</si>
  <si>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</si>
  <si>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</si>
  <si>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</si>
  <si>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</si>
  <si>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</si>
  <si>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</si>
  <si>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</si>
  <si>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</si>
  <si>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</si>
  <si>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</si>
  <si>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</si>
  <si>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</si>
  <si>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</si>
  <si>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</si>
  <si>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</si>
  <si>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</si>
  <si>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</si>
  <si>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</si>
  <si>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</si>
  <si>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«ДГК» СП «Нерюнгринская ГРЭС»</t>
  </si>
  <si>
    <t>Наименование (описание) обособленного подразделения</t>
  </si>
  <si>
    <t>ИНН</t>
  </si>
  <si>
    <t>1434031363</t>
  </si>
  <si>
    <t>КПП</t>
  </si>
  <si>
    <t>143445001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</si>
  <si>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</si>
  <si>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</si>
  <si>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</si>
  <si>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</si>
  <si>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</si>
  <si>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</si>
  <si>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</si>
  <si>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</si>
  <si>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</si>
  <si>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</si>
  <si>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</si>
  <si>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</si>
  <si>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</si>
  <si>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</si>
  <si>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</si>
  <si>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</si>
  <si>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</si>
  <si>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</si>
  <si>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680000, г. Хабаровск, ул. Фрунзе, 49</t>
  </si>
  <si>
    <t>Фамилия, имя, отчество руководителя</t>
  </si>
  <si>
    <t>Иртов Сергей Викторович</t>
  </si>
  <si>
    <t>Ответственный за заполнение формы</t>
  </si>
  <si>
    <t>Фамилия, имя, отчество</t>
  </si>
  <si>
    <t xml:space="preserve">Старовецкая Анна Васильевна </t>
  </si>
  <si>
    <t>Должность</t>
  </si>
  <si>
    <t>главный специалист</t>
  </si>
  <si>
    <t>Контактный телефон</t>
  </si>
  <si>
    <t>8 (4212) 26-44-76</t>
  </si>
  <si>
    <t>E-mail</t>
  </si>
  <si>
    <t>starovetckaya-av@dgk.ru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</si>
  <si>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</si>
  <si>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</si>
  <si>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</si>
  <si>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</si>
  <si>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</si>
  <si>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</si>
  <si>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</si>
  <si>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</si>
  <si>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</si>
  <si>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</si>
  <si>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</si>
  <si>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</si>
  <si>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</si>
  <si>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</si>
  <si>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</si>
  <si>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</si>
  <si>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</si>
  <si>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234</t>
  </si>
  <si>
    <t>Нерюнгринский муниципальный район</t>
  </si>
  <si>
    <t>Город Нерюнгри</t>
  </si>
  <si>
    <t>98660101</t>
  </si>
  <si>
    <t>Добавить МО</t>
  </si>
  <si>
    <t>2</t>
  </si>
  <si>
    <t>×</t>
  </si>
  <si>
    <t>ter_5</t>
  </si>
  <si>
    <t>240</t>
  </si>
  <si>
    <t>Поселок Серебряный Бор</t>
  </si>
  <si>
    <t>98660158</t>
  </si>
  <si>
    <t>ter_51</t>
  </si>
  <si>
    <t>238</t>
  </si>
  <si>
    <t>Посёлок Беркакит</t>
  </si>
  <si>
    <t>98660152</t>
  </si>
  <si>
    <t>ter_511</t>
  </si>
  <si>
    <t>242</t>
  </si>
  <si>
    <t>Поселок Чульман</t>
  </si>
  <si>
    <t>98660165</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</si>
  <si>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</si>
  <si>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</si>
  <si>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</si>
  <si>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</si>
  <si>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</si>
  <si>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</si>
  <si>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</si>
  <si>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</si>
  <si>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</si>
  <si>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</si>
  <si>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</si>
  <si>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</si>
  <si>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</si>
  <si>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Нерюнгринская ГРЭС (г. Нерюнгри)</t>
  </si>
  <si>
    <t>diff_1</t>
  </si>
  <si>
    <t>4190064</t>
  </si>
  <si>
    <t>a</t>
  </si>
  <si>
    <t>Добавить централизованную систему</t>
  </si>
  <si>
    <t>Добавить описание территории</t>
  </si>
  <si>
    <t>Нерюнгринская ГРЭС (п. Серебряный Бор)</t>
  </si>
  <si>
    <t>diff_5</t>
  </si>
  <si>
    <t>4190066; 4190068; 4190070; 4190072</t>
  </si>
  <si>
    <t>Нерюнгринская ГРЭС (п. Беркакит)</t>
  </si>
  <si>
    <t>diff_51</t>
  </si>
  <si>
    <t>Чульманская ТЭЦ (п. Чульман)</t>
  </si>
  <si>
    <t>diff_511</t>
  </si>
  <si>
    <t>4190066; 4190067; 4190068; 4190069; 4190070; 4190071</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</si>
  <si>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</si>
  <si>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</si>
  <si>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</si>
  <si>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</si>
  <si>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</si>
  <si>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</si>
  <si>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</si>
  <si>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</si>
  <si>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</si>
  <si>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</si>
  <si>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</si>
  <si>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</si>
  <si>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</si>
  <si>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</si>
  <si>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</si>
  <si>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</si>
  <si>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</si>
  <si>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</si>
  <si>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</si>
  <si>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</si>
  <si>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</si>
  <si>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</si>
  <si>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</si>
  <si>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</si>
  <si>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</si>
  <si>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</si>
  <si>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</si>
  <si>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</si>
  <si>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</si>
  <si>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</si>
  <si>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</si>
  <si>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</si>
  <si>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</si>
  <si>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</si>
  <si>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</si>
  <si>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</si>
  <si>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</si>
  <si>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</si>
  <si>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</si>
  <si>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</si>
  <si>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</si>
  <si>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</si>
  <si>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</si>
  <si>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</si>
  <si>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</si>
  <si>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</si>
  <si>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</si>
  <si>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</si>
  <si>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</si>
  <si>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</si>
  <si>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</si>
  <si>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</si>
  <si>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</si>
  <si>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</si>
  <si>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</si>
  <si>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</si>
  <si>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</si>
  <si>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</si>
  <si>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</si>
  <si>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</si>
  <si>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</si>
  <si>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</si>
  <si>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</si>
  <si>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</si>
  <si>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</si>
  <si>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</si>
  <si>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</si>
  <si>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</si>
  <si>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</si>
  <si>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</si>
  <si>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</si>
  <si>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</si>
  <si>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</si>
  <si>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</si>
  <si>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</si>
  <si>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</si>
  <si>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</si>
  <si>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</si>
  <si>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</si>
  <si>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</si>
  <si>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</si>
  <si>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</si>
  <si>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</si>
  <si>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</si>
  <si>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</si>
  <si>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</si>
  <si>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</si>
  <si>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</si>
  <si>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</si>
  <si>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</si>
  <si>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</si>
  <si>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</si>
  <si>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</si>
  <si>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</si>
  <si>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</si>
  <si>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</si>
  <si>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</si>
  <si>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</si>
  <si>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</si>
  <si>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</si>
  <si>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</si>
  <si>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</si>
  <si>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</si>
  <si>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</si>
  <si>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</si>
  <si>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</si>
  <si>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</si>
  <si>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</si>
  <si>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</si>
  <si>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</si>
  <si>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</si>
  <si>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</si>
  <si>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</si>
  <si>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</si>
  <si>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</si>
  <si>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</si>
  <si>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</si>
  <si>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</si>
  <si>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</si>
  <si>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</si>
  <si>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</si>
  <si>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</si>
  <si>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</si>
  <si>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</si>
  <si>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</si>
  <si>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</si>
  <si>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</si>
  <si>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</si>
  <si>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</si>
  <si>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</si>
  <si>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</si>
  <si>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</si>
  <si>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</si>
  <si>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</si>
  <si>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</si>
  <si>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</si>
  <si>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</si>
  <si>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</si>
  <si>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</si>
  <si>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</si>
  <si>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</si>
  <si>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</si>
  <si>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</si>
  <si>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</si>
  <si>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</si>
  <si>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</si>
  <si>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</si>
  <si>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</si>
  <si>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</si>
  <si>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</si>
  <si>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</si>
  <si>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</si>
  <si>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</si>
  <si>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</si>
  <si>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</si>
  <si>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</si>
  <si>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</si>
  <si>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</si>
  <si>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</si>
  <si>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</si>
  <si>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</si>
  <si>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</si>
  <si>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</si>
  <si>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</si>
  <si>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</si>
  <si>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</si>
  <si>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</si>
  <si>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</si>
  <si>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</si>
  <si>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</si>
  <si>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</si>
  <si>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</si>
  <si>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</si>
  <si>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</si>
  <si>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</si>
  <si>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</si>
  <si>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</si>
  <si>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</si>
  <si>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</si>
  <si>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</si>
  <si>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</si>
  <si>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</si>
  <si>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</si>
  <si>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</si>
  <si>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</si>
  <si>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</si>
  <si>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</si>
  <si>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</si>
  <si>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</si>
  <si>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</si>
  <si>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</si>
  <si>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</si>
  <si>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</si>
  <si>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</si>
  <si>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</si>
  <si>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</si>
  <si>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</si>
  <si>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</si>
  <si>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</si>
  <si>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</si>
  <si>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</si>
  <si>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</si>
  <si>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</si>
  <si>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</si>
  <si>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</si>
  <si>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</si>
  <si>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</si>
  <si>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</si>
  <si>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</si>
  <si>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</si>
  <si>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</si>
  <si>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</si>
  <si>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</si>
  <si>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</si>
  <si>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</si>
  <si>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</si>
  <si>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</si>
  <si>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</si>
  <si>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</si>
  <si>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</si>
  <si>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</si>
  <si>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</si>
  <si>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</si>
  <si>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</si>
  <si>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</si>
  <si>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</si>
  <si>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</si>
  <si>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</si>
  <si>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</si>
  <si>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</si>
  <si>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</si>
  <si>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</si>
  <si>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</si>
  <si>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</si>
  <si>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</si>
  <si>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</si>
  <si>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</si>
  <si>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</si>
  <si>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</si>
  <si>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</si>
  <si>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</si>
  <si>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</si>
  <si>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</si>
  <si>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</si>
  <si>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</si>
  <si>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</si>
  <si>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</si>
  <si>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</si>
  <si>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</si>
  <si>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</si>
  <si>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</si>
  <si>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</si>
  <si>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</si>
  <si>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</si>
  <si>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</si>
  <si>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</si>
  <si>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</si>
  <si>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</si>
  <si>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</si>
  <si>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</si>
  <si>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</si>
  <si>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</si>
  <si>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</si>
  <si>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</si>
  <si>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</si>
  <si>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</si>
  <si>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</si>
  <si>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</si>
  <si>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</si>
  <si>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</si>
  <si>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</si>
  <si>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</si>
  <si>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</si>
  <si>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</si>
  <si>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</si>
  <si>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</si>
  <si>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</si>
  <si>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</si>
  <si>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</si>
  <si>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</si>
  <si>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</si>
  <si>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</si>
  <si>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</si>
  <si>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</si>
  <si>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</si>
  <si>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</si>
  <si>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</si>
  <si>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</si>
  <si>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</si>
  <si>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</si>
  <si>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</si>
  <si>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</si>
  <si>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</si>
  <si>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</si>
  <si>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</si>
  <si>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</si>
  <si>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</si>
  <si>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</si>
  <si>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</si>
  <si>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</si>
  <si>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</si>
  <si>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</si>
  <si>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</si>
  <si>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</si>
  <si>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</si>
  <si>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</si>
  <si>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</si>
  <si>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</si>
  <si>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</si>
  <si>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</si>
  <si>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</si>
  <si>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</si>
  <si>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</si>
  <si>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</si>
  <si>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</si>
  <si>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</si>
  <si>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</si>
  <si>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</si>
  <si>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</si>
  <si>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</si>
  <si>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</si>
  <si>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</si>
  <si>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</si>
  <si>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</si>
  <si>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</si>
  <si>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</si>
  <si>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</si>
  <si>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</si>
  <si>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</si>
  <si>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</si>
  <si>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</si>
  <si>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</si>
  <si>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</si>
  <si>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</si>
  <si>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</si>
  <si>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</si>
  <si>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</si>
  <si>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</si>
  <si>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</si>
  <si>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</si>
  <si>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</si>
  <si>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</si>
  <si>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</si>
  <si>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</si>
  <si>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</si>
  <si>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</si>
  <si>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</si>
  <si>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</si>
  <si>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</si>
  <si>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</si>
  <si>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</si>
  <si>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</si>
  <si>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</si>
  <si>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</si>
  <si>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</si>
  <si>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</si>
  <si>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</si>
  <si>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</si>
  <si>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</si>
  <si>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</si>
  <si>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</si>
  <si>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</si>
  <si>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</si>
  <si>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</si>
  <si>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</si>
  <si>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</si>
  <si>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</si>
  <si>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</si>
  <si>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</si>
  <si>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</si>
  <si>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</si>
  <si>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</si>
  <si>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</si>
  <si>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</si>
  <si>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</si>
  <si>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</si>
  <si>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</si>
  <si>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</si>
  <si>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</si>
  <si>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</si>
  <si>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</si>
  <si>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</si>
  <si>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</si>
  <si>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</si>
  <si>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</si>
  <si>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</si>
  <si>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</si>
  <si>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</si>
  <si>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</si>
  <si>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</si>
  <si>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</si>
  <si>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</si>
  <si>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</si>
  <si>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</si>
  <si>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</si>
  <si>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</si>
  <si>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</si>
  <si>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</si>
  <si>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</si>
  <si>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</si>
  <si>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</si>
  <si>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</si>
  <si>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</si>
  <si>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</si>
  <si>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</si>
  <si>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</si>
  <si>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</si>
  <si>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</si>
  <si>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</si>
  <si>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</si>
  <si>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</si>
  <si>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</si>
  <si>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</si>
  <si>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</si>
  <si>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</si>
  <si>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</si>
  <si>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</si>
  <si>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</si>
  <si>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</si>
  <si>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</si>
  <si>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</si>
  <si>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</si>
  <si>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</si>
  <si>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</si>
  <si>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</si>
  <si>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</si>
  <si>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</si>
  <si>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</si>
  <si>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</si>
  <si>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</si>
  <si>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</si>
  <si>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</si>
  <si>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</si>
  <si>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</si>
  <si>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</si>
  <si>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</si>
  <si>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</si>
  <si>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</si>
  <si>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</si>
  <si>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</si>
  <si>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</si>
  <si>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</si>
  <si>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</si>
  <si>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</si>
  <si>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</si>
  <si>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</si>
  <si>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</si>
  <si>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</si>
  <si>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</si>
  <si>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</si>
  <si>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</si>
  <si>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</si>
  <si>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</si>
  <si>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</si>
  <si>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</si>
  <si>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</si>
  <si>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</si>
  <si>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</si>
  <si>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</si>
  <si>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</si>
  <si>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</si>
  <si>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</si>
  <si>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</si>
  <si>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</si>
  <si>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</si>
  <si>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</si>
  <si>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</si>
  <si>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</si>
  <si>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</si>
  <si>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</si>
  <si>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</si>
  <si>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</si>
  <si>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</si>
  <si>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</si>
  <si>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</si>
  <si>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</si>
  <si>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</si>
  <si>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</si>
  <si>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</si>
  <si>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</si>
  <si>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</si>
  <si>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</si>
  <si>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</si>
  <si>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</si>
  <si>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</si>
  <si>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</si>
  <si>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</si>
  <si>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</si>
  <si>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</si>
  <si>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</si>
  <si>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</si>
  <si>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</si>
  <si>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</si>
  <si>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</si>
  <si>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1111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</si>
  <si>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</si>
  <si>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</si>
  <si>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</si>
  <si>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</si>
  <si>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</si>
  <si>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</si>
  <si>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</si>
  <si>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</si>
  <si>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</si>
  <si>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</si>
  <si>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</si>
  <si>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</si>
  <si>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</si>
  <si>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</si>
  <si>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</si>
  <si>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</si>
  <si>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</si>
  <si>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</si>
  <si>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</si>
  <si>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</si>
  <si>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</si>
  <si>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</si>
  <si>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</si>
  <si>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</si>
  <si>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</si>
  <si>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</si>
  <si>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</si>
  <si>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</si>
  <si>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</si>
  <si>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</si>
  <si>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</si>
  <si>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</si>
  <si>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</si>
  <si>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</si>
  <si>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</si>
  <si>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</si>
  <si>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</si>
  <si>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</si>
  <si>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</si>
  <si>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</si>
  <si>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</si>
  <si>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</si>
  <si>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</si>
  <si>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</si>
  <si>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</si>
  <si>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</si>
  <si>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</si>
  <si>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</si>
  <si>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</si>
  <si>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</si>
  <si>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</si>
  <si>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</si>
  <si>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</si>
  <si>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</si>
  <si>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</si>
  <si>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</si>
  <si>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</si>
  <si>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</si>
  <si>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</si>
  <si>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</si>
  <si>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</si>
  <si>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</si>
  <si>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</si>
  <si>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</si>
  <si>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</si>
  <si>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</si>
  <si>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</si>
  <si>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</si>
  <si>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</si>
  <si>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</si>
  <si>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</si>
  <si>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</si>
  <si>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</si>
  <si>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</si>
  <si>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</si>
  <si>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</si>
  <si>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</si>
  <si>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</si>
  <si>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</si>
  <si>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</si>
  <si>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</si>
  <si>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</si>
  <si>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</si>
  <si>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</si>
  <si>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</si>
  <si>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</si>
  <si>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</si>
  <si>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</si>
  <si>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</si>
  <si>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</si>
  <si>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</si>
  <si>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</si>
  <si>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</si>
  <si>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</si>
  <si>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</si>
  <si>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</si>
  <si>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</si>
  <si>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</si>
  <si>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</si>
  <si>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</si>
  <si>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</si>
  <si>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</si>
  <si>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</si>
  <si>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</si>
  <si>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</si>
  <si>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</si>
  <si>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</si>
  <si>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</si>
  <si>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</si>
  <si>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</si>
  <si>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</si>
  <si>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</si>
  <si>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</si>
  <si>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</si>
  <si>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</si>
  <si>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</si>
  <si>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</si>
  <si>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</si>
  <si>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</si>
  <si>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</si>
  <si>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</si>
  <si>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</si>
  <si>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</si>
  <si>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</si>
  <si>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</si>
  <si>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</si>
  <si>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</si>
  <si>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</si>
  <si>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</si>
  <si>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</si>
  <si>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</si>
  <si>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</si>
  <si>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</si>
  <si>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</si>
  <si>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</si>
  <si>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</si>
  <si>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</si>
  <si>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</si>
  <si>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</si>
  <si>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</si>
  <si>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</si>
  <si>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</si>
  <si>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</si>
  <si>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</si>
  <si>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</si>
  <si>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</si>
  <si>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</si>
  <si>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</si>
  <si>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</si>
  <si>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</si>
  <si>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</si>
  <si>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</si>
  <si>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</si>
  <si>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</si>
  <si>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</si>
  <si>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</si>
  <si>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</si>
  <si>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</si>
  <si>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</si>
  <si>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</si>
  <si>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</si>
  <si>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</si>
  <si>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</si>
  <si>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</si>
  <si>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</si>
  <si>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</si>
  <si>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</si>
  <si>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</si>
  <si>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</si>
  <si>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</si>
  <si>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</si>
  <si>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</si>
  <si>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</si>
  <si>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</si>
  <si>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</si>
  <si>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</si>
  <si>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</si>
  <si>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</si>
  <si>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</si>
  <si>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</si>
  <si>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</si>
  <si>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</si>
  <si>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</si>
  <si>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</si>
  <si>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</si>
  <si>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</si>
  <si>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</si>
  <si>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</si>
  <si>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</si>
  <si>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</si>
  <si>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</si>
  <si>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</si>
  <si>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</si>
  <si>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</si>
  <si>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</si>
  <si>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</si>
  <si>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</si>
  <si>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</si>
  <si>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</si>
  <si>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</si>
  <si>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</si>
  <si>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</si>
  <si>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</si>
  <si>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</si>
  <si>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</si>
  <si>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</si>
  <si>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</si>
  <si>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</si>
  <si>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</si>
  <si>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</si>
  <si>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</si>
  <si>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</si>
  <si>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</si>
  <si>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</si>
  <si>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</si>
  <si>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</si>
  <si>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</si>
  <si>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</si>
  <si>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</si>
  <si>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</si>
  <si>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</si>
  <si>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</si>
  <si>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</si>
  <si>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</si>
  <si>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</si>
  <si>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</si>
  <si>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</si>
  <si>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</si>
  <si>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</si>
  <si>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</si>
  <si>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</si>
  <si>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</si>
  <si>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</si>
  <si>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</si>
  <si>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</si>
  <si>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</si>
  <si>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</si>
  <si>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</si>
  <si>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</si>
  <si>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</si>
  <si>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</si>
  <si>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</si>
  <si>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</si>
  <si>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</si>
  <si>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</si>
  <si>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</si>
  <si>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</si>
  <si>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</si>
  <si>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</si>
  <si>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</si>
  <si>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</si>
  <si>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</si>
  <si>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</si>
  <si>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</si>
  <si>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</si>
  <si>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</si>
  <si>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</si>
  <si>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</si>
  <si>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</si>
  <si>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</si>
  <si>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</si>
  <si>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</si>
  <si>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</si>
  <si>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</si>
  <si>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</si>
  <si>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</si>
  <si>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</si>
  <si>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</si>
  <si>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</si>
  <si>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</si>
  <si>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</si>
  <si>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</si>
  <si>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</si>
  <si>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</si>
  <si>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</si>
  <si>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</si>
  <si>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</si>
  <si>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</si>
  <si>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</si>
  <si>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</si>
  <si>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</si>
  <si>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</si>
  <si>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</si>
  <si>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</si>
  <si>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</si>
  <si>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</si>
  <si>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</si>
  <si>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</si>
  <si>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</si>
  <si>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</si>
  <si>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</si>
  <si>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</si>
  <si>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</si>
  <si>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</si>
  <si>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</si>
  <si>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</si>
  <si>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</si>
  <si>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</si>
  <si>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</si>
  <si>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</si>
  <si>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</si>
  <si>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</si>
  <si>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</si>
  <si>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</si>
  <si>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</si>
  <si>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</si>
  <si>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</si>
  <si>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</si>
  <si>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</si>
  <si>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</si>
  <si>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</si>
  <si>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</si>
  <si>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</si>
  <si>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</si>
  <si>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</si>
  <si>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</si>
  <si>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</si>
  <si>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</si>
  <si>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</si>
  <si>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</si>
  <si>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</si>
  <si>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</si>
  <si>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</si>
  <si>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</si>
  <si>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</si>
  <si>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</si>
  <si>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</si>
  <si>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</si>
  <si>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</si>
  <si>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</si>
  <si>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</si>
  <si>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</si>
  <si>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</si>
  <si>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</si>
  <si>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</si>
  <si>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</si>
  <si>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</si>
  <si>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</si>
  <si>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</si>
  <si>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</si>
  <si>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</si>
  <si>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</si>
  <si>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</si>
  <si>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Прекращение отопления по заявке</t>
  </si>
  <si>
    <t>Прекращение ГВС 100% за задолженность</t>
  </si>
  <si>
    <t>Ограничение отопления 50% за задолженность</t>
  </si>
  <si>
    <t>Прекращение отопления 100% за задолженность</t>
  </si>
  <si>
    <t>Прекращение отопления, ГВС, вентиляции 100% за задолженность</t>
  </si>
  <si>
    <t xml:space="preserve">Прекращение отопления по заявке </t>
  </si>
  <si>
    <t>3.8</t>
  </si>
  <si>
    <t>3.9</t>
  </si>
  <si>
    <t>3.10</t>
  </si>
  <si>
    <t>Ограничение ГВС 50% за задолженность</t>
  </si>
  <si>
    <t>3.11</t>
  </si>
  <si>
    <t>3.12</t>
  </si>
  <si>
    <t>3.13</t>
  </si>
  <si>
    <t>Ограничение отопления и ГВС 50%</t>
  </si>
  <si>
    <t>3.14</t>
  </si>
  <si>
    <t>3.15</t>
  </si>
  <si>
    <t>Прекращение Отопления по заявке</t>
  </si>
  <si>
    <t>3.16</t>
  </si>
  <si>
    <t>3.17</t>
  </si>
  <si>
    <t>3.18</t>
  </si>
  <si>
    <t>3.19</t>
  </si>
  <si>
    <t>Самоограничение отопления на 100% за задолженность</t>
  </si>
  <si>
    <t>3.20</t>
  </si>
  <si>
    <t>Прекращение ГВС и отопления в связи с аварией</t>
  </si>
  <si>
    <t>3.21</t>
  </si>
  <si>
    <t>Прекращение отопления и ГВС 100% за задолженность</t>
  </si>
  <si>
    <t>3.22</t>
  </si>
  <si>
    <t>3.23</t>
  </si>
  <si>
    <t>3.24</t>
  </si>
  <si>
    <t>3.25</t>
  </si>
  <si>
    <t>3.26</t>
  </si>
  <si>
    <t>3.27</t>
  </si>
  <si>
    <t>3.28</t>
  </si>
  <si>
    <t>3.29</t>
  </si>
  <si>
    <t>3.30</t>
  </si>
  <si>
    <t>3.31</t>
  </si>
  <si>
    <t>3.32</t>
  </si>
  <si>
    <t>3.33</t>
  </si>
  <si>
    <t>3.34</t>
  </si>
  <si>
    <t>3.35</t>
  </si>
  <si>
    <t>3.36</t>
  </si>
  <si>
    <t>3.37</t>
  </si>
  <si>
    <t>Прекращение ГВС 100% и ограничение отопления 50% за задолженность</t>
  </si>
  <si>
    <t>3.38</t>
  </si>
  <si>
    <t>3.39</t>
  </si>
  <si>
    <t>3.40</t>
  </si>
  <si>
    <t>3.41</t>
  </si>
  <si>
    <t>3.42</t>
  </si>
  <si>
    <t>3.43</t>
  </si>
  <si>
    <t>3.44</t>
  </si>
  <si>
    <t>3.45</t>
  </si>
  <si>
    <t>3.46</t>
  </si>
  <si>
    <t>3.47</t>
  </si>
  <si>
    <t>3.48</t>
  </si>
  <si>
    <t>3.49</t>
  </si>
  <si>
    <t>3.50</t>
  </si>
  <si>
    <t>3.51</t>
  </si>
  <si>
    <t>3.52</t>
  </si>
  <si>
    <t>3.53</t>
  </si>
  <si>
    <t>Ограничение отопления 50%, ГВС 100% за задолженность</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</si>
  <si>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</si>
  <si>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</si>
  <si>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</si>
  <si>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</si>
  <si>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</si>
  <si>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</si>
  <si>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</si>
  <si>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</si>
  <si>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</si>
  <si>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</si>
  <si>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</si>
  <si>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</si>
  <si>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</si>
  <si>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</si>
  <si>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</si>
  <si>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</si>
  <si>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</si>
  <si>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</si>
  <si>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</si>
  <si>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</si>
  <si>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</si>
  <si>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</si>
  <si>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</si>
  <si>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</si>
  <si>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</si>
  <si>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</si>
  <si>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</si>
  <si>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</si>
  <si>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</si>
  <si>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</si>
  <si>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</si>
  <si>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</si>
  <si>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</si>
  <si>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</si>
  <si>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</si>
  <si>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</si>
  <si>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</si>
  <si>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</si>
  <si>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</si>
  <si>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</si>
  <si>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</si>
  <si>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</si>
  <si>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</si>
  <si>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</si>
  <si>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</si>
  <si>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</si>
  <si>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3.100</t>
  </si>
  <si>
    <t>3.101</t>
  </si>
  <si>
    <t>3.102</t>
  </si>
  <si>
    <t>3.103</t>
  </si>
  <si>
    <t>3.104</t>
  </si>
  <si>
    <t>3.105</t>
  </si>
  <si>
    <t>3.106</t>
  </si>
  <si>
    <t>3.107</t>
  </si>
  <si>
    <t>3.108</t>
  </si>
  <si>
    <t>3.109</t>
  </si>
  <si>
    <t>3.110</t>
  </si>
  <si>
    <t>Прекращение отопления, вентиляции и ГВС 100% за задолженность</t>
  </si>
  <si>
    <t>3.111</t>
  </si>
  <si>
    <t>Самоограничение отопления 100% за задолженность</t>
  </si>
  <si>
    <t>3.112</t>
  </si>
  <si>
    <t>3.113</t>
  </si>
  <si>
    <t>3.114</t>
  </si>
  <si>
    <t>3.115</t>
  </si>
  <si>
    <t>3.116</t>
  </si>
  <si>
    <t>3.117</t>
  </si>
  <si>
    <t>3.118</t>
  </si>
  <si>
    <t>3.119</t>
  </si>
  <si>
    <t>3.120</t>
  </si>
  <si>
    <t>3.121</t>
  </si>
  <si>
    <t>3.122</t>
  </si>
  <si>
    <t>3.123</t>
  </si>
  <si>
    <t>3.124</t>
  </si>
  <si>
    <t>3.125</t>
  </si>
  <si>
    <t>3.126</t>
  </si>
  <si>
    <t>3.127</t>
  </si>
  <si>
    <t>3.128</t>
  </si>
  <si>
    <t>3.129</t>
  </si>
  <si>
    <t>3.130</t>
  </si>
  <si>
    <t>3.131</t>
  </si>
  <si>
    <t>3.132</t>
  </si>
  <si>
    <t>3.133</t>
  </si>
  <si>
    <t>3.134</t>
  </si>
  <si>
    <t>3.135</t>
  </si>
  <si>
    <t>3.136</t>
  </si>
  <si>
    <t>3.137</t>
  </si>
  <si>
    <t>3.138</t>
  </si>
  <si>
    <t>3.139</t>
  </si>
  <si>
    <t>3.140</t>
  </si>
  <si>
    <t>3.141</t>
  </si>
  <si>
    <t>3.142</t>
  </si>
  <si>
    <t>3.143</t>
  </si>
  <si>
    <t>3.144</t>
  </si>
  <si>
    <t>3.145</t>
  </si>
  <si>
    <t>3.146</t>
  </si>
  <si>
    <t>3.147</t>
  </si>
  <si>
    <t>3.148</t>
  </si>
  <si>
    <t>3.149</t>
  </si>
  <si>
    <t>3.150</t>
  </si>
  <si>
    <t>3.151</t>
  </si>
  <si>
    <t>3.152</t>
  </si>
  <si>
    <t>3.153</t>
  </si>
  <si>
    <t>3.154</t>
  </si>
  <si>
    <t>3.155</t>
  </si>
  <si>
    <t>3.156</t>
  </si>
  <si>
    <t>3.157</t>
  </si>
  <si>
    <t>3.158</t>
  </si>
  <si>
    <t>3.159</t>
  </si>
  <si>
    <t>3.160</t>
  </si>
  <si>
    <t>3.161</t>
  </si>
  <si>
    <t>3.162</t>
  </si>
  <si>
    <t>3.163</t>
  </si>
  <si>
    <t>3.164</t>
  </si>
  <si>
    <t>3.165</t>
  </si>
  <si>
    <t>3.166</t>
  </si>
  <si>
    <t>3.167</t>
  </si>
  <si>
    <t>3.168</t>
  </si>
  <si>
    <t>3.169</t>
  </si>
  <si>
    <t>3.170</t>
  </si>
  <si>
    <t>3.171</t>
  </si>
  <si>
    <t>3.172</t>
  </si>
  <si>
    <t>3.173</t>
  </si>
  <si>
    <t>3.174</t>
  </si>
  <si>
    <t>3.175</t>
  </si>
  <si>
    <t>3.176</t>
  </si>
  <si>
    <t>3.177</t>
  </si>
  <si>
    <t>3.178</t>
  </si>
  <si>
    <t>3.179</t>
  </si>
  <si>
    <t>3.180</t>
  </si>
  <si>
    <t>3.181</t>
  </si>
  <si>
    <t>3.182</t>
  </si>
  <si>
    <t>3.183</t>
  </si>
  <si>
    <t>3.184</t>
  </si>
  <si>
    <t>3.185</t>
  </si>
  <si>
    <t>3.186</t>
  </si>
  <si>
    <t>3.187</t>
  </si>
  <si>
    <t>3.188</t>
  </si>
  <si>
    <t>Ограничение отопления и ГВС 50% за задолженность</t>
  </si>
  <si>
    <t>3.189</t>
  </si>
  <si>
    <t>3.190</t>
  </si>
  <si>
    <t>3.191</t>
  </si>
  <si>
    <t>3.192</t>
  </si>
  <si>
    <t>3.193</t>
  </si>
  <si>
    <t>3.194</t>
  </si>
  <si>
    <t>3.195</t>
  </si>
  <si>
    <t>Самоограничение ГВС 100% за задолженность</t>
  </si>
  <si>
    <t>3.196</t>
  </si>
  <si>
    <t>3.197</t>
  </si>
  <si>
    <t>3.198</t>
  </si>
  <si>
    <t>3.199</t>
  </si>
  <si>
    <t>3.200</t>
  </si>
  <si>
    <t>3.201</t>
  </si>
  <si>
    <t>3.202</t>
  </si>
  <si>
    <t>3.203</t>
  </si>
  <si>
    <t>3.204</t>
  </si>
  <si>
    <t>3.205</t>
  </si>
  <si>
    <t>3.206</t>
  </si>
  <si>
    <t>3.207</t>
  </si>
  <si>
    <t>3.208</t>
  </si>
  <si>
    <t>3.209</t>
  </si>
  <si>
    <t>3.210</t>
  </si>
  <si>
    <t>3.211</t>
  </si>
  <si>
    <t>3.212</t>
  </si>
  <si>
    <t>3.213</t>
  </si>
  <si>
    <t>3.214</t>
  </si>
  <si>
    <t>3.215</t>
  </si>
  <si>
    <t>3.216</t>
  </si>
  <si>
    <t>3.217</t>
  </si>
  <si>
    <t>3.218</t>
  </si>
  <si>
    <t>3.219</t>
  </si>
  <si>
    <t>3.220</t>
  </si>
  <si>
    <t>3.221</t>
  </si>
  <si>
    <t>3.222</t>
  </si>
  <si>
    <t>3.223</t>
  </si>
  <si>
    <t>3.224</t>
  </si>
  <si>
    <t>3.225</t>
  </si>
  <si>
    <t>3.226</t>
  </si>
  <si>
    <t>3.227</t>
  </si>
  <si>
    <t>3.228</t>
  </si>
  <si>
    <t>3.229</t>
  </si>
  <si>
    <t>3.230</t>
  </si>
  <si>
    <t>3.231</t>
  </si>
  <si>
    <t>Прекращение ГВС по заявке</t>
  </si>
  <si>
    <t>3.232</t>
  </si>
  <si>
    <t>3.233</t>
  </si>
  <si>
    <t>3.234</t>
  </si>
  <si>
    <t>3.235</t>
  </si>
  <si>
    <t>3.236</t>
  </si>
  <si>
    <t>3.237</t>
  </si>
  <si>
    <t>3.238</t>
  </si>
  <si>
    <t>3.239</t>
  </si>
  <si>
    <t>3.240</t>
  </si>
  <si>
    <t>3.241</t>
  </si>
  <si>
    <t>3.242</t>
  </si>
  <si>
    <t>3.243</t>
  </si>
  <si>
    <t>3.244</t>
  </si>
  <si>
    <t>Добавить ограничение подачи ТЭ</t>
  </si>
  <si>
    <t>4.0</t>
  </si>
  <si>
    <t>Сведения об основаниях прекращения подачи тепловой энергии потребителям</t>
  </si>
  <si>
    <t>Не осуществлялось</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</si>
  <si>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</si>
  <si>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Демонтаж отопления и ГВС в связи с демонтажем МКД и исключением из договора</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</si>
  <si>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</si>
  <si>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</si>
  <si>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</si>
  <si>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</si>
  <si>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</si>
  <si>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</si>
  <si>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</si>
  <si>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</si>
  <si>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</si>
  <si>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</si>
  <si>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</si>
  <si>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</si>
  <si>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</si>
  <si>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</si>
  <si>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</si>
  <si>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</si>
  <si>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</si>
  <si>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</si>
  <si>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</si>
  <si>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</si>
  <si>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</si>
  <si>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</si>
  <si>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</si>
  <si>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</si>
  <si>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</si>
  <si>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</si>
  <si>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</si>
  <si>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</si>
  <si>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</si>
  <si>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</si>
  <si>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</si>
  <si>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</si>
  <si>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</si>
  <si>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</si>
  <si>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</si>
  <si>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</si>
  <si>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</si>
  <si>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</si>
  <si>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</si>
  <si>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</si>
  <si>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</si>
  <si>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</si>
  <si>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</si>
  <si>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</si>
  <si>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</si>
  <si>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</si>
  <si>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</si>
  <si>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</si>
  <si>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</si>
  <si>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</si>
  <si>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</si>
  <si>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</si>
  <si>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</si>
  <si>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</si>
  <si>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</si>
  <si>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</si>
  <si>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</si>
  <si>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</si>
  <si>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</si>
  <si>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</si>
  <si>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</si>
  <si>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</si>
  <si>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</si>
  <si>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</si>
  <si>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</si>
  <si>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</si>
  <si>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</si>
  <si>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</si>
  <si>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</si>
  <si>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</si>
  <si>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</si>
  <si>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</si>
  <si>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</si>
  <si>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</si>
  <si>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</si>
  <si>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</si>
  <si>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</si>
  <si>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</si>
  <si>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</si>
  <si>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</si>
  <si>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</si>
  <si>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</si>
  <si>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</si>
  <si>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</si>
  <si>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</si>
  <si>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</si>
  <si>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</si>
  <si>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</si>
  <si>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</si>
  <si>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</si>
  <si>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</si>
  <si>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</si>
  <si>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</si>
  <si>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</si>
  <si>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</si>
  <si>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</si>
  <si>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</si>
  <si>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</si>
  <si>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</si>
  <si>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</si>
  <si>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</si>
  <si>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</si>
  <si>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</si>
  <si>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</si>
  <si>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</si>
  <si>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</si>
  <si>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</si>
  <si>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</si>
  <si>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</si>
  <si>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</si>
  <si>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</si>
  <si>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</si>
  <si>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</si>
  <si>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</si>
  <si>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</si>
  <si>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</si>
  <si>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</si>
  <si>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</si>
  <si>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</si>
  <si>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</si>
  <si>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</si>
  <si>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</si>
  <si>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</si>
  <si>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</si>
  <si>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</si>
  <si>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</si>
  <si>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</si>
  <si>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</si>
  <si>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</si>
  <si>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</si>
  <si>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</si>
  <si>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</si>
  <si>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</si>
  <si>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</si>
  <si>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</si>
  <si>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</si>
  <si>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</si>
  <si>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</si>
  <si>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</si>
  <si>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</si>
  <si>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</si>
  <si>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</si>
  <si>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</si>
  <si>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</si>
  <si>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</si>
  <si>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</si>
  <si>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</si>
  <si>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</si>
  <si>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</si>
  <si>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</si>
  <si>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</si>
  <si>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</si>
  <si>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</si>
  <si>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</si>
  <si>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Резерв мощности</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</si>
  <si>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</si>
  <si>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</si>
  <si>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</si>
  <si>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</si>
  <si>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</si>
  <si>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</si>
  <si>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</si>
  <si>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</si>
  <si>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</si>
  <si>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</si>
  <si>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</si>
  <si>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</si>
  <si>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</si>
  <si>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</si>
  <si>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</si>
  <si>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</si>
  <si>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</si>
  <si>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</si>
  <si>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</si>
  <si>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</si>
  <si>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</si>
  <si>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</si>
  <si>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</si>
  <si>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</si>
  <si>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</si>
  <si>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</si>
  <si>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</si>
  <si>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</si>
  <si>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</si>
  <si>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</si>
  <si>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</si>
  <si>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</si>
  <si>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</si>
  <si>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</si>
  <si>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</si>
  <si>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</si>
  <si>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</si>
  <si>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</si>
  <si>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</si>
  <si>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</si>
  <si>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</si>
  <si>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</si>
  <si>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</si>
  <si>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</si>
  <si>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</si>
  <si>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</si>
  <si>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</si>
  <si>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</si>
  <si>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</si>
  <si>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</si>
  <si>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</si>
  <si>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</si>
  <si>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</si>
  <si>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</si>
  <si>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</si>
  <si>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</si>
  <si>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</si>
  <si>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</si>
  <si>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</si>
  <si>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</si>
  <si>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</si>
  <si>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</si>
  <si>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</si>
  <si>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</si>
  <si>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</si>
  <si>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</si>
  <si>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</si>
  <si>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</si>
  <si>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</si>
  <si>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</si>
  <si>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</si>
  <si>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</si>
  <si>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</si>
  <si>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</si>
  <si>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</si>
  <si>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</si>
  <si>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</si>
  <si>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</si>
  <si>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</si>
  <si>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</si>
  <si>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</si>
  <si>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</si>
  <si>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</si>
  <si>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</si>
  <si>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</si>
  <si>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</si>
  <si>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</si>
  <si>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</si>
  <si>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</si>
  <si>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</si>
  <si>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</si>
  <si>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</si>
  <si>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</si>
  <si>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</si>
  <si>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</si>
  <si>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</si>
  <si>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</si>
  <si>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</si>
  <si>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</si>
  <si>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</si>
  <si>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</si>
  <si>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</si>
  <si>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</si>
  <si>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</si>
  <si>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</si>
  <si>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</si>
  <si>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</si>
  <si>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</si>
  <si>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</si>
  <si>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</si>
  <si>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</si>
  <si>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</si>
  <si>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</si>
  <si>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</si>
  <si>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</si>
  <si>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</si>
  <si>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</si>
  <si>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</si>
  <si>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</si>
  <si>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</si>
  <si>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</si>
  <si>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</si>
  <si>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</si>
  <si>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</si>
  <si>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</si>
  <si>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</si>
  <si>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</si>
  <si>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</si>
  <si>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</si>
  <si>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</si>
  <si>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</si>
  <si>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</si>
  <si>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</si>
  <si>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</si>
  <si>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</si>
  <si>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</si>
  <si>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</si>
  <si>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</si>
  <si>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</si>
  <si>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</si>
  <si>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</si>
  <si>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</si>
  <si>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</si>
  <si>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</si>
  <si>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</si>
  <si>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</si>
  <si>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</si>
  <si>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</si>
  <si>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</si>
  <si>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</si>
  <si>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</si>
  <si>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</si>
  <si>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</si>
  <si>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</si>
  <si>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</si>
  <si>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</si>
  <si>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</si>
  <si>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</si>
  <si>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</si>
  <si>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</si>
  <si>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</si>
  <si>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</si>
  <si>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</si>
  <si>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</si>
  <si>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</si>
  <si>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</si>
  <si>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</si>
  <si>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</si>
  <si>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</si>
  <si>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</si>
  <si>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</si>
  <si>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</si>
  <si>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</si>
  <si>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</si>
  <si>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</si>
  <si>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</si>
  <si>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</si>
  <si>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</si>
  <si>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</si>
  <si>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</si>
  <si>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</si>
  <si>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</si>
  <si>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</si>
  <si>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</si>
  <si>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</si>
  <si>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</si>
  <si>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</si>
  <si>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</si>
  <si>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</si>
  <si>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</si>
  <si>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</si>
  <si>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</si>
  <si>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</si>
  <si>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</si>
  <si>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</si>
  <si>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</si>
  <si>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</si>
  <si>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</si>
  <si>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</si>
  <si>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</si>
  <si>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</si>
  <si>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</si>
  <si>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</si>
  <si>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</si>
  <si>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</si>
  <si>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</si>
  <si>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</si>
  <si>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</si>
  <si>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</si>
  <si>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</si>
  <si>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</si>
  <si>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</si>
  <si>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</si>
  <si>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</si>
  <si>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</si>
  <si>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</si>
  <si>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</si>
  <si>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</si>
  <si>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</si>
  <si>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</si>
  <si>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</si>
  <si>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</si>
  <si>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</si>
  <si>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</si>
  <si>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</si>
  <si>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</si>
  <si>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</si>
  <si>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</si>
  <si>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</si>
  <si>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</si>
  <si>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</si>
  <si>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</si>
  <si>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</si>
  <si>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</si>
  <si>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</si>
  <si>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</si>
  <si>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</si>
  <si>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</si>
  <si>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</si>
  <si>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</si>
  <si>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</si>
  <si>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</si>
  <si>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</si>
  <si>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</si>
  <si>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</si>
  <si>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</si>
  <si>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</si>
  <si>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</si>
  <si>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</si>
  <si>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</si>
  <si>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</si>
  <si>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</si>
  <si>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</si>
  <si>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</si>
  <si>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</si>
  <si>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</si>
  <si>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</si>
  <si>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</si>
  <si>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</si>
  <si>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</si>
  <si>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</si>
  <si>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</si>
  <si>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</si>
  <si>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</si>
  <si>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</si>
  <si>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</si>
  <si>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</si>
  <si>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</si>
  <si>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</si>
  <si>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</si>
  <si>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</si>
  <si>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</si>
  <si>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</si>
  <si>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</si>
  <si>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</si>
  <si>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</si>
  <si>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</si>
  <si>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</si>
  <si>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</si>
  <si>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</si>
  <si>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</si>
  <si>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</si>
  <si>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</si>
  <si>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</si>
  <si>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</si>
  <si>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</si>
  <si>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</si>
  <si>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</si>
  <si>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</si>
  <si>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</si>
  <si>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</si>
  <si>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</si>
  <si>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</si>
  <si>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</si>
  <si>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</si>
  <si>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</si>
  <si>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</si>
  <si>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</si>
  <si>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</si>
  <si>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</si>
  <si>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</si>
  <si>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</si>
  <si>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</si>
  <si>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</si>
  <si>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</si>
  <si>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</si>
  <si>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</si>
  <si>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</si>
  <si>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</si>
  <si>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</si>
  <si>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</si>
  <si>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</si>
  <si>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</si>
  <si>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</si>
  <si>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</si>
  <si>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</si>
  <si>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</si>
  <si>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</si>
  <si>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</si>
  <si>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</si>
  <si>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</si>
  <si>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</si>
  <si>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</si>
  <si>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</si>
  <si>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</si>
  <si>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</si>
  <si>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</si>
  <si>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</si>
  <si>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</si>
  <si>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</si>
  <si>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</si>
  <si>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</si>
  <si>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</si>
  <si>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</si>
  <si>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</si>
  <si>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</si>
  <si>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</si>
  <si>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</si>
  <si>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</si>
  <si>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</si>
  <si>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</si>
  <si>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</si>
  <si>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</si>
  <si>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</si>
  <si>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</si>
  <si>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</si>
  <si>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</si>
  <si>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</si>
  <si>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</si>
  <si>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</si>
  <si>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</si>
  <si>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</si>
  <si>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</si>
  <si>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</si>
  <si>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</si>
  <si>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</si>
  <si>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</si>
  <si>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</si>
  <si>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</si>
  <si>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</si>
  <si>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</si>
  <si>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</si>
  <si>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</si>
  <si>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</si>
  <si>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</si>
  <si>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</si>
  <si>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</si>
  <si>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</si>
  <si>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</si>
  <si>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</si>
  <si>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</si>
  <si>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</si>
  <si>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</si>
  <si>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</si>
  <si>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</si>
  <si>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</si>
  <si>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</si>
  <si>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</si>
  <si>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</si>
  <si>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</si>
  <si>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</si>
  <si>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</si>
  <si>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</si>
  <si>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</si>
  <si>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</si>
  <si>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</si>
  <si>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</si>
  <si>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</si>
  <si>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</si>
  <si>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</si>
  <si>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</si>
  <si>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</si>
  <si>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</si>
  <si>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</si>
  <si>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</si>
  <si>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</si>
  <si>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</si>
  <si>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</si>
  <si>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</si>
  <si>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</si>
  <si>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</si>
  <si>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</si>
  <si>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</si>
  <si>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</si>
  <si>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</si>
  <si>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</si>
  <si>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</si>
  <si>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</si>
  <si>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</si>
  <si>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</si>
  <si>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</si>
  <si>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</si>
  <si>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</si>
  <si>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</si>
  <si>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</si>
  <si>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</si>
  <si>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</si>
  <si>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</si>
  <si>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</si>
  <si>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</si>
  <si>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</si>
  <si>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</si>
  <si>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</si>
  <si>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</si>
  <si>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</si>
  <si>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</si>
  <si>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</si>
  <si>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</si>
  <si>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</si>
  <si>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</si>
  <si>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</si>
  <si>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</si>
  <si>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</si>
  <si>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</si>
  <si>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</si>
  <si>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</si>
  <si>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</si>
  <si>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</si>
  <si>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</si>
  <si>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</si>
  <si>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</si>
  <si>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</si>
  <si>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</si>
  <si>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</si>
  <si>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</si>
  <si>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</si>
  <si>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</si>
  <si>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</si>
  <si>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</si>
  <si>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</si>
  <si>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</si>
  <si>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</si>
  <si>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</si>
  <si>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</si>
  <si>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</si>
  <si>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</si>
  <si>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</si>
  <si>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</si>
  <si>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</si>
  <si>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</si>
  <si>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</si>
  <si>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</si>
  <si>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</si>
  <si>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</si>
  <si>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</si>
  <si>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</si>
  <si>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</si>
  <si>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</si>
  <si>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</si>
  <si>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</si>
  <si>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</si>
  <si>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</si>
  <si>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</si>
  <si>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</si>
  <si>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</si>
  <si>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</si>
  <si>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</si>
  <si>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</si>
  <si>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</si>
  <si>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</si>
  <si>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</si>
  <si>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</si>
  <si>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</si>
  <si>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</si>
  <si>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</si>
  <si>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</si>
  <si>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</si>
  <si>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</si>
  <si>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</si>
  <si>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</si>
  <si>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</si>
  <si>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</si>
  <si>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</si>
  <si>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</si>
  <si>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</si>
  <si>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</si>
  <si>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</si>
  <si>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</si>
  <si>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</si>
  <si>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</si>
  <si>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</si>
  <si>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</si>
  <si>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</si>
  <si>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</si>
  <si>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</si>
  <si>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</si>
  <si>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</si>
  <si>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</si>
  <si>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</si>
  <si>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</si>
  <si>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</si>
  <si>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</si>
  <si>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</si>
  <si>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</si>
  <si>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</si>
  <si>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</si>
  <si>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</si>
  <si>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</si>
  <si>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</si>
  <si>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</si>
  <si>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</si>
  <si>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</si>
  <si>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</si>
  <si>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</si>
  <si>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</si>
  <si>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</si>
  <si>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</si>
  <si>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</si>
  <si>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</si>
  <si>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</si>
  <si>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</si>
  <si>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</si>
  <si>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</si>
  <si>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</si>
  <si>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</si>
  <si>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</si>
  <si>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</si>
  <si>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</si>
  <si>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</si>
  <si>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</si>
  <si>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</si>
  <si>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</si>
  <si>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</si>
  <si>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</si>
  <si>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</si>
  <si>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</si>
  <si>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</si>
  <si>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</si>
  <si>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</si>
  <si>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</si>
  <si>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</si>
  <si>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</si>
  <si>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</si>
  <si>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</si>
  <si>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</si>
  <si>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</si>
  <si>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</si>
  <si>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</si>
  <si>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</si>
  <si>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</si>
  <si>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</si>
  <si>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</si>
  <si>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</si>
  <si>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</si>
  <si>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</si>
  <si>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</si>
  <si>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</si>
  <si>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</si>
  <si>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5111</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</si>
  <si>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</si>
  <si>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</si>
  <si>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</si>
  <si>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</si>
  <si>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</si>
  <si>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</si>
  <si>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</si>
  <si>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</si>
  <si>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</si>
  <si>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</si>
  <si>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</si>
  <si>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</si>
  <si>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</si>
  <si>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</si>
  <si>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</si>
  <si>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</si>
  <si>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</si>
  <si>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</si>
  <si>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</si>
  <si>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</si>
  <si>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</si>
  <si>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</si>
  <si>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</si>
  <si>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</si>
  <si>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</si>
  <si>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</si>
  <si>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</si>
  <si>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</si>
  <si>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</si>
  <si>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</si>
  <si>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</si>
  <si>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</si>
  <si>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</si>
  <si>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</si>
  <si>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</si>
  <si>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</si>
  <si>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</si>
  <si>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</si>
  <si>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</si>
  <si>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</si>
  <si>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</si>
  <si>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</si>
  <si>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</si>
  <si>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</si>
  <si>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</si>
  <si>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</si>
  <si>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</si>
  <si>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</si>
  <si>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</si>
  <si>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</si>
  <si>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</si>
  <si>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</si>
  <si>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</si>
  <si>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</si>
  <si>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</si>
  <si>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</si>
  <si>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</si>
  <si>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</si>
  <si>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</si>
  <si>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</si>
  <si>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</si>
  <si>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</si>
  <si>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</si>
  <si>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</si>
  <si>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</si>
  <si>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</si>
  <si>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</si>
  <si>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</si>
  <si>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</si>
  <si>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</si>
  <si>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</si>
  <si>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</si>
  <si>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</si>
  <si>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</si>
  <si>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</si>
  <si>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</si>
  <si>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</si>
  <si>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</si>
  <si>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</si>
  <si>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</si>
  <si>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</si>
  <si>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</si>
  <si>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</si>
  <si>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</si>
  <si>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</si>
  <si>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</si>
  <si>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</si>
  <si>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</si>
  <si>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</si>
  <si>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</si>
  <si>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</si>
  <si>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</si>
  <si>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</si>
  <si>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</si>
  <si>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</si>
  <si>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</si>
  <si>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</si>
  <si>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</si>
  <si>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</si>
  <si>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</si>
  <si>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</si>
  <si>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</si>
  <si>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</si>
  <si>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</si>
  <si>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</si>
  <si>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</si>
  <si>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</si>
  <si>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</si>
  <si>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</si>
  <si>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</si>
  <si>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</si>
  <si>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</si>
  <si>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</si>
  <si>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</si>
  <si>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</si>
  <si>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</si>
  <si>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</si>
  <si>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</si>
  <si>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</si>
  <si>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</si>
  <si>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</si>
  <si>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</si>
  <si>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</si>
  <si>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</si>
  <si>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</si>
  <si>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</si>
  <si>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</si>
  <si>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</si>
  <si>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</si>
  <si>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</si>
  <si>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</si>
  <si>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</si>
  <si>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</si>
  <si>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</si>
  <si>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</si>
  <si>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</si>
  <si>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</si>
  <si>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</si>
  <si>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</si>
  <si>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</si>
  <si>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</si>
  <si>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</si>
  <si>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</si>
  <si>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</si>
  <si>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</si>
  <si>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</si>
  <si>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</si>
  <si>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</si>
  <si>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</si>
  <si>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</si>
  <si>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</si>
  <si>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</si>
  <si>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</si>
  <si>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</si>
  <si>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</si>
  <si>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</si>
  <si>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</si>
  <si>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</si>
  <si>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</si>
  <si>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</si>
  <si>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</si>
  <si>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</si>
  <si>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</si>
  <si>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</si>
  <si>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</si>
  <si>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</si>
  <si>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</si>
  <si>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</si>
  <si>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</si>
  <si>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</si>
  <si>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</si>
  <si>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</si>
  <si>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</si>
  <si>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</si>
  <si>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</si>
  <si>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</si>
  <si>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</si>
  <si>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</si>
  <si>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</si>
  <si>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</si>
  <si>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</si>
  <si>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</si>
  <si>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</si>
  <si>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</si>
  <si>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</si>
  <si>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</si>
  <si>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</si>
  <si>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</si>
  <si>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</si>
  <si>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</si>
  <si>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</si>
  <si>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</si>
  <si>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</si>
  <si>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</si>
  <si>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</si>
  <si>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</si>
  <si>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</si>
  <si>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</si>
  <si>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</si>
  <si>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</si>
  <si>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</si>
  <si>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</si>
  <si>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</si>
  <si>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</si>
  <si>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</si>
  <si>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</si>
  <si>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</si>
  <si>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</si>
  <si>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</si>
  <si>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</si>
  <si>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</si>
  <si>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</si>
  <si>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</si>
  <si>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</si>
  <si>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</si>
  <si>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</si>
  <si>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</si>
  <si>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</si>
  <si>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</si>
  <si>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</si>
  <si>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</si>
  <si>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</si>
  <si>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</si>
  <si>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</si>
  <si>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</si>
  <si>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</si>
  <si>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</si>
  <si>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</si>
  <si>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</si>
  <si>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</si>
  <si>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</si>
  <si>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</si>
  <si>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</si>
  <si>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</si>
  <si>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</si>
  <si>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</si>
  <si>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</si>
  <si>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</si>
  <si>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</si>
  <si>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</si>
  <si>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</si>
  <si>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</si>
  <si>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</si>
  <si>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</si>
  <si>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</si>
  <si>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</si>
  <si>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</si>
  <si>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</si>
  <si>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</si>
  <si>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</si>
  <si>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</si>
  <si>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</si>
  <si>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</si>
  <si>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</si>
  <si>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</si>
  <si>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</si>
  <si>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</si>
  <si>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</si>
  <si>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</si>
  <si>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</si>
  <si>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</si>
  <si>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</si>
  <si>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</si>
  <si>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</si>
  <si>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</si>
  <si>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</si>
  <si>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</si>
  <si>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</si>
  <si>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</si>
  <si>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</si>
  <si>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</si>
  <si>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</si>
  <si>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</si>
  <si>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</si>
  <si>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</si>
  <si>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</si>
  <si>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</si>
  <si>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</si>
  <si>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</si>
  <si>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</si>
  <si>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</si>
  <si>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</si>
  <si>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</si>
  <si>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</si>
  <si>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</si>
  <si>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</si>
  <si>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</si>
  <si>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</si>
  <si>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</si>
  <si>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</si>
  <si>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</si>
  <si>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</si>
  <si>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</si>
  <si>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</si>
  <si>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</si>
  <si>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</si>
  <si>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</si>
  <si>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</si>
  <si>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</si>
  <si>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</si>
  <si>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</si>
  <si>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</si>
  <si>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</si>
  <si>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</si>
  <si>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</si>
  <si>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</si>
  <si>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</si>
  <si>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</si>
  <si>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</si>
  <si>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</si>
  <si>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</si>
  <si>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</si>
  <si>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</si>
  <si>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</si>
  <si>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</si>
  <si>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</si>
  <si>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</si>
  <si>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</si>
  <si>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</si>
  <si>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</si>
  <si>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</si>
  <si>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</si>
  <si>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</si>
  <si>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</si>
  <si>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</si>
  <si>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</si>
  <si>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</si>
  <si>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</si>
  <si>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</si>
  <si>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</si>
  <si>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</si>
  <si>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</si>
  <si>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</si>
  <si>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</si>
  <si>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</si>
  <si>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</si>
  <si>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</si>
  <si>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</si>
  <si>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</si>
  <si>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</si>
  <si>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</si>
  <si>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</si>
  <si>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</si>
  <si>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</si>
  <si>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</si>
  <si>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</si>
  <si>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</si>
  <si>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</si>
  <si>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</si>
  <si>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</si>
  <si>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</si>
  <si>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</si>
  <si>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</si>
  <si>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</si>
  <si>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</si>
  <si>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</si>
  <si>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</si>
  <si>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</si>
  <si>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</si>
  <si>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</si>
  <si>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</si>
  <si>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</si>
  <si>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</si>
  <si>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</si>
  <si>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</si>
  <si>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</si>
  <si>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</si>
  <si>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</si>
  <si>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</si>
  <si>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</si>
  <si>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</si>
  <si>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</si>
  <si>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</si>
  <si>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</si>
  <si>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</si>
  <si>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</si>
  <si>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</si>
  <si>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</si>
  <si>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</si>
  <si>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</si>
  <si>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</si>
  <si>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</si>
  <si>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</si>
  <si>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</si>
  <si>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</si>
  <si>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</si>
  <si>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</si>
  <si>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</si>
  <si>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</si>
  <si>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</si>
  <si>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</si>
  <si>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</si>
  <si>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</si>
  <si>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</si>
  <si>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</si>
  <si>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</si>
  <si>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</si>
  <si>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</si>
  <si>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</si>
  <si>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</si>
  <si>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</si>
  <si>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</si>
  <si>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</si>
  <si>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</si>
  <si>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</si>
  <si>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</si>
  <si>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</si>
  <si>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</si>
  <si>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</si>
  <si>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</si>
  <si>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</si>
  <si>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</si>
  <si>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</si>
  <si>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</si>
  <si>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</si>
  <si>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</si>
  <si>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</si>
  <si>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</si>
  <si>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</si>
  <si>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</si>
  <si>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</si>
  <si>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</si>
  <si>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</si>
  <si>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</si>
  <si>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</si>
  <si>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</si>
  <si>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</si>
  <si>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</si>
  <si>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</si>
  <si>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</si>
  <si>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</si>
  <si>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</si>
  <si>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</si>
  <si>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</si>
  <si>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</si>
  <si>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</si>
  <si>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</si>
  <si>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</si>
  <si>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</si>
  <si>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</si>
  <si>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</si>
  <si>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</si>
  <si>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</si>
  <si>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</si>
  <si>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</si>
  <si>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</si>
  <si>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</si>
  <si>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</si>
  <si>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</si>
  <si>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</si>
  <si>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</si>
  <si>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</si>
  <si>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</si>
  <si>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</si>
  <si>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</si>
  <si>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</si>
  <si>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</si>
  <si>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</si>
  <si>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</si>
  <si>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</si>
  <si>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</si>
  <si>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</si>
  <si>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</si>
  <si>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</si>
  <si>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</si>
  <si>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</si>
  <si>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</si>
  <si>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</si>
  <si>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</si>
  <si>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</si>
  <si>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</si>
  <si>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</si>
  <si>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</si>
  <si>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</si>
  <si>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</si>
  <si>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</si>
  <si>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</si>
  <si>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</si>
  <si>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</si>
  <si>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</si>
  <si>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</si>
  <si>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</si>
  <si>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</si>
  <si>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</si>
  <si>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</si>
  <si>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</si>
  <si>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</si>
  <si>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</si>
  <si>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</si>
  <si>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</si>
  <si>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</si>
  <si>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</si>
  <si>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</si>
  <si>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</si>
  <si>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</si>
  <si>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</si>
  <si>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</si>
  <si>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</si>
  <si>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</si>
  <si>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</si>
  <si>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</si>
  <si>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</si>
  <si>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</si>
  <si>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</si>
  <si>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</si>
  <si>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</si>
  <si>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</si>
  <si>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</si>
  <si>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</si>
  <si>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</si>
  <si>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</si>
  <si>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</si>
  <si>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</si>
  <si>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</si>
  <si>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</si>
  <si>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</si>
  <si>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</si>
  <si>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</si>
  <si>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</si>
  <si>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</si>
  <si>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</si>
  <si>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</si>
  <si>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</si>
  <si>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</si>
  <si>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</si>
  <si>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</si>
  <si>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</si>
  <si>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</si>
  <si>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</si>
  <si>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</si>
  <si>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</si>
  <si>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</si>
  <si>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</si>
  <si>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</si>
  <si>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</si>
  <si>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</si>
  <si>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</si>
  <si>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</si>
  <si>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</si>
  <si>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</si>
  <si>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</si>
  <si>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</si>
  <si>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</si>
  <si>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</si>
  <si>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</si>
  <si>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</si>
  <si>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</si>
  <si>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</si>
  <si>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</si>
  <si>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</si>
  <si>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</si>
  <si>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</si>
  <si>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</si>
  <si>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</si>
  <si>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</si>
  <si>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</si>
  <si>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</si>
  <si>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</si>
  <si>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</si>
  <si>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2663</t>
  </si>
  <si>
    <t>26507162</t>
  </si>
  <si>
    <t>АК "АЛРОСА" (ПАО) МУАД п. Моркока</t>
  </si>
  <si>
    <t>1433000147</t>
  </si>
  <si>
    <t>143332042</t>
  </si>
  <si>
    <t>13-08-1992 00:00:00</t>
  </si>
  <si>
    <t>26507150</t>
  </si>
  <si>
    <t>АК "АЛРОСА" (ПАО) Мирнинское Авиационное предприятие</t>
  </si>
  <si>
    <t>143332009</t>
  </si>
  <si>
    <t>26506945</t>
  </si>
  <si>
    <t>АО "Водоканал"</t>
  </si>
  <si>
    <t>1435219600</t>
  </si>
  <si>
    <t>143501001</t>
  </si>
  <si>
    <t>10-09-2009 00:00:00</t>
  </si>
  <si>
    <t>30431003</t>
  </si>
  <si>
    <t>АО "ГУ ЖКХ"</t>
  </si>
  <si>
    <t>5116000922</t>
  </si>
  <si>
    <t>753645001</t>
  </si>
  <si>
    <t>30335229</t>
  </si>
  <si>
    <t>770401001</t>
  </si>
  <si>
    <t>26354275</t>
  </si>
  <si>
    <t>АО "Гостиница Лена"</t>
  </si>
  <si>
    <t>1435153822</t>
  </si>
  <si>
    <t>12-11-2004 00:00:00</t>
  </si>
  <si>
    <t>27051081</t>
  </si>
  <si>
    <t>АО "ДГК"</t>
  </si>
  <si>
    <t>997450001</t>
  </si>
  <si>
    <t>19-12-2005 00:00:00</t>
  </si>
  <si>
    <t>26354260</t>
  </si>
  <si>
    <t>АО "ДСК"</t>
  </si>
  <si>
    <t>1435019440</t>
  </si>
  <si>
    <t>01-08-2002 00:00:00</t>
  </si>
  <si>
    <t>26354215</t>
  </si>
  <si>
    <t>АО "Кировский угольный разрез"</t>
  </si>
  <si>
    <t>1419005376</t>
  </si>
  <si>
    <t>141901001</t>
  </si>
  <si>
    <t>18-03-2005 00:00:00</t>
  </si>
  <si>
    <t>31339914</t>
  </si>
  <si>
    <t>АО "Комдрагметалл РС(Я)"</t>
  </si>
  <si>
    <t>1435343333</t>
  </si>
  <si>
    <t>18-06-2019 00:00:00</t>
  </si>
  <si>
    <t>27571501</t>
  </si>
  <si>
    <t>АО "Намкоммунтеплоэнерго"</t>
  </si>
  <si>
    <t>1417008773</t>
  </si>
  <si>
    <t>141701001</t>
  </si>
  <si>
    <t>11-11-2011 00:00:00</t>
  </si>
  <si>
    <t>26354184</t>
  </si>
  <si>
    <t>АО "Полюс Алдан"</t>
  </si>
  <si>
    <t>1402046085</t>
  </si>
  <si>
    <t>140201001</t>
  </si>
  <si>
    <t>16-12-2005 00:00:00</t>
  </si>
  <si>
    <t>26507031</t>
  </si>
  <si>
    <t>АО "Саханефтегазсбыт" Белогорская нефтебаза</t>
  </si>
  <si>
    <t>1435115270</t>
  </si>
  <si>
    <t>140102001</t>
  </si>
  <si>
    <t>01-09-2000 00:00:00</t>
  </si>
  <si>
    <t>26507095</t>
  </si>
  <si>
    <t>АО "Саханефтегазсбыт" Жиганская нефтебаза</t>
  </si>
  <si>
    <t>141202001</t>
  </si>
  <si>
    <t>26507137</t>
  </si>
  <si>
    <t>АО "Саханефтегазсбыт" Ленская нефтебаза</t>
  </si>
  <si>
    <t>141402001</t>
  </si>
  <si>
    <t>26507194</t>
  </si>
  <si>
    <t>АО "Саханефтегазсбыт" Олекминская нефтебаза</t>
  </si>
  <si>
    <t>142102001</t>
  </si>
  <si>
    <t>26507237</t>
  </si>
  <si>
    <t>АО "Саханефтегазсбыт" Покровская нефтебаза</t>
  </si>
  <si>
    <t>143102001</t>
  </si>
  <si>
    <t>26507231</t>
  </si>
  <si>
    <t>АО "Саханефтегазсбыт" Усть-Куйгинская нефтебаза</t>
  </si>
  <si>
    <t>142902001</t>
  </si>
  <si>
    <t>26507217</t>
  </si>
  <si>
    <t>АО "Саханефтегазсбыт" Хандыгская нефтебаза</t>
  </si>
  <si>
    <t>142602001</t>
  </si>
  <si>
    <t>30882877</t>
  </si>
  <si>
    <t>АО "Саханефтегазсбыт" Якутская нефтебаза</t>
  </si>
  <si>
    <t>143502001</t>
  </si>
  <si>
    <t>26507029</t>
  </si>
  <si>
    <t>АО "Сахаэнерго" филиал "Белогорский РЭС"</t>
  </si>
  <si>
    <t>1435117944</t>
  </si>
  <si>
    <t>16-01-2001 00:00:00</t>
  </si>
  <si>
    <t>26642562</t>
  </si>
  <si>
    <t>АО "Сахаэнерго" филиал "Кобяйские ЭС"</t>
  </si>
  <si>
    <t>141331006</t>
  </si>
  <si>
    <t>26507166</t>
  </si>
  <si>
    <t>АО "Сахаэнерго" филиал "Момский РЭС"</t>
  </si>
  <si>
    <t>141602001</t>
  </si>
  <si>
    <t>26507175</t>
  </si>
  <si>
    <t>АО "Сахаэнерго" филиал "Нижнеколымский РЭС"</t>
  </si>
  <si>
    <t>141802001</t>
  </si>
  <si>
    <t>26567364</t>
  </si>
  <si>
    <t>АО "Сахаэнерго" филиал "Оймяконский РЭС"</t>
  </si>
  <si>
    <t>142003001</t>
  </si>
  <si>
    <t>26507192</t>
  </si>
  <si>
    <t>АО "Сахаэнерго" филиал "Олекминский РЭС"</t>
  </si>
  <si>
    <t>142102003</t>
  </si>
  <si>
    <t>26507205</t>
  </si>
  <si>
    <t>АО "Сахаэнерго" филиал "Среднеколымский РЭС"</t>
  </si>
  <si>
    <t>142302001</t>
  </si>
  <si>
    <t>26507047</t>
  </si>
  <si>
    <t>АО "Сахаэнерго" филиал "Чокурдахский РЭС"</t>
  </si>
  <si>
    <t>140302001</t>
  </si>
  <si>
    <t>26507229</t>
  </si>
  <si>
    <t>АО "Сахаэнерго" филиал "Янские ЭС"</t>
  </si>
  <si>
    <t>26354226</t>
  </si>
  <si>
    <t>АО "ТЕЛЕН"</t>
  </si>
  <si>
    <t>1425000746</t>
  </si>
  <si>
    <t>142501001</t>
  </si>
  <si>
    <t>07-12-2002 00:00:00</t>
  </si>
  <si>
    <t>31180864</t>
  </si>
  <si>
    <t>АО "Теплоэнергия"</t>
  </si>
  <si>
    <t>1435332211</t>
  </si>
  <si>
    <t>28-04-2018 00:00:00</t>
  </si>
  <si>
    <t>26506836</t>
  </si>
  <si>
    <t>АО "Хангаласский Газстрой"</t>
  </si>
  <si>
    <t>1431002195</t>
  </si>
  <si>
    <t>143101001</t>
  </si>
  <si>
    <t>08-09-2002 00:00:00</t>
  </si>
  <si>
    <t>26506880</t>
  </si>
  <si>
    <t>АО "ЯКУТОПТТОРГ"</t>
  </si>
  <si>
    <t>1435167374</t>
  </si>
  <si>
    <t>27-01-2006 00:00:00</t>
  </si>
  <si>
    <t>31717837</t>
  </si>
  <si>
    <t>АО «ЮРК»</t>
  </si>
  <si>
    <t>2312322014</t>
  </si>
  <si>
    <t>231201001</t>
  </si>
  <si>
    <t>22-09-2023 00:00:00</t>
  </si>
  <si>
    <t>28487558</t>
  </si>
  <si>
    <t>АО Компания "Кран-сервис"</t>
  </si>
  <si>
    <t>1435025429</t>
  </si>
  <si>
    <t>17-07-2002 00:00:00</t>
  </si>
  <si>
    <t>26354268</t>
  </si>
  <si>
    <t>АО ЛК "Туймаада-Лизинг"</t>
  </si>
  <si>
    <t>1435203015</t>
  </si>
  <si>
    <t>01-05-1996 00:00:00</t>
  </si>
  <si>
    <t>26354242</t>
  </si>
  <si>
    <t>АО ПО "Якутцемент"</t>
  </si>
  <si>
    <t>1431008422</t>
  </si>
  <si>
    <t>10-11-2003 00:00:00</t>
  </si>
  <si>
    <t>27724888</t>
  </si>
  <si>
    <t>Алданский филиал АО "Теплоэнергосервис"</t>
  </si>
  <si>
    <t>1435191592</t>
  </si>
  <si>
    <t>140243001</t>
  </si>
  <si>
    <t>15-09-2011 00:00:00</t>
  </si>
  <si>
    <t>30895075</t>
  </si>
  <si>
    <t>Амгинский филиал АО "РИК Автодор"</t>
  </si>
  <si>
    <t>1419005577</t>
  </si>
  <si>
    <t>140443001</t>
  </si>
  <si>
    <t>22-11-2016 00:00:00</t>
  </si>
  <si>
    <t>26507144</t>
  </si>
  <si>
    <t>Вилюйский филиал АО "Теплоэнергосервис"</t>
  </si>
  <si>
    <t>143302001</t>
  </si>
  <si>
    <t>29-08-2007 00:00:00</t>
  </si>
  <si>
    <t>30959240</t>
  </si>
  <si>
    <t>ГАНОУ РС(Я) "РРЦ Юные Якутяне"</t>
  </si>
  <si>
    <t>1435188374</t>
  </si>
  <si>
    <t>25-05-2007 00:00:00</t>
  </si>
  <si>
    <t>27577232</t>
  </si>
  <si>
    <t>ГАНОУ РЦ РС (Я) "МАН РС (Я)"</t>
  </si>
  <si>
    <t>1431007115</t>
  </si>
  <si>
    <t>16-01-2012 00:00:00</t>
  </si>
  <si>
    <t>26506878</t>
  </si>
  <si>
    <t>ГАУ РС(Я) "Республиканская больница №1 - Национальный центр медицины"</t>
  </si>
  <si>
    <t>1435099188</t>
  </si>
  <si>
    <t>20-12-2002 00:00:00</t>
  </si>
  <si>
    <t>26506860</t>
  </si>
  <si>
    <t>ГКОУ "Республиканская СКШИ 5 вида"</t>
  </si>
  <si>
    <t>1435119356</t>
  </si>
  <si>
    <t>27-02-2003 00:00:00</t>
  </si>
  <si>
    <t>ГОСУДАРСТВЕННЫЙ КОМИТЕТ ПО ЦЕНОВОЙ ПОЛИТИКЕ РЕСПУБЛИКИ САХА (ЯКУТИЯ)</t>
  </si>
  <si>
    <t>1435117895</t>
  </si>
  <si>
    <t>26506849</t>
  </si>
  <si>
    <t>ГУП "ЖКХ РС(Я)"</t>
  </si>
  <si>
    <t>1435133520</t>
  </si>
  <si>
    <t>07-02-2003 00:00:00</t>
  </si>
  <si>
    <t>26507027</t>
  </si>
  <si>
    <t>ГУП "ЖКХ РС(Я)" Абыйский филиал</t>
  </si>
  <si>
    <t>26507043</t>
  </si>
  <si>
    <t>ГУП "ЖКХ РС(Я)" Аллаиховский филиал</t>
  </si>
  <si>
    <t>26507045</t>
  </si>
  <si>
    <t>ГУП "ЖКХ РС(Я)" Амгинский филиал</t>
  </si>
  <si>
    <t>140402001</t>
  </si>
  <si>
    <t>26507055</t>
  </si>
  <si>
    <t>ГУП "ЖКХ РС(Я)" Анабарский филиал</t>
  </si>
  <si>
    <t>140503001</t>
  </si>
  <si>
    <t>26507063</t>
  </si>
  <si>
    <t>ГУП "ЖКХ РС(Я)" Булунский филиал</t>
  </si>
  <si>
    <t>140603001</t>
  </si>
  <si>
    <t>26507073</t>
  </si>
  <si>
    <t>ГУП "ЖКХ РС(Я)" Верхневилюйский филиал</t>
  </si>
  <si>
    <t>140703001</t>
  </si>
  <si>
    <t>26507065</t>
  </si>
  <si>
    <t>ГУП "ЖКХ РС(Я)" Верхнеколымский филиал</t>
  </si>
  <si>
    <t>140803001</t>
  </si>
  <si>
    <t>26507079</t>
  </si>
  <si>
    <t>ГУП "ЖКХ РС(Я)" Верхоянский филиал</t>
  </si>
  <si>
    <t>140902001</t>
  </si>
  <si>
    <t>26507085</t>
  </si>
  <si>
    <t>ГУП "ЖКХ РС(Я)" Вилюйский филиал</t>
  </si>
  <si>
    <t>141002001</t>
  </si>
  <si>
    <t>26507087</t>
  </si>
  <si>
    <t>ГУП "ЖКХ РС(Я)" Горный филиал</t>
  </si>
  <si>
    <t>141102001</t>
  </si>
  <si>
    <t>26507091</t>
  </si>
  <si>
    <t>ГУП "ЖКХ РС(Я)" Жиганский филиал</t>
  </si>
  <si>
    <t>26507097</t>
  </si>
  <si>
    <t>ГУП "ЖКХ РС(Я)" Кобяйский филиал</t>
  </si>
  <si>
    <t>141303001</t>
  </si>
  <si>
    <t>26507139</t>
  </si>
  <si>
    <t>ГУП "ЖКХ РС(Я)" Мегино-Кангаласский филиал</t>
  </si>
  <si>
    <t>141503001</t>
  </si>
  <si>
    <t>26507164</t>
  </si>
  <si>
    <t>ГУП "ЖКХ РС(Я)" Момский филиал</t>
  </si>
  <si>
    <t>141603001</t>
  </si>
  <si>
    <t>26507171</t>
  </si>
  <si>
    <t>ГУП "ЖКХ РС(Я)" Нижнеколымский филиал</t>
  </si>
  <si>
    <t>26507184</t>
  </si>
  <si>
    <t>ГУП "ЖКХ РС(Я)" Нюрбинский филиал</t>
  </si>
  <si>
    <t>141902001</t>
  </si>
  <si>
    <t>26507190</t>
  </si>
  <si>
    <t>ГУП "ЖКХ РС(Я)" Олекминский филиал</t>
  </si>
  <si>
    <t>26507197</t>
  </si>
  <si>
    <t>ГУП "ЖКХ РС(Я)" Оленекский филиал</t>
  </si>
  <si>
    <t>142202001</t>
  </si>
  <si>
    <t>26507201</t>
  </si>
  <si>
    <t>ГУП "ЖКХ РС(Я)" Среднеколымский филиал</t>
  </si>
  <si>
    <t>26507209</t>
  </si>
  <si>
    <t>ГУП "ЖКХ РС(Я)" Сунтарский филиал</t>
  </si>
  <si>
    <t>142402001</t>
  </si>
  <si>
    <t>26507211</t>
  </si>
  <si>
    <t>ГУП "ЖКХ РС(Я)" Таттинский филиал</t>
  </si>
  <si>
    <t>142502001</t>
  </si>
  <si>
    <t>26507215</t>
  </si>
  <si>
    <t>ГУП "ЖКХ РС(Я)" Томпонский филиал</t>
  </si>
  <si>
    <t>142603001</t>
  </si>
  <si>
    <t>26507219</t>
  </si>
  <si>
    <t>ГУП "ЖКХ РС(Я)" Усть-Алданский филиал</t>
  </si>
  <si>
    <t>142703001</t>
  </si>
  <si>
    <t>26507235</t>
  </si>
  <si>
    <t>ГУП "ЖКХ РС(Я)" Хангаласский филиал</t>
  </si>
  <si>
    <t>143103001</t>
  </si>
  <si>
    <t>26507239</t>
  </si>
  <si>
    <t>ГУП "ЖКХ РС(Я)" Чурапчинский филиал</t>
  </si>
  <si>
    <t>143032001</t>
  </si>
  <si>
    <t>26507243</t>
  </si>
  <si>
    <t>ГУП "ЖКХ РС(Я)" Эвено-Бытантайский филиал</t>
  </si>
  <si>
    <t>143202001</t>
  </si>
  <si>
    <t>26626734</t>
  </si>
  <si>
    <t>ГУП "ЖКХ РС(Я)" филиал "Коммункомплектация"</t>
  </si>
  <si>
    <t>143201002</t>
  </si>
  <si>
    <t>27569992</t>
  </si>
  <si>
    <t>Дальневосточная дирекция по тепловодоснабжению – структурное подразделение Центральной дирекции по тепловодоснабжению – филиала ОАО "Российские железные дороги"</t>
  </si>
  <si>
    <t>7708503727</t>
  </si>
  <si>
    <t>272445024</t>
  </si>
  <si>
    <t>26530078</t>
  </si>
  <si>
    <t>Дальневосточная дирекция по энергообеспечению – СП Трансэнерго - филиала ОАО "РЖД"</t>
  </si>
  <si>
    <t>272145007</t>
  </si>
  <si>
    <t>28058949</t>
  </si>
  <si>
    <t>ЖСПК "Энергетик"</t>
  </si>
  <si>
    <t>1435153565</t>
  </si>
  <si>
    <t>23-01-2013 00:00:00</t>
  </si>
  <si>
    <t>31030732</t>
  </si>
  <si>
    <t>ЖЭ(К)О № 7 филиала ФГБУ «ЦЖКУ» Минобороны России по ВВО</t>
  </si>
  <si>
    <t>7729314745</t>
  </si>
  <si>
    <t>753645002</t>
  </si>
  <si>
    <t>31448480</t>
  </si>
  <si>
    <t>ИП "Курганова И.Г."</t>
  </si>
  <si>
    <t>142100652234</t>
  </si>
  <si>
    <t>18-02-2019 00:00:00</t>
  </si>
  <si>
    <t>30352196</t>
  </si>
  <si>
    <t>ИП "Яковлев С.М."</t>
  </si>
  <si>
    <t>143506006321</t>
  </si>
  <si>
    <t>21-10-2004 00:00:00</t>
  </si>
  <si>
    <t>31024200</t>
  </si>
  <si>
    <t>ИП Архангельский Д. Д.</t>
  </si>
  <si>
    <t>141002816700</t>
  </si>
  <si>
    <t>29-03-2016 00:00:00</t>
  </si>
  <si>
    <t>31437053</t>
  </si>
  <si>
    <t>ИП Богданчиков С.В.</t>
  </si>
  <si>
    <t>870600602099</t>
  </si>
  <si>
    <t>20-03-2009 00:00:00</t>
  </si>
  <si>
    <t>31707475</t>
  </si>
  <si>
    <t>ИП ГАБЫШЕВ ТИМОФЕЙ АЛЕКСЕЕВИЧ</t>
  </si>
  <si>
    <t>142101857925</t>
  </si>
  <si>
    <t>16-10-2013 00:00:00</t>
  </si>
  <si>
    <t>28883073</t>
  </si>
  <si>
    <t>ИП Габышев А.Г.</t>
  </si>
  <si>
    <t>142103192842</t>
  </si>
  <si>
    <t>14-02-2014 00:00:00</t>
  </si>
  <si>
    <t>28046800</t>
  </si>
  <si>
    <t>ИП Габышев В.А.</t>
  </si>
  <si>
    <t>142100532427</t>
  </si>
  <si>
    <t>17-01-2013 00:00:00</t>
  </si>
  <si>
    <t>28047028</t>
  </si>
  <si>
    <t>ИП Габышев М.В.</t>
  </si>
  <si>
    <t>142100409590</t>
  </si>
  <si>
    <t>31643515</t>
  </si>
  <si>
    <t>ИП КОЖОВ Э.А.</t>
  </si>
  <si>
    <t>142102751400</t>
  </si>
  <si>
    <t>25-02-2014 00:00:00</t>
  </si>
  <si>
    <t>31446224</t>
  </si>
  <si>
    <t>ИП Кадашников Е.А.</t>
  </si>
  <si>
    <t>142102706245</t>
  </si>
  <si>
    <t>07-11-2018 00:00:00</t>
  </si>
  <si>
    <t>31508626</t>
  </si>
  <si>
    <t>ИП Лыткин А.В.</t>
  </si>
  <si>
    <t>142100544084</t>
  </si>
  <si>
    <t>23-10-2020 00:00:00</t>
  </si>
  <si>
    <t>31689360</t>
  </si>
  <si>
    <t>ИП Мамонтов Владимир Владиленович</t>
  </si>
  <si>
    <t>142101831211</t>
  </si>
  <si>
    <t>25-12-2007 00:00:00</t>
  </si>
  <si>
    <t>30477710</t>
  </si>
  <si>
    <t>ИП Негреба Н.П.</t>
  </si>
  <si>
    <t>141800008827</t>
  </si>
  <si>
    <t>28046301</t>
  </si>
  <si>
    <t>ИП Ноговицына Н.И.</t>
  </si>
  <si>
    <t>142100153500</t>
  </si>
  <si>
    <t>31354597</t>
  </si>
  <si>
    <t>ИП Пичугин М.В.</t>
  </si>
  <si>
    <t>142101842774</t>
  </si>
  <si>
    <t>19-02-2013 00:00:00</t>
  </si>
  <si>
    <t>28046972</t>
  </si>
  <si>
    <t>ИП Попов В.В.</t>
  </si>
  <si>
    <t>142101734440</t>
  </si>
  <si>
    <t>11-04-2008 00:00:00</t>
  </si>
  <si>
    <t>31443676</t>
  </si>
  <si>
    <t>ИП Роев А.А.</t>
  </si>
  <si>
    <t>142103156107</t>
  </si>
  <si>
    <t>31-07-2020 00:00:00</t>
  </si>
  <si>
    <t>31768905</t>
  </si>
  <si>
    <t>ИП Роева Е.Н.</t>
  </si>
  <si>
    <t>142103377346</t>
  </si>
  <si>
    <t>10-10-2024 00:00:00</t>
  </si>
  <si>
    <t>28046476</t>
  </si>
  <si>
    <t>ИП Романов В.А.</t>
  </si>
  <si>
    <t>142103151846</t>
  </si>
  <si>
    <t>28134234</t>
  </si>
  <si>
    <t>ИП Рудых О.Н.</t>
  </si>
  <si>
    <t>142101316919</t>
  </si>
  <si>
    <t>18-03-2013 00:00:00</t>
  </si>
  <si>
    <t>31740526</t>
  </si>
  <si>
    <t>ИП Тагасова М.Р.</t>
  </si>
  <si>
    <t>142701758482</t>
  </si>
  <si>
    <t>29-06-2018 00:00:00</t>
  </si>
  <si>
    <t>31773835</t>
  </si>
  <si>
    <t>ИП Терентьев А.А.</t>
  </si>
  <si>
    <t>142103187176</t>
  </si>
  <si>
    <t>25-11-2024 00:00:00</t>
  </si>
  <si>
    <t>28046614</t>
  </si>
  <si>
    <t>ИП Тимершина Н.В.</t>
  </si>
  <si>
    <t>142101474513</t>
  </si>
  <si>
    <t>31749296</t>
  </si>
  <si>
    <t>ИП Шептякова Т.Л.</t>
  </si>
  <si>
    <t>142100770502</t>
  </si>
  <si>
    <t>28-01-2022 00:00:00</t>
  </si>
  <si>
    <t>31751687</t>
  </si>
  <si>
    <t>ЛЕНСКИЙ ФИЛИАЛ АО "ТЕПЛОЭНЕРГОСЕРВИС"</t>
  </si>
  <si>
    <t>141401001</t>
  </si>
  <si>
    <t>26-03-2024 00:00:00</t>
  </si>
  <si>
    <t>31639229</t>
  </si>
  <si>
    <t>МАУ "СЭГХ" МО "ГОРОД ОЛЕКМИНСК"</t>
  </si>
  <si>
    <t>1421009434</t>
  </si>
  <si>
    <t>142101001</t>
  </si>
  <si>
    <t>28-03-2012 00:00:00</t>
  </si>
  <si>
    <t>30999779</t>
  </si>
  <si>
    <t>МАУ "Сунтар"</t>
  </si>
  <si>
    <t>1424008816</t>
  </si>
  <si>
    <t>142401001</t>
  </si>
  <si>
    <t>09-01-2013 00:00:00</t>
  </si>
  <si>
    <t>26354181</t>
  </si>
  <si>
    <t>МУП "АПП"</t>
  </si>
  <si>
    <t>1402014118</t>
  </si>
  <si>
    <t>29-10-2003 00:00:00</t>
  </si>
  <si>
    <t>28117906</t>
  </si>
  <si>
    <t>МУП "Вилюит" МО "Город Вилюйск"</t>
  </si>
  <si>
    <t>1410005935</t>
  </si>
  <si>
    <t>141001001</t>
  </si>
  <si>
    <t>01-06-2007 00:00:00</t>
  </si>
  <si>
    <t>26354284</t>
  </si>
  <si>
    <t>МУП "Жатайтеплосеть"</t>
  </si>
  <si>
    <t>1435134185</t>
  </si>
  <si>
    <t>25-02-2003 00:00:00</t>
  </si>
  <si>
    <t>27820072</t>
  </si>
  <si>
    <t>МУП "Коммунальщик"</t>
  </si>
  <si>
    <t>1433027727</t>
  </si>
  <si>
    <t>143301001</t>
  </si>
  <si>
    <t>10-05-2012 00:00:00</t>
  </si>
  <si>
    <t>30958994</t>
  </si>
  <si>
    <t>МУП "ПТСК" ГО "город Якутск"</t>
  </si>
  <si>
    <t>1435321749</t>
  </si>
  <si>
    <t>05-06-2017 00:00:00</t>
  </si>
  <si>
    <t>30436653</t>
  </si>
  <si>
    <t>МУП "СЕЗ" ГО "Жатай"</t>
  </si>
  <si>
    <t>1435139271</t>
  </si>
  <si>
    <t>01-08-2003 00:00:00</t>
  </si>
  <si>
    <t>31004882</t>
  </si>
  <si>
    <t>МУП "ТехКоммунСервис"</t>
  </si>
  <si>
    <t>1415009299</t>
  </si>
  <si>
    <t>141501001</t>
  </si>
  <si>
    <t>25-10-2003 00:00:00</t>
  </si>
  <si>
    <t>28451150</t>
  </si>
  <si>
    <t>МУП «Жилкомсервис» ГО «Город Якутск»</t>
  </si>
  <si>
    <t>1435242617</t>
  </si>
  <si>
    <t>23-06-2011 00:00:00</t>
  </si>
  <si>
    <t>26354233</t>
  </si>
  <si>
    <t>ОАО "Дороги Усть-Алдана"</t>
  </si>
  <si>
    <t>1427008839</t>
  </si>
  <si>
    <t>142701001</t>
  </si>
  <si>
    <t>08-09-2005 00:00:00</t>
  </si>
  <si>
    <t>30992499</t>
  </si>
  <si>
    <t>ОАО "Медиа-Холдинг Якутия"</t>
  </si>
  <si>
    <t>1435186578</t>
  </si>
  <si>
    <t>16-04-2007 00:00:00</t>
  </si>
  <si>
    <t>31768349</t>
  </si>
  <si>
    <t>ООО "АРКТИК ЛАЙН"</t>
  </si>
  <si>
    <t>1435292985</t>
  </si>
  <si>
    <t>19-03-2015 00:00:00</t>
  </si>
  <si>
    <t>31773841</t>
  </si>
  <si>
    <t>ООО "АРМТЭК"</t>
  </si>
  <si>
    <t>1400032376</t>
  </si>
  <si>
    <t>140001001</t>
  </si>
  <si>
    <t>29-02-2024 00:00:00</t>
  </si>
  <si>
    <t>31456575</t>
  </si>
  <si>
    <t>ООО "Аарыма ТЭК"</t>
  </si>
  <si>
    <t>1435345235</t>
  </si>
  <si>
    <t>26642947</t>
  </si>
  <si>
    <t>ООО "Автомобилист 2"</t>
  </si>
  <si>
    <t>1431011506</t>
  </si>
  <si>
    <t>01-12-2010 00:00:00</t>
  </si>
  <si>
    <t>30353229</t>
  </si>
  <si>
    <t>ООО "Алмазинвестстрой"</t>
  </si>
  <si>
    <t>1435230403</t>
  </si>
  <si>
    <t>13-07-2010 00:00:00</t>
  </si>
  <si>
    <t>27578621</t>
  </si>
  <si>
    <t>ООО "Альтаир"</t>
  </si>
  <si>
    <t>1431010502</t>
  </si>
  <si>
    <t>17-01-2012 00:00:00</t>
  </si>
  <si>
    <t>28829287</t>
  </si>
  <si>
    <t>ООО "Армон"</t>
  </si>
  <si>
    <t>1435217586</t>
  </si>
  <si>
    <t>08-10-2014 00:00:00</t>
  </si>
  <si>
    <t>26646834</t>
  </si>
  <si>
    <t>ООО "Арыылаах"</t>
  </si>
  <si>
    <t>1419007750</t>
  </si>
  <si>
    <t>21-12-2010 00:00:00</t>
  </si>
  <si>
    <t>26354186</t>
  </si>
  <si>
    <t>ООО "Ассоциация строителей АЯМ"</t>
  </si>
  <si>
    <t>1402045638</t>
  </si>
  <si>
    <t>773101001</t>
  </si>
  <si>
    <t>30-12-2004 00:00:00</t>
  </si>
  <si>
    <t>27328042</t>
  </si>
  <si>
    <t>ООО "Бэрдьигэс"</t>
  </si>
  <si>
    <t>1411004606</t>
  </si>
  <si>
    <t>141101001</t>
  </si>
  <si>
    <t>29-06-2010 00:00:00</t>
  </si>
  <si>
    <t>31043209</t>
  </si>
  <si>
    <t>ООО "Вилюйское ЖКХ"</t>
  </si>
  <si>
    <t>1410008125</t>
  </si>
  <si>
    <t>12-01-2017 00:00:00</t>
  </si>
  <si>
    <t>31365484</t>
  </si>
  <si>
    <t>ООО "ДВ Энерджи"</t>
  </si>
  <si>
    <t>1435275429</t>
  </si>
  <si>
    <t>18-12-2013 00:00:00</t>
  </si>
  <si>
    <t>26646772</t>
  </si>
  <si>
    <t>ООО "Дорожник"</t>
  </si>
  <si>
    <t>1430007810</t>
  </si>
  <si>
    <t>143001001</t>
  </si>
  <si>
    <t>24-04-2003 00:00:00</t>
  </si>
  <si>
    <t>30436144</t>
  </si>
  <si>
    <t>ООО "Дьулуур"</t>
  </si>
  <si>
    <t>1430011013</t>
  </si>
  <si>
    <t>29-12-2015 00:00:00</t>
  </si>
  <si>
    <t>30949616</t>
  </si>
  <si>
    <t>ООО "ЖКХ "АЛЬТЕРНАТИВА"</t>
  </si>
  <si>
    <t>1435309205</t>
  </si>
  <si>
    <t>10-06-2016 00:00:00</t>
  </si>
  <si>
    <t>31762504</t>
  </si>
  <si>
    <t>ООО "ЖКХ АЛЬТЕРНАТИВА"</t>
  </si>
  <si>
    <t>1400018533</t>
  </si>
  <si>
    <t>14-02-2023 00:00:00</t>
  </si>
  <si>
    <t>26506912</t>
  </si>
  <si>
    <t>ООО "ЖКХ Витим"</t>
  </si>
  <si>
    <t>1414014585</t>
  </si>
  <si>
    <t>26801506</t>
  </si>
  <si>
    <t>ООО "Жилищно-коммунальный сервис"</t>
  </si>
  <si>
    <t>1424008397</t>
  </si>
  <si>
    <t>31-01-2011 00:00:00</t>
  </si>
  <si>
    <t>27571913</t>
  </si>
  <si>
    <t>ООО "Жилтехсервис"</t>
  </si>
  <si>
    <t>1410006939</t>
  </si>
  <si>
    <t>12-01-2012 00:00:00</t>
  </si>
  <si>
    <t>31061053</t>
  </si>
  <si>
    <t>ООО "ИТЭК"</t>
  </si>
  <si>
    <t>1435278116</t>
  </si>
  <si>
    <t>02-03-2018 00:00:00</t>
  </si>
  <si>
    <t>28796541</t>
  </si>
  <si>
    <t>ООО "Инкит"</t>
  </si>
  <si>
    <t>1422002287</t>
  </si>
  <si>
    <t>142201001</t>
  </si>
  <si>
    <t>11-08-2014 00:00:00</t>
  </si>
  <si>
    <t>31529540</t>
  </si>
  <si>
    <t>ООО "КСК ЛИДЕР"</t>
  </si>
  <si>
    <t>1419008779</t>
  </si>
  <si>
    <t>06-05-2016 00:00:00</t>
  </si>
  <si>
    <t>28072080</t>
  </si>
  <si>
    <t>ООО "Квартал  50–услуги"</t>
  </si>
  <si>
    <t>1435167790</t>
  </si>
  <si>
    <t>03-02-2006 00:00:00</t>
  </si>
  <si>
    <t>28072048</t>
  </si>
  <si>
    <t>ООО "Квартал 103-услуги"</t>
  </si>
  <si>
    <t>1435167783</t>
  </si>
  <si>
    <t>28072092</t>
  </si>
  <si>
    <t>ООО "Квартал 36"</t>
  </si>
  <si>
    <t>1435255630</t>
  </si>
  <si>
    <t>26-06-2012 00:00:00</t>
  </si>
  <si>
    <t>31457064</t>
  </si>
  <si>
    <t>ООО "Киров-строй"</t>
  </si>
  <si>
    <t>1419008183</t>
  </si>
  <si>
    <t>15-02-2013 00:00:00</t>
  </si>
  <si>
    <t>27899701</t>
  </si>
  <si>
    <t>ООО "Коммунальный сервис"</t>
  </si>
  <si>
    <t>1425005511</t>
  </si>
  <si>
    <t>17-10-2012 00:00:00</t>
  </si>
  <si>
    <t>26354208</t>
  </si>
  <si>
    <t>ООО "Коммунтеплосервис"</t>
  </si>
  <si>
    <t>1415010632</t>
  </si>
  <si>
    <t>22-12-2006 00:00:00</t>
  </si>
  <si>
    <t>26642915</t>
  </si>
  <si>
    <t>ООО "Кыым"</t>
  </si>
  <si>
    <t>1419007729</t>
  </si>
  <si>
    <t>26-11-2010 00:00:00</t>
  </si>
  <si>
    <t>26354283</t>
  </si>
  <si>
    <t>ООО "Либор"</t>
  </si>
  <si>
    <t>1435131988</t>
  </si>
  <si>
    <t>18-12-2002 00:00:00</t>
  </si>
  <si>
    <t>30353971</t>
  </si>
  <si>
    <t>ООО "МАКСИМУС+"</t>
  </si>
  <si>
    <t>1435296203</t>
  </si>
  <si>
    <t>04-06-2015 00:00:00</t>
  </si>
  <si>
    <t>28793701</t>
  </si>
  <si>
    <t>ООО "МП КК НР"</t>
  </si>
  <si>
    <t>1434046916</t>
  </si>
  <si>
    <t>143401001</t>
  </si>
  <si>
    <t>23-06-2014 00:00:00</t>
  </si>
  <si>
    <t>31802526</t>
  </si>
  <si>
    <t>ООО "МУП ТЭК"</t>
  </si>
  <si>
    <t>1400042649</t>
  </si>
  <si>
    <t>28-12-2024 00:00:00</t>
  </si>
  <si>
    <t>26354248</t>
  </si>
  <si>
    <t>ООО "Магистраль Беркакит"</t>
  </si>
  <si>
    <t>1434034212</t>
  </si>
  <si>
    <t>28-05-2007 00:00:00</t>
  </si>
  <si>
    <t>26354207</t>
  </si>
  <si>
    <t>ООО "Мегино - Кангаласские автодороги"</t>
  </si>
  <si>
    <t>1415013489</t>
  </si>
  <si>
    <t>15-07-2015 00:00:00</t>
  </si>
  <si>
    <t>26642156</t>
  </si>
  <si>
    <t>ООО "НерюнгриТеплоНаладка"</t>
  </si>
  <si>
    <t>1434026780</t>
  </si>
  <si>
    <t>17-10-2002 00:00:00</t>
  </si>
  <si>
    <t>28283731</t>
  </si>
  <si>
    <t>ООО "Нидстрой"</t>
  </si>
  <si>
    <t>1435262571</t>
  </si>
  <si>
    <t>30852052</t>
  </si>
  <si>
    <t>ООО "Нидстрой+"</t>
  </si>
  <si>
    <t>1435306356</t>
  </si>
  <si>
    <t>28-03-2016 00:00:00</t>
  </si>
  <si>
    <t>31083727</t>
  </si>
  <si>
    <t>ООО "Орион"</t>
  </si>
  <si>
    <t>1402015640</t>
  </si>
  <si>
    <t>07-02-2012 00:00:00</t>
  </si>
  <si>
    <t>31340382</t>
  </si>
  <si>
    <t>ООО "Основа"</t>
  </si>
  <si>
    <t>1435307046</t>
  </si>
  <si>
    <t>14-06-2016 00:00:00</t>
  </si>
  <si>
    <t>31717844</t>
  </si>
  <si>
    <t>ООО "ПРОМЕТЕЙ-СЕРВИС"</t>
  </si>
  <si>
    <t>1435290709</t>
  </si>
  <si>
    <t>29-01-2015 00:00:00</t>
  </si>
  <si>
    <t>30856495</t>
  </si>
  <si>
    <t>ООО "ПТВС"</t>
  </si>
  <si>
    <t>1433029788</t>
  </si>
  <si>
    <t>29-06-2016 00:00:00</t>
  </si>
  <si>
    <t>30378674</t>
  </si>
  <si>
    <t>ООО "Промвентиляция"</t>
  </si>
  <si>
    <t>1402011195</t>
  </si>
  <si>
    <t>15-10-2002 00:00:00</t>
  </si>
  <si>
    <t>28149434</t>
  </si>
  <si>
    <t>ООО "Прометей"</t>
  </si>
  <si>
    <t>1408002599</t>
  </si>
  <si>
    <t>140801001</t>
  </si>
  <si>
    <t>18-03-2003 00:00:00</t>
  </si>
  <si>
    <t>28828208</t>
  </si>
  <si>
    <t>ООО "РЕГУЛ"</t>
  </si>
  <si>
    <t>5403340859</t>
  </si>
  <si>
    <t>540301001</t>
  </si>
  <si>
    <t>20-09-2012 00:00:00</t>
  </si>
  <si>
    <t>26506824</t>
  </si>
  <si>
    <t>ООО "РСО Эрэл"</t>
  </si>
  <si>
    <t>1422001879</t>
  </si>
  <si>
    <t>19-05-2009 00:00:00</t>
  </si>
  <si>
    <t>26354286</t>
  </si>
  <si>
    <t>ООО "Роскатех"</t>
  </si>
  <si>
    <t>1435139850</t>
  </si>
  <si>
    <t>21-08-2003 00:00:00</t>
  </si>
  <si>
    <t>26354180</t>
  </si>
  <si>
    <t>ООО "Рубин"</t>
  </si>
  <si>
    <t>1402012833</t>
  </si>
  <si>
    <t>10-09-2002 00:00:00</t>
  </si>
  <si>
    <t>28544145</t>
  </si>
  <si>
    <t>ООО "СЗ Трансстрой"</t>
  </si>
  <si>
    <t>1435203400</t>
  </si>
  <si>
    <t>30-05-2008 00:00:00</t>
  </si>
  <si>
    <t>31412140</t>
  </si>
  <si>
    <t>ООО "СТК-58"</t>
  </si>
  <si>
    <t>1435342040</t>
  </si>
  <si>
    <t>31754480</t>
  </si>
  <si>
    <t>ООО "СТЭП"</t>
  </si>
  <si>
    <t>1400020282</t>
  </si>
  <si>
    <t>30-03-2023 00:00:00</t>
  </si>
  <si>
    <t>31342178</t>
  </si>
  <si>
    <t>ООО "Сайдам"</t>
  </si>
  <si>
    <t>1424009506</t>
  </si>
  <si>
    <t>21-11-2017 00:00:00</t>
  </si>
  <si>
    <t>26506858</t>
  </si>
  <si>
    <t>ООО "СахаЭлектроГаз"</t>
  </si>
  <si>
    <t>1435129788</t>
  </si>
  <si>
    <t>09-09-2002 00:00:00</t>
  </si>
  <si>
    <t>30353663</t>
  </si>
  <si>
    <t>ООО "Северные Коммунальные Системы"</t>
  </si>
  <si>
    <t>1435265036</t>
  </si>
  <si>
    <t>04-03-2013 00:00:00</t>
  </si>
  <si>
    <t>26642576</t>
  </si>
  <si>
    <t>ООО "Совхоз Пятилетка"</t>
  </si>
  <si>
    <t>1402048460</t>
  </si>
  <si>
    <t>04-02-2009 00:00:00</t>
  </si>
  <si>
    <t>28053248</t>
  </si>
  <si>
    <t>ООО "СпецСервис"</t>
  </si>
  <si>
    <t>1427010370</t>
  </si>
  <si>
    <t>23-12-2010 00:00:00</t>
  </si>
  <si>
    <t>28037235</t>
  </si>
  <si>
    <t>ООО "Сталкер"</t>
  </si>
  <si>
    <t>1410007322</t>
  </si>
  <si>
    <t>14-01-2013 00:00:00</t>
  </si>
  <si>
    <t>30858584</t>
  </si>
  <si>
    <t>ООО "Стройтехмонтаж"</t>
  </si>
  <si>
    <t>1410007795</t>
  </si>
  <si>
    <t>05-06-2015 00:00:00</t>
  </si>
  <si>
    <t>31040853</t>
  </si>
  <si>
    <t>ООО "СунтарТеплоСнаб"</t>
  </si>
  <si>
    <t>1435325856</t>
  </si>
  <si>
    <t>19-10-2017 00:00:00</t>
  </si>
  <si>
    <t>26642917</t>
  </si>
  <si>
    <t>ООО "Сунтарцеолит"</t>
  </si>
  <si>
    <t>1424000895</t>
  </si>
  <si>
    <t>31617987</t>
  </si>
  <si>
    <t>ООО "ТЕПЛОСЕРВИС"</t>
  </si>
  <si>
    <t>1410008358</t>
  </si>
  <si>
    <t>08-02-2018 00:00:00</t>
  </si>
  <si>
    <t>31585172</t>
  </si>
  <si>
    <t>ООО "ТЕПЛОСЕТЬ"</t>
  </si>
  <si>
    <t>1435245840</t>
  </si>
  <si>
    <t>17-10-2011 00:00:00</t>
  </si>
  <si>
    <t>31191155</t>
  </si>
  <si>
    <t>ООО "ТРАНСМОНТАЖ"</t>
  </si>
  <si>
    <t>1421009106</t>
  </si>
  <si>
    <t>08-11-2010 00:00:00</t>
  </si>
  <si>
    <t>31824972</t>
  </si>
  <si>
    <t>ООО "ТЭЦ+"</t>
  </si>
  <si>
    <t>1400036187</t>
  </si>
  <si>
    <t>13-06-2024 00:00:00</t>
  </si>
  <si>
    <t>28046079</t>
  </si>
  <si>
    <t>ООО "Тепло+"</t>
  </si>
  <si>
    <t>1424008728</t>
  </si>
  <si>
    <t>31297211</t>
  </si>
  <si>
    <t>ООО "ТеплоСтройСаха"</t>
  </si>
  <si>
    <t>1425006025</t>
  </si>
  <si>
    <t>04-03-2019 00:00:00</t>
  </si>
  <si>
    <t>28283775</t>
  </si>
  <si>
    <t>ООО "ТеплоЭнергоКомплекс"</t>
  </si>
  <si>
    <t>1414016110</t>
  </si>
  <si>
    <t>07-10-2013 00:00:00</t>
  </si>
  <si>
    <t>31531341</t>
  </si>
  <si>
    <t>ООО "Тепломедсервис ПЛЮС"</t>
  </si>
  <si>
    <t>1435320135</t>
  </si>
  <si>
    <t>17-04-2017 00:00:00</t>
  </si>
  <si>
    <t>28147485</t>
  </si>
  <si>
    <t>ООО "Теплосеть+"</t>
  </si>
  <si>
    <t>1435265815</t>
  </si>
  <si>
    <t>16-05-2013 00:00:00</t>
  </si>
  <si>
    <t>30933901</t>
  </si>
  <si>
    <t>ООО "Теплоснаб"</t>
  </si>
  <si>
    <t>1410008157</t>
  </si>
  <si>
    <t>16-02-2017 00:00:00</t>
  </si>
  <si>
    <t>28046152</t>
  </si>
  <si>
    <t>ООО "Теплострой"</t>
  </si>
  <si>
    <t>1424008710</t>
  </si>
  <si>
    <t>20-04-2012 00:00:00</t>
  </si>
  <si>
    <t>26801463</t>
  </si>
  <si>
    <t>ООО "Теплостройкомплекс"</t>
  </si>
  <si>
    <t>1414014680</t>
  </si>
  <si>
    <t>27687104</t>
  </si>
  <si>
    <t>ООО "Теплоэнергия-98"</t>
  </si>
  <si>
    <t>1435248111</t>
  </si>
  <si>
    <t>08-12-2011 00:00:00</t>
  </si>
  <si>
    <t>26497668</t>
  </si>
  <si>
    <t>ООО "Транснефтьэнерго"</t>
  </si>
  <si>
    <t>7703552167</t>
  </si>
  <si>
    <t>772301001</t>
  </si>
  <si>
    <t>01-07-2009 00:00:00</t>
  </si>
  <si>
    <t>27523394</t>
  </si>
  <si>
    <t>ООО "Трест-2"</t>
  </si>
  <si>
    <t>1410004674</t>
  </si>
  <si>
    <t>25-05-2011 00:00:00</t>
  </si>
  <si>
    <t>28883067</t>
  </si>
  <si>
    <t>ООО "УК КОМФОРТ"</t>
  </si>
  <si>
    <t>1421009755</t>
  </si>
  <si>
    <t>23-01-2015 00:00:00</t>
  </si>
  <si>
    <t>28814672</t>
  </si>
  <si>
    <t>ООО "УК Тепло+"</t>
  </si>
  <si>
    <t>1426333459</t>
  </si>
  <si>
    <t>142601001</t>
  </si>
  <si>
    <t>21-08-2014 00:00:00</t>
  </si>
  <si>
    <t>31697676</t>
  </si>
  <si>
    <t>ООО "УЮТ"</t>
  </si>
  <si>
    <t>1400025869</t>
  </si>
  <si>
    <t>24-08-2023 00:00:00</t>
  </si>
  <si>
    <t>28868809</t>
  </si>
  <si>
    <t>ООО "ХОТ"</t>
  </si>
  <si>
    <t>1424008990</t>
  </si>
  <si>
    <t>01-01-2015 00:00:00</t>
  </si>
  <si>
    <t>28829257</t>
  </si>
  <si>
    <t>ООО "ЭкоИнвест"</t>
  </si>
  <si>
    <t>1414015885</t>
  </si>
  <si>
    <t>17-11-2014 00:00:00</t>
  </si>
  <si>
    <t>30953125</t>
  </si>
  <si>
    <t>ООО "Экогрупп"</t>
  </si>
  <si>
    <t>1435319468</t>
  </si>
  <si>
    <t>31-03-2017 00:00:00</t>
  </si>
  <si>
    <t>26354191</t>
  </si>
  <si>
    <t>ООО "Элээн"</t>
  </si>
  <si>
    <t>1410000528</t>
  </si>
  <si>
    <t>26-12-2002 00:00:00</t>
  </si>
  <si>
    <t>26354281</t>
  </si>
  <si>
    <t>ООО "Энергия"</t>
  </si>
  <si>
    <t>1435129957</t>
  </si>
  <si>
    <t>03-09-2002 00:00:00</t>
  </si>
  <si>
    <t>26354280</t>
  </si>
  <si>
    <t>ООО "Энергия-2002"</t>
  </si>
  <si>
    <t>1435127290</t>
  </si>
  <si>
    <t>30-04-2002 00:00:00</t>
  </si>
  <si>
    <t>26354249</t>
  </si>
  <si>
    <t>ООО "Энергорайон Чульман"</t>
  </si>
  <si>
    <t>1434034798</t>
  </si>
  <si>
    <t>30-08-2007 00:00:00</t>
  </si>
  <si>
    <t>26506864</t>
  </si>
  <si>
    <t>ООО "Энерготэк"</t>
  </si>
  <si>
    <t>1435197065</t>
  </si>
  <si>
    <t>23-01-2008 00:00:00</t>
  </si>
  <si>
    <t>26354194</t>
  </si>
  <si>
    <t>ООО "Эрэл"</t>
  </si>
  <si>
    <t>1410004924</t>
  </si>
  <si>
    <t>21-11-2002 00:00:00</t>
  </si>
  <si>
    <t>28829474</t>
  </si>
  <si>
    <t>ООО "Юпитер"</t>
  </si>
  <si>
    <t>1435278606</t>
  </si>
  <si>
    <t>05-03-2014 00:00:00</t>
  </si>
  <si>
    <t>30994875</t>
  </si>
  <si>
    <t>ООО "Якутский гормолзавод"</t>
  </si>
  <si>
    <t>1435322911</t>
  </si>
  <si>
    <t>13-07-2017 00:00:00</t>
  </si>
  <si>
    <t>26354296</t>
  </si>
  <si>
    <t>ООО "Якуттеплогаз"</t>
  </si>
  <si>
    <t>1435174357</t>
  </si>
  <si>
    <t>14-06-2006 00:00:00</t>
  </si>
  <si>
    <t>31515138</t>
  </si>
  <si>
    <t>ООО «ВЭС»</t>
  </si>
  <si>
    <t>1435355770</t>
  </si>
  <si>
    <t>26-10-2020 00:00:00</t>
  </si>
  <si>
    <t>31446107</t>
  </si>
  <si>
    <t>ООО «ПроэкД»</t>
  </si>
  <si>
    <t>1435262613</t>
  </si>
  <si>
    <t>10-01-2013 00:00:00</t>
  </si>
  <si>
    <t>31463362</t>
  </si>
  <si>
    <t>ООО «Санакэт»</t>
  </si>
  <si>
    <t>1435222522</t>
  </si>
  <si>
    <t>02-12-2009 00:00:00</t>
  </si>
  <si>
    <t>30414101</t>
  </si>
  <si>
    <t>ООО «ТрастГарант»</t>
  </si>
  <si>
    <t>1435244170</t>
  </si>
  <si>
    <t>16-08-2011 00:00:00</t>
  </si>
  <si>
    <t>30867861</t>
  </si>
  <si>
    <t>ООО «ЭНЕРГОСТРОЙКОМПЛЕКС»</t>
  </si>
  <si>
    <t>1414005703</t>
  </si>
  <si>
    <t>25-07-2015 00:00:00</t>
  </si>
  <si>
    <t>31296521</t>
  </si>
  <si>
    <t>ООО МТС "Верхневилюйск"</t>
  </si>
  <si>
    <t>1407008527</t>
  </si>
  <si>
    <t>140701001</t>
  </si>
  <si>
    <t>22-01-2019 00:00:00</t>
  </si>
  <si>
    <t>31410362</t>
  </si>
  <si>
    <t>ООО НПП "Ником"</t>
  </si>
  <si>
    <t>1435217233</t>
  </si>
  <si>
    <t>19-06-2009 00:00:00</t>
  </si>
  <si>
    <t>26354179</t>
  </si>
  <si>
    <t>ООО О "Содействие развитию предпринимательства"</t>
  </si>
  <si>
    <t>1402011170</t>
  </si>
  <si>
    <t>15-07-1999 00:00:00</t>
  </si>
  <si>
    <t>26559789</t>
  </si>
  <si>
    <t>ООО Рудник "Дуэт"</t>
  </si>
  <si>
    <t>1428009578</t>
  </si>
  <si>
    <t>142801001</t>
  </si>
  <si>
    <t>28461670</t>
  </si>
  <si>
    <t>ООО СЗ РП "ЯКУТСК"</t>
  </si>
  <si>
    <t>1435130166</t>
  </si>
  <si>
    <t>24-01-2014 00:00:00</t>
  </si>
  <si>
    <t>31521436</t>
  </si>
  <si>
    <t>ООО Ситим-Беченча</t>
  </si>
  <si>
    <t>1414017850</t>
  </si>
  <si>
    <t>05-05-2021 00:00:00</t>
  </si>
  <si>
    <t>30387945</t>
  </si>
  <si>
    <t>ООО ТСЖ "Уют"</t>
  </si>
  <si>
    <t>1430010115</t>
  </si>
  <si>
    <t>20-10-2011 00:00:00</t>
  </si>
  <si>
    <t>26506894</t>
  </si>
  <si>
    <t>ООО УК "Алпекс+"</t>
  </si>
  <si>
    <t>1407007523</t>
  </si>
  <si>
    <t>01-04-2011 00:00:00</t>
  </si>
  <si>
    <t>31092194</t>
  </si>
  <si>
    <t>ООО УК "Гармония"</t>
  </si>
  <si>
    <t>1435304380</t>
  </si>
  <si>
    <t>10-02-2016 00:00:00</t>
  </si>
  <si>
    <t>27964285</t>
  </si>
  <si>
    <t>ООО УК "Жилищный стандарт"</t>
  </si>
  <si>
    <t>1435254490</t>
  </si>
  <si>
    <t>23-05-2012 00:00:00</t>
  </si>
  <si>
    <t>30883602</t>
  </si>
  <si>
    <t>ООО УК "Уютный дом"</t>
  </si>
  <si>
    <t>1431013077</t>
  </si>
  <si>
    <t>04-07-2016 00:00:00</t>
  </si>
  <si>
    <t>30358218</t>
  </si>
  <si>
    <t>ООО УК ЖКХ "Бюджетник"</t>
  </si>
  <si>
    <t>1435270910</t>
  </si>
  <si>
    <t>12-08-2013 00:00:00</t>
  </si>
  <si>
    <t>28791725</t>
  </si>
  <si>
    <t>ООО Управляющая компания "М*К"</t>
  </si>
  <si>
    <t>1421009635</t>
  </si>
  <si>
    <t>28-01-2014 00:00:00</t>
  </si>
  <si>
    <t>26507188</t>
  </si>
  <si>
    <t>Оймяконский филиал АО "Теплоэнергосервис"</t>
  </si>
  <si>
    <t>28-07-2007 00:00:00</t>
  </si>
  <si>
    <t>26506854</t>
  </si>
  <si>
    <t>ПАО "Ростелеком"</t>
  </si>
  <si>
    <t>7707049388</t>
  </si>
  <si>
    <t>143543001</t>
  </si>
  <si>
    <t>26506870</t>
  </si>
  <si>
    <t>ПАО "ЯТЭК"</t>
  </si>
  <si>
    <t>1435032049</t>
  </si>
  <si>
    <t>20-11-2002 00:00:00</t>
  </si>
  <si>
    <t>26318711</t>
  </si>
  <si>
    <t>ПАО "Якутскэнерго"</t>
  </si>
  <si>
    <t>1435028701</t>
  </si>
  <si>
    <t>775050001</t>
  </si>
  <si>
    <t>25-07-1996 00:00:00</t>
  </si>
  <si>
    <t>26651639</t>
  </si>
  <si>
    <t>ПАО "Якутскэнерго" ЗЭC</t>
  </si>
  <si>
    <t>26796105</t>
  </si>
  <si>
    <t>ПАО "Якутскэнерго" ЦЭС</t>
  </si>
  <si>
    <t>143502003</t>
  </si>
  <si>
    <t>12-05-2005 00:00:00</t>
  </si>
  <si>
    <t>26796068</t>
  </si>
  <si>
    <t>ПАО "Якутскэнерго" филиал "ЯГРЭС"</t>
  </si>
  <si>
    <t>26796082</t>
  </si>
  <si>
    <t>ПАО "Якутскэнерго" филиал "ЯТЭЦ"</t>
  </si>
  <si>
    <t>143502002</t>
  </si>
  <si>
    <t>26354265</t>
  </si>
  <si>
    <t>ПК "Якутское потребительское общество"</t>
  </si>
  <si>
    <t>1435036759</t>
  </si>
  <si>
    <t>08-09-1998 00:00:00</t>
  </si>
  <si>
    <t>31037921</t>
  </si>
  <si>
    <t>ПК «Мегинострой»</t>
  </si>
  <si>
    <t>1415007950</t>
  </si>
  <si>
    <t>29-04-2002 00:00:00</t>
  </si>
  <si>
    <t>26354192</t>
  </si>
  <si>
    <t>ПОУ ВТШ РО ДОСААФ России РС(Я)</t>
  </si>
  <si>
    <t>1410001151</t>
  </si>
  <si>
    <t>26-01-2000 00:00:00</t>
  </si>
  <si>
    <t>26646975</t>
  </si>
  <si>
    <t>Производственный кооператив (старательская артель) "Поиск"</t>
  </si>
  <si>
    <t>1428002389</t>
  </si>
  <si>
    <t>26354285</t>
  </si>
  <si>
    <t>ТСЖ "ПОИ-36"</t>
  </si>
  <si>
    <t>1435134690</t>
  </si>
  <si>
    <t>11-03-2003 00:00:00</t>
  </si>
  <si>
    <t>28867681</t>
  </si>
  <si>
    <t>УГРС АО "Сахатранснефтегаз"</t>
  </si>
  <si>
    <t>1435142972</t>
  </si>
  <si>
    <t>143545002</t>
  </si>
  <si>
    <t>17-12-2003 00:00:00</t>
  </si>
  <si>
    <t>26810914</t>
  </si>
  <si>
    <t>УК ООО "Сокол"</t>
  </si>
  <si>
    <t>1410006946</t>
  </si>
  <si>
    <t>11-02-2011 00:00:00</t>
  </si>
  <si>
    <t>26354287</t>
  </si>
  <si>
    <t>УТС АО "Сахатранснефтегаз"</t>
  </si>
  <si>
    <t>15-05-2014 00:00:00</t>
  </si>
  <si>
    <t>26507223</t>
  </si>
  <si>
    <t>Усть-Майский филиал АО "Теплоэнергосервис"</t>
  </si>
  <si>
    <t>142802001</t>
  </si>
  <si>
    <t>26507227</t>
  </si>
  <si>
    <t>Усть-Янский филиал АО "Теплоэнергосервис"</t>
  </si>
  <si>
    <t>142903002</t>
  </si>
  <si>
    <t>26354267</t>
  </si>
  <si>
    <t>ФГБОУ ВО Арктический ГАТУ</t>
  </si>
  <si>
    <t>1435047359</t>
  </si>
  <si>
    <t>22-06-1994 00:00:00</t>
  </si>
  <si>
    <t>26506822</t>
  </si>
  <si>
    <t>ФГБУ "Государственный природный заповедник "Олекминский"</t>
  </si>
  <si>
    <t>1421002245</t>
  </si>
  <si>
    <t>30926365</t>
  </si>
  <si>
    <t>ФГБУ «ЦЖКУ» МО РФ (Филиал ФГБУ «ЦЖКУ» МО РФ по ВВО)</t>
  </si>
  <si>
    <t>272443001</t>
  </si>
  <si>
    <t>20-03-2017 00:00:00</t>
  </si>
  <si>
    <t>26506884</t>
  </si>
  <si>
    <t>ФКП "Аэропорты Севера"</t>
  </si>
  <si>
    <t>1435146293</t>
  </si>
  <si>
    <t>26-03-2004 00:00:00</t>
  </si>
  <si>
    <t>30831899</t>
  </si>
  <si>
    <t>ФКП "Аэропорты Севера" филиал "Аэропорт Ленск"</t>
  </si>
  <si>
    <t>26653709</t>
  </si>
  <si>
    <t>ФКП "Аэропорты Севера" филиал "Аэропорт Нерюнгри"</t>
  </si>
  <si>
    <t>143402001</t>
  </si>
  <si>
    <t>28465639</t>
  </si>
  <si>
    <t>ФКП "Аэропорты Севера" филиал "Аэропорт Нюрба"</t>
  </si>
  <si>
    <t>141903001</t>
  </si>
  <si>
    <t>01-01-2014 00:00:00</t>
  </si>
  <si>
    <t>26354258</t>
  </si>
  <si>
    <t>ФКУ "ИК-7 УФСИН России по РС(Я)"</t>
  </si>
  <si>
    <t>1435016858</t>
  </si>
  <si>
    <t>06-11-2002 00:00:00</t>
  </si>
  <si>
    <t>26354298</t>
  </si>
  <si>
    <t>Филиал АО ХК "Якутуголь" "Шахта Джебарики-Хая"</t>
  </si>
  <si>
    <t>1434026980</t>
  </si>
  <si>
    <t>144950001</t>
  </si>
  <si>
    <t>23-12-2002 00:00:00</t>
  </si>
  <si>
    <t>30921212</t>
  </si>
  <si>
    <t>Хангаласский филиал АО "Вилюйавтодор"</t>
  </si>
  <si>
    <t>26536041</t>
  </si>
  <si>
    <t>Якутское предприятие по торговле алмазами АК "АЛРОСА" (ПАО)</t>
  </si>
  <si>
    <t>31507248</t>
  </si>
  <si>
    <t>ООО УК "Айхалцентр"</t>
  </si>
  <si>
    <t>1433032597</t>
  </si>
  <si>
    <t>01-06-2020 00:00:00</t>
  </si>
  <si>
    <t>30386009</t>
  </si>
  <si>
    <t>770401005</t>
  </si>
  <si>
    <t>29-05-2015 00:00:00</t>
  </si>
  <si>
    <t>26506964</t>
  </si>
  <si>
    <t>АО "Нерюнгринский городской водоканал"</t>
  </si>
  <si>
    <t>1434039203</t>
  </si>
  <si>
    <t>03-09-2009 00:00:00</t>
  </si>
  <si>
    <t>26507081</t>
  </si>
  <si>
    <t>АО "Сахаэнерго" филиал "Верхоянские ЭС"</t>
  </si>
  <si>
    <t>20-03-2008 00:00:00</t>
  </si>
  <si>
    <t>26354266</t>
  </si>
  <si>
    <t>ГБПОУ РС(Я) "РТИП И МСРИ"</t>
  </si>
  <si>
    <t>1435043273</t>
  </si>
  <si>
    <t>28968174</t>
  </si>
  <si>
    <t>ИП Габышев В.М.</t>
  </si>
  <si>
    <t>143305778800</t>
  </si>
  <si>
    <t>28263940</t>
  </si>
  <si>
    <t>ИП Короваев Э.А.</t>
  </si>
  <si>
    <t>143301859953</t>
  </si>
  <si>
    <t>06-08-2013 00:00:00</t>
  </si>
  <si>
    <t>31676465</t>
  </si>
  <si>
    <t>ИП Павлова Марина Трофимовна</t>
  </si>
  <si>
    <t>143590585988</t>
  </si>
  <si>
    <t>27579243</t>
  </si>
  <si>
    <t>ИП Фокин А.В.</t>
  </si>
  <si>
    <t>143102651380</t>
  </si>
  <si>
    <t>10-07-2009 00:00:00</t>
  </si>
  <si>
    <t>31727047</t>
  </si>
  <si>
    <t>ИП Яковлева Алена Петровна</t>
  </si>
  <si>
    <t>140701672087</t>
  </si>
  <si>
    <t>03-11-2022 00:00:00</t>
  </si>
  <si>
    <t>28147407</t>
  </si>
  <si>
    <t>МУП "Комуслуги"</t>
  </si>
  <si>
    <t>1405000988</t>
  </si>
  <si>
    <t>140501001</t>
  </si>
  <si>
    <t>31640065</t>
  </si>
  <si>
    <t>ООО "АЛИВ"</t>
  </si>
  <si>
    <t>1407008848</t>
  </si>
  <si>
    <t>30-06-2021 00:00:00</t>
  </si>
  <si>
    <t>31700191</t>
  </si>
  <si>
    <t>ООО "АМЫДАЙ"</t>
  </si>
  <si>
    <t>1400017064</t>
  </si>
  <si>
    <t>30-12-2022 00:00:00</t>
  </si>
  <si>
    <t>31596918</t>
  </si>
  <si>
    <t>ООО "Акваснаб"</t>
  </si>
  <si>
    <t>1400005848</t>
  </si>
  <si>
    <t>05-03-2022 00:00:00</t>
  </si>
  <si>
    <t>30874965</t>
  </si>
  <si>
    <t>ООО "Алекса+"</t>
  </si>
  <si>
    <t>1407008196</t>
  </si>
  <si>
    <t>10-03-2016 00:00:00</t>
  </si>
  <si>
    <t>26646807</t>
  </si>
  <si>
    <t>ООО "Арчын"</t>
  </si>
  <si>
    <t>1404004940</t>
  </si>
  <si>
    <t>140401001</t>
  </si>
  <si>
    <t>30-11-2010 00:00:00</t>
  </si>
  <si>
    <t>31752556</t>
  </si>
  <si>
    <t>ООО "ГАЗПРОМ ЭНЕРГО"</t>
  </si>
  <si>
    <t>7736186950</t>
  </si>
  <si>
    <t>384943001</t>
  </si>
  <si>
    <t>26801396</t>
  </si>
  <si>
    <t>ООО "Геосервис"</t>
  </si>
  <si>
    <t>1412262261</t>
  </si>
  <si>
    <t>141201001</t>
  </si>
  <si>
    <t>29-10-2010 00:00:00</t>
  </si>
  <si>
    <t>30856877</t>
  </si>
  <si>
    <t>ООО "Герда"</t>
  </si>
  <si>
    <t>1410007763</t>
  </si>
  <si>
    <t>30-03-2015 00:00:00</t>
  </si>
  <si>
    <t>28088700</t>
  </si>
  <si>
    <t>ООО "Дирекция Строительства "Хангаласский Газстрой"</t>
  </si>
  <si>
    <t>1435194868</t>
  </si>
  <si>
    <t>19-11-2007 00:00:00</t>
  </si>
  <si>
    <t>31452431</t>
  </si>
  <si>
    <t>ООО "КОМТЕХ"</t>
  </si>
  <si>
    <t>1435217427</t>
  </si>
  <si>
    <t>25-04-2009 00:00:00</t>
  </si>
  <si>
    <t>26506991</t>
  </si>
  <si>
    <t>ООО "Коммунсервис"</t>
  </si>
  <si>
    <t>1410005607</t>
  </si>
  <si>
    <t>11-11-2004 00:00:00</t>
  </si>
  <si>
    <t>31435762</t>
  </si>
  <si>
    <t>ООО "Максимум"</t>
  </si>
  <si>
    <t>1435327902</t>
  </si>
  <si>
    <t>15-12-2017 00:00:00</t>
  </si>
  <si>
    <t>26506851</t>
  </si>
  <si>
    <t>1435101278</t>
  </si>
  <si>
    <t>01-10-2002 00:00:00</t>
  </si>
  <si>
    <t>31578466</t>
  </si>
  <si>
    <t>ООО "Рассвет 999,9"</t>
  </si>
  <si>
    <t>1435241067</t>
  </si>
  <si>
    <t>08-04-2016 00:00:00</t>
  </si>
  <si>
    <t>30857195</t>
  </si>
  <si>
    <t>ООО "СВТС"</t>
  </si>
  <si>
    <t>1435226245</t>
  </si>
  <si>
    <t>16-03-2010 00:00:00</t>
  </si>
  <si>
    <t>31603530</t>
  </si>
  <si>
    <t>ООО "СУЛУС"</t>
  </si>
  <si>
    <t>1424008870</t>
  </si>
  <si>
    <t>14-03-2013 00:00:00</t>
  </si>
  <si>
    <t>31748978</t>
  </si>
  <si>
    <t>ООО "УПРАВЛЯЮЩАЯ КОМПАНИЯ ТЕПЛОСЕРВИС"</t>
  </si>
  <si>
    <t>1425005857</t>
  </si>
  <si>
    <t>25-05-2016 00:00:00</t>
  </si>
  <si>
    <t>26642925</t>
  </si>
  <si>
    <t>ООО "Улусные коммунальные сети"</t>
  </si>
  <si>
    <t>1427009127</t>
  </si>
  <si>
    <t>20-02-2006 00:00:00</t>
  </si>
  <si>
    <t>26546587</t>
  </si>
  <si>
    <t>ООО "Хатан"</t>
  </si>
  <si>
    <t>1430009864</t>
  </si>
  <si>
    <t>27-01-2010 00:00:00</t>
  </si>
  <si>
    <t>27806541</t>
  </si>
  <si>
    <t>ООО "Чагылган"</t>
  </si>
  <si>
    <t>1411000168</t>
  </si>
  <si>
    <t>16-11-2002 00:00:00</t>
  </si>
  <si>
    <t>30855359</t>
  </si>
  <si>
    <t>ООО "Эколайн"</t>
  </si>
  <si>
    <t>1435306998</t>
  </si>
  <si>
    <t>14-04-2016 00:00:00</t>
  </si>
  <si>
    <t>31518600</t>
  </si>
  <si>
    <t>ООО «Строй импульс»</t>
  </si>
  <si>
    <t>1435242085</t>
  </si>
  <si>
    <t>02-06-2011 00:00:00</t>
  </si>
  <si>
    <t>28859655</t>
  </si>
  <si>
    <t>ООО УК "Автомобилист"</t>
  </si>
  <si>
    <t>1421009730</t>
  </si>
  <si>
    <t>09-06-2014 00:00:00</t>
  </si>
  <si>
    <t>26796086</t>
  </si>
  <si>
    <t>ПАО "Якутскэнерго" филиал "КВГЭС"</t>
  </si>
  <si>
    <t>143302002</t>
  </si>
  <si>
    <t>31676455</t>
  </si>
  <si>
    <t>СЖПК "САЙДЫЫ"</t>
  </si>
  <si>
    <t>1411004412</t>
  </si>
  <si>
    <t>24-03-2009 00:00:00</t>
  </si>
  <si>
    <t>26405743</t>
  </si>
  <si>
    <t>Уренгойский филиал ООО "Газпром энерго"</t>
  </si>
  <si>
    <t>890402001</t>
  </si>
  <si>
    <t>03-10-2005 00:00:00</t>
  </si>
  <si>
    <t>27896331</t>
  </si>
  <si>
    <t>Филиал "Нерюнгринское РНУ" ООО "Транснефть-Восток"</t>
  </si>
  <si>
    <t>3801079671</t>
  </si>
  <si>
    <t>28967509</t>
  </si>
  <si>
    <t>Филиал «Ленское РНУ» ООО «Транснефть-Восток»</t>
  </si>
  <si>
    <t>141431001</t>
  </si>
  <si>
    <t>14-05-2015 00:00:00</t>
  </si>
  <si>
    <t>31157180</t>
  </si>
  <si>
    <t>ИП Бережнев С.И.</t>
  </si>
  <si>
    <t>141701185254</t>
  </si>
  <si>
    <t>11-01-2009 00:00:00</t>
  </si>
  <si>
    <t>28109388</t>
  </si>
  <si>
    <t>ИП Войтенко А.А.</t>
  </si>
  <si>
    <t>140204198519</t>
  </si>
  <si>
    <t>05-12-2007 00:00:00</t>
  </si>
  <si>
    <t>28036400</t>
  </si>
  <si>
    <t>ИП Головацкий Ф. В.</t>
  </si>
  <si>
    <t>142800023471</t>
  </si>
  <si>
    <t>31640957</t>
  </si>
  <si>
    <t>ИП Делюкин Евгений Геннадьевич</t>
  </si>
  <si>
    <t>141401345443</t>
  </si>
  <si>
    <t>26-02-2019 00:00:00</t>
  </si>
  <si>
    <t>28982968</t>
  </si>
  <si>
    <t>ИП К(Ф)Х Тастыгина Е.П.</t>
  </si>
  <si>
    <t>142501501306</t>
  </si>
  <si>
    <t>04-03-2015 00:00:00</t>
  </si>
  <si>
    <t>28117963</t>
  </si>
  <si>
    <t>ИП Кадашников А.Л.</t>
  </si>
  <si>
    <t>142601369130</t>
  </si>
  <si>
    <t>28083931</t>
  </si>
  <si>
    <t>ИП Казанцев В.П.</t>
  </si>
  <si>
    <t>143404430281</t>
  </si>
  <si>
    <t>11-02-2013 00:00:00</t>
  </si>
  <si>
    <t>28153187</t>
  </si>
  <si>
    <t>ИП Новосельцев А.А.</t>
  </si>
  <si>
    <t>143516808170</t>
  </si>
  <si>
    <t>06-06-2013 00:00:00</t>
  </si>
  <si>
    <t>28153008</t>
  </si>
  <si>
    <t>ИП Пестерев А.Н.</t>
  </si>
  <si>
    <t>141600143339</t>
  </si>
  <si>
    <t>05-06-2013 00:00:00</t>
  </si>
  <si>
    <t>30948525</t>
  </si>
  <si>
    <t>ИП Прокопьев А.М.</t>
  </si>
  <si>
    <t>142601810178</t>
  </si>
  <si>
    <t>31523412</t>
  </si>
  <si>
    <t>ИП Степанова А.А.</t>
  </si>
  <si>
    <t>141002680200</t>
  </si>
  <si>
    <t>28870517</t>
  </si>
  <si>
    <t>МАУ "Комтехсервис"</t>
  </si>
  <si>
    <t>1405001406</t>
  </si>
  <si>
    <t>19-03-2013 00:00:00</t>
  </si>
  <si>
    <t>31530204</t>
  </si>
  <si>
    <t>МБУ "РЦ МР "ГОРНЫЙ УЛУС"</t>
  </si>
  <si>
    <t>1411005409</t>
  </si>
  <si>
    <t>17-04-2020 00:00:00</t>
  </si>
  <si>
    <t>26648480</t>
  </si>
  <si>
    <t>МУП "Хотой"</t>
  </si>
  <si>
    <t>1420042421</t>
  </si>
  <si>
    <t>142001001</t>
  </si>
  <si>
    <t>28-05-2010 00:00:00</t>
  </si>
  <si>
    <t>30812808</t>
  </si>
  <si>
    <t>МУП ЖКХ п. Усть-Мая</t>
  </si>
  <si>
    <t>1428001900</t>
  </si>
  <si>
    <t>30-10-2015 00:00:00</t>
  </si>
  <si>
    <t>28152112</t>
  </si>
  <si>
    <t>ООО " Акватранс"</t>
  </si>
  <si>
    <t>1415012982</t>
  </si>
  <si>
    <t>01-06-2013 00:00:00</t>
  </si>
  <si>
    <t>28152124</t>
  </si>
  <si>
    <t>ООО " Стабильность"</t>
  </si>
  <si>
    <t>1435265011</t>
  </si>
  <si>
    <t>31717848</t>
  </si>
  <si>
    <t>ООО "АВАКОН"</t>
  </si>
  <si>
    <t>3811070879</t>
  </si>
  <si>
    <t>380801001</t>
  </si>
  <si>
    <t>31-01-2003 00:00:00</t>
  </si>
  <si>
    <t>28094700</t>
  </si>
  <si>
    <t>ООО "Авико-Сервис"</t>
  </si>
  <si>
    <t>1426006250</t>
  </si>
  <si>
    <t>20-02-2013 00:00:00</t>
  </si>
  <si>
    <t>26642953</t>
  </si>
  <si>
    <t>ООО "Автомобилист"</t>
  </si>
  <si>
    <t>1431010478</t>
  </si>
  <si>
    <t>21-04-2008 00:00:00</t>
  </si>
  <si>
    <t>28867693</t>
  </si>
  <si>
    <t>ООО "Арктика"</t>
  </si>
  <si>
    <t>1409005345</t>
  </si>
  <si>
    <t>140901001</t>
  </si>
  <si>
    <t>10-04-2009 00:00:00</t>
  </si>
  <si>
    <t>28153160</t>
  </si>
  <si>
    <t>ООО "БайкалТранс"</t>
  </si>
  <si>
    <t>1435261708</t>
  </si>
  <si>
    <t>11-12-2012 00:00:00</t>
  </si>
  <si>
    <t>28083772</t>
  </si>
  <si>
    <t>ООО "Верхнеколымская Управляющая Компания"</t>
  </si>
  <si>
    <t>1408004564</t>
  </si>
  <si>
    <t>13-11-2008 00:00:00</t>
  </si>
  <si>
    <t>31440600</t>
  </si>
  <si>
    <t>ООО "Горизонт"</t>
  </si>
  <si>
    <t>1414012933</t>
  </si>
  <si>
    <t>31357295</t>
  </si>
  <si>
    <t>ООО "Грифон"</t>
  </si>
  <si>
    <t>1435322855</t>
  </si>
  <si>
    <t>12-07-2017 00:00:00</t>
  </si>
  <si>
    <t>31450978</t>
  </si>
  <si>
    <t>ООО "ЖилТрансСтрой"</t>
  </si>
  <si>
    <t>1411004927</t>
  </si>
  <si>
    <t>20-11-2014 00:00:00</t>
  </si>
  <si>
    <t>31640231</t>
  </si>
  <si>
    <t>ООО "КЛИН СИТИ"</t>
  </si>
  <si>
    <t>1400015557</t>
  </si>
  <si>
    <t>18-11-2022 00:00:00</t>
  </si>
  <si>
    <t>31639462</t>
  </si>
  <si>
    <t>ООО "КОНТИНЕНТ СЕВЕР"</t>
  </si>
  <si>
    <t>1435345500</t>
  </si>
  <si>
    <t>09-09-2019 00:00:00</t>
  </si>
  <si>
    <t>26810887</t>
  </si>
  <si>
    <t>ООО "Карадаг"</t>
  </si>
  <si>
    <t>1408004081</t>
  </si>
  <si>
    <t>18-11-2005 00:00:00</t>
  </si>
  <si>
    <t>15-01-2025 00:00:00</t>
  </si>
  <si>
    <t>28149400</t>
  </si>
  <si>
    <t>ООО "Комсервис"</t>
  </si>
  <si>
    <t>1412262222</t>
  </si>
  <si>
    <t>23-05-2013 00:00:00</t>
  </si>
  <si>
    <t>28036537</t>
  </si>
  <si>
    <t>ООО "Комфорт-Ленск"</t>
  </si>
  <si>
    <t>1414013817</t>
  </si>
  <si>
    <t>30983258</t>
  </si>
  <si>
    <t>ООО "Кристалл"</t>
  </si>
  <si>
    <t>1419008232</t>
  </si>
  <si>
    <t>10-04-2013 00:00:00</t>
  </si>
  <si>
    <t>26507023</t>
  </si>
  <si>
    <t>ООО "Кулешова"</t>
  </si>
  <si>
    <t>1408004571</t>
  </si>
  <si>
    <t>28083800</t>
  </si>
  <si>
    <t>ООО "ЛПЖХ"</t>
  </si>
  <si>
    <t>1414011834</t>
  </si>
  <si>
    <t>20-12-2005 00:00:00</t>
  </si>
  <si>
    <t>30353204</t>
  </si>
  <si>
    <t>ООО "Лидер Плюс"</t>
  </si>
  <si>
    <t>1426000146</t>
  </si>
  <si>
    <t>12-10-2015 00:00:00</t>
  </si>
  <si>
    <t>28078557</t>
  </si>
  <si>
    <t>ООО "Максим"</t>
  </si>
  <si>
    <t>1414014105</t>
  </si>
  <si>
    <t>06-02-2013 00:00:00</t>
  </si>
  <si>
    <t>28094716</t>
  </si>
  <si>
    <t>ООО "Партнёр"</t>
  </si>
  <si>
    <t>1426334011</t>
  </si>
  <si>
    <t>03-05-2012 00:00:00</t>
  </si>
  <si>
    <t>28153168</t>
  </si>
  <si>
    <t>ООО "ПромЭкология"</t>
  </si>
  <si>
    <t>1414012549</t>
  </si>
  <si>
    <t>26642604</t>
  </si>
  <si>
    <t>ООО "Протек"</t>
  </si>
  <si>
    <t>1435180329</t>
  </si>
  <si>
    <t>27-11-2006 00:00:00</t>
  </si>
  <si>
    <t>27964371</t>
  </si>
  <si>
    <t>ООО "Р.И.К."</t>
  </si>
  <si>
    <t>1435242215</t>
  </si>
  <si>
    <t>08-06-2011 00:00:00</t>
  </si>
  <si>
    <t>28149246</t>
  </si>
  <si>
    <t>ООО "Респект"</t>
  </si>
  <si>
    <t>1414013944</t>
  </si>
  <si>
    <t>30858597</t>
  </si>
  <si>
    <t>ООО "СК "Сибирь"</t>
  </si>
  <si>
    <t>7202212297</t>
  </si>
  <si>
    <t>142945001</t>
  </si>
  <si>
    <t>15-09-2010 00:00:00</t>
  </si>
  <si>
    <t>31004532</t>
  </si>
  <si>
    <t>ООО "Сатал"</t>
  </si>
  <si>
    <t>1435316788</t>
  </si>
  <si>
    <t>01-02-2017 00:00:00</t>
  </si>
  <si>
    <t>26506993</t>
  </si>
  <si>
    <t>ООО "Системы Канакор"</t>
  </si>
  <si>
    <t>1435155315</t>
  </si>
  <si>
    <t>12-01-2005 00:00:00</t>
  </si>
  <si>
    <t>31416460</t>
  </si>
  <si>
    <t>ООО "Ситим"</t>
  </si>
  <si>
    <t>1435345997</t>
  </si>
  <si>
    <t>30-09-2019 00:00:00</t>
  </si>
  <si>
    <t>27539373</t>
  </si>
  <si>
    <t>ООО "Сомо5о"</t>
  </si>
  <si>
    <t>1411004275</t>
  </si>
  <si>
    <t>29-04-2008 00:00:00</t>
  </si>
  <si>
    <t>31287436</t>
  </si>
  <si>
    <t>ООО "Стимул"</t>
  </si>
  <si>
    <t>1410008365</t>
  </si>
  <si>
    <t>21-02-2018 00:00:00</t>
  </si>
  <si>
    <t>26642951</t>
  </si>
  <si>
    <t>ООО "Стройсервис"</t>
  </si>
  <si>
    <t>1435142725</t>
  </si>
  <si>
    <t>08-12-2003 00:00:00</t>
  </si>
  <si>
    <t>28237140</t>
  </si>
  <si>
    <t>ООО "Теплотехника"</t>
  </si>
  <si>
    <t>1421008977</t>
  </si>
  <si>
    <t>06-10-2009 00:00:00</t>
  </si>
  <si>
    <t>28149372</t>
  </si>
  <si>
    <t>ООО "Техобслуживание"</t>
  </si>
  <si>
    <t>1413000477</t>
  </si>
  <si>
    <t>141301001</t>
  </si>
  <si>
    <t>28-12-2012 00:00:00</t>
  </si>
  <si>
    <t>30439503</t>
  </si>
  <si>
    <t>ООО "УК "Уют-Сервис"</t>
  </si>
  <si>
    <t>1424009143</t>
  </si>
  <si>
    <t>28090340</t>
  </si>
  <si>
    <t>ООО "УК Строй Комфорт Сервис"</t>
  </si>
  <si>
    <t>1426333642</t>
  </si>
  <si>
    <t>28544264</t>
  </si>
  <si>
    <t>ООО "Чолбон"</t>
  </si>
  <si>
    <t>1415011435</t>
  </si>
  <si>
    <t>03-02-2009 00:00:00</t>
  </si>
  <si>
    <t>31623441</t>
  </si>
  <si>
    <t>ООО "ЭКОИНВЕСТ"</t>
  </si>
  <si>
    <t>1435336720</t>
  </si>
  <si>
    <t>31-10-2018 00:00:00</t>
  </si>
  <si>
    <t>27-03-2025 00:00:00</t>
  </si>
  <si>
    <t>28152955</t>
  </si>
  <si>
    <t>ООО "Эйгэ"</t>
  </si>
  <si>
    <t>1417008300</t>
  </si>
  <si>
    <t>30858567</t>
  </si>
  <si>
    <t>ООО "ЭкоКом"</t>
  </si>
  <si>
    <t>1410007989</t>
  </si>
  <si>
    <t>31-05-2016 00:00:00</t>
  </si>
  <si>
    <t>31562899</t>
  </si>
  <si>
    <t>ООО "Экосервис"</t>
  </si>
  <si>
    <t>1435364125</t>
  </si>
  <si>
    <t>18-10-2021 00:00:00</t>
  </si>
  <si>
    <t>28151260</t>
  </si>
  <si>
    <t>ООО "Элком"</t>
  </si>
  <si>
    <t>1428003544</t>
  </si>
  <si>
    <t>30-05-2013 00:00:00</t>
  </si>
  <si>
    <t>31246786</t>
  </si>
  <si>
    <t>ООО "Энергопром"</t>
  </si>
  <si>
    <t>1435333409</t>
  </si>
  <si>
    <t>143350100</t>
  </si>
  <si>
    <t>19-06-2018 00:00:00</t>
  </si>
  <si>
    <t>28084184</t>
  </si>
  <si>
    <t>1417005074</t>
  </si>
  <si>
    <t>30355250</t>
  </si>
  <si>
    <t>ООО «АЙХАЛСЕРВИС»</t>
  </si>
  <si>
    <t>1433027100</t>
  </si>
  <si>
    <t>30938801</t>
  </si>
  <si>
    <t>ООО «Мастер»</t>
  </si>
  <si>
    <t>1413001054</t>
  </si>
  <si>
    <t>29-05-2017 00:00:00</t>
  </si>
  <si>
    <t>29645742</t>
  </si>
  <si>
    <t>ООО НПО "Бигэ"</t>
  </si>
  <si>
    <t>1435226446</t>
  </si>
  <si>
    <t>24-03-2010 00:00:00</t>
  </si>
  <si>
    <t>28138780</t>
  </si>
  <si>
    <t>ООО УК "Акташ"</t>
  </si>
  <si>
    <t>1426333667</t>
  </si>
  <si>
    <t>03-04-2013 00:00:00</t>
  </si>
  <si>
    <t>28152963</t>
  </si>
  <si>
    <t>ООО УК "Жил-сервис"</t>
  </si>
  <si>
    <t>1414014698</t>
  </si>
  <si>
    <t>27820093</t>
  </si>
  <si>
    <t>ООО УК "Инженертехсервис+"</t>
  </si>
  <si>
    <t>1435248182</t>
  </si>
  <si>
    <t>09-12-2011 00:00:00</t>
  </si>
  <si>
    <t>28984707</t>
  </si>
  <si>
    <t>ООО УК «Империал»</t>
  </si>
  <si>
    <t>1414016430</t>
  </si>
  <si>
    <t>06-06-2014 00:00:00</t>
  </si>
  <si>
    <t>28053843</t>
  </si>
  <si>
    <t>ООО УК Ситим</t>
  </si>
  <si>
    <t>1419006355</t>
  </si>
  <si>
    <t>18-01-2008 00:00:00</t>
  </si>
  <si>
    <t>31661188</t>
  </si>
  <si>
    <t>Общество с ограниченной отвественностью "АлданВодХоз"</t>
  </si>
  <si>
    <t>1402026508</t>
  </si>
  <si>
    <t>16-02-2021 00:00:00</t>
  </si>
  <si>
    <t>28149362</t>
  </si>
  <si>
    <t>УК ООО "МегАл"</t>
  </si>
  <si>
    <t>1426333353</t>
  </si>
  <si>
    <t>26506862</t>
  </si>
  <si>
    <t>ФКУ "СИЗО-1 УФСИН России по РС(Я)"</t>
  </si>
  <si>
    <t>1435067690</t>
  </si>
  <si>
    <t>15-11-2002 00:00:00</t>
  </si>
  <si>
    <t>31642192</t>
  </si>
  <si>
    <t>ИП ОВЧИННИКОВА Л.В.</t>
  </si>
  <si>
    <t>141400099604</t>
  </si>
  <si>
    <t>11-01-2022 00:00:00</t>
  </si>
  <si>
    <t>28931253</t>
  </si>
  <si>
    <t>ИП Прокопьев В.В.</t>
  </si>
  <si>
    <t>140700814300</t>
  </si>
  <si>
    <t>20-02-2015 00:00:00</t>
  </si>
  <si>
    <t>31294490</t>
  </si>
  <si>
    <t>МАУ АРТ МО "Ленский наслег"</t>
  </si>
  <si>
    <t>1417008886</t>
  </si>
  <si>
    <t>06-04-2012 00:00:00</t>
  </si>
  <si>
    <t>27592498</t>
  </si>
  <si>
    <t>МУП "ЖКХ"  Момского улуса (района)</t>
  </si>
  <si>
    <t>1416004832</t>
  </si>
  <si>
    <t>141601001</t>
  </si>
  <si>
    <t>25-01-2006 00:00:00</t>
  </si>
  <si>
    <t>31369269</t>
  </si>
  <si>
    <t>МУП "ЖТК"</t>
  </si>
  <si>
    <t>1435230330</t>
  </si>
  <si>
    <t>09-07-2010 00:00:00</t>
  </si>
  <si>
    <t>26507015</t>
  </si>
  <si>
    <t>МУП "Переработчик"</t>
  </si>
  <si>
    <t>1434034580</t>
  </si>
  <si>
    <t>19-07-2007 00:00:00</t>
  </si>
  <si>
    <t>28254745</t>
  </si>
  <si>
    <t>МУП "СГЗ"</t>
  </si>
  <si>
    <t>1421009530</t>
  </si>
  <si>
    <t>08-08-2013 00:00:00</t>
  </si>
  <si>
    <t>31329656</t>
  </si>
  <si>
    <t>МУП "Служба эксплуатации муниципального хозяйства" п. Мохсоголлох</t>
  </si>
  <si>
    <t>1431012387</t>
  </si>
  <si>
    <t>26507011</t>
  </si>
  <si>
    <t>МУП "УППМХ"</t>
  </si>
  <si>
    <t>1433013675</t>
  </si>
  <si>
    <t>04-02-1998 00:00:00</t>
  </si>
  <si>
    <t>28450713</t>
  </si>
  <si>
    <t>МУП УК "ПКС"</t>
  </si>
  <si>
    <t>1431010140</t>
  </si>
  <si>
    <t>30-01-2025 00:00:00</t>
  </si>
  <si>
    <t>26559742</t>
  </si>
  <si>
    <t>ООО "Амма-ЖЭУ"</t>
  </si>
  <si>
    <t>1404004436</t>
  </si>
  <si>
    <t>31-08-2007 00:00:00</t>
  </si>
  <si>
    <t>31817411</t>
  </si>
  <si>
    <t>ООО "КОММУНСЕРВИС"</t>
  </si>
  <si>
    <t>1400041973</t>
  </si>
  <si>
    <t>16-12-2024 00:00:00</t>
  </si>
  <si>
    <t>31235091</t>
  </si>
  <si>
    <t>ООО "МП ЖХ"</t>
  </si>
  <si>
    <t>1433020305</t>
  </si>
  <si>
    <t>28-12-2015 00:00:00</t>
  </si>
  <si>
    <t>31564604</t>
  </si>
  <si>
    <t>ООО "ПАРТНЕР"</t>
  </si>
  <si>
    <t>1435358153</t>
  </si>
  <si>
    <t>12-02-2021 00:00:00</t>
  </si>
  <si>
    <t>31592317</t>
  </si>
  <si>
    <t>ООО "Профи"</t>
  </si>
  <si>
    <t>1414016230</t>
  </si>
  <si>
    <t>30-12-2013 00:00:00</t>
  </si>
  <si>
    <t>28796566</t>
  </si>
  <si>
    <t>ООО "Ремэкссервис"</t>
  </si>
  <si>
    <t>1433028142</t>
  </si>
  <si>
    <t>13-08-2014 00:00:00</t>
  </si>
  <si>
    <t>31571590</t>
  </si>
  <si>
    <t>ООО "САЙДАМ"</t>
  </si>
  <si>
    <t>1433032646</t>
  </si>
  <si>
    <t>19-06-2020 00:00:00</t>
  </si>
  <si>
    <t>31223250</t>
  </si>
  <si>
    <t>ООО "СКС"</t>
  </si>
  <si>
    <t>1419008507</t>
  </si>
  <si>
    <t>03-12-2016 00:00:00</t>
  </si>
  <si>
    <t>26642633</t>
  </si>
  <si>
    <t>ООО "СтройУтильСервис"</t>
  </si>
  <si>
    <t>1419007398</t>
  </si>
  <si>
    <t>31639239</t>
  </si>
  <si>
    <t>ООО "ЧИСТАЯ АРКТИКА"</t>
  </si>
  <si>
    <t>1400006489</t>
  </si>
  <si>
    <t>21-03-2022 00:00:00</t>
  </si>
  <si>
    <t>31329697</t>
  </si>
  <si>
    <t>ООО "Экологические Сети Хангалас"</t>
  </si>
  <si>
    <t>1431013648</t>
  </si>
  <si>
    <t>31235068</t>
  </si>
  <si>
    <t>ООО "Экологические системы Якутии"</t>
  </si>
  <si>
    <t>1435314011</t>
  </si>
  <si>
    <t>15-11-2016 00:00:00</t>
  </si>
  <si>
    <t>28450590</t>
  </si>
  <si>
    <t>ООО "Эмник"</t>
  </si>
  <si>
    <t>1410159773</t>
  </si>
  <si>
    <t>26-09-2005 00:00:00</t>
  </si>
  <si>
    <t>31235060</t>
  </si>
  <si>
    <t>ООО "Якутскэкосети"</t>
  </si>
  <si>
    <t>1435284215</t>
  </si>
  <si>
    <t>24-07-2014 00:00:00</t>
  </si>
  <si>
    <t>31566968</t>
  </si>
  <si>
    <t>ООО УК "ЖКХ"</t>
  </si>
  <si>
    <t>1407008573</t>
  </si>
  <si>
    <t>06-05-2019 00:00:00</t>
  </si>
  <si>
    <t>NSRF</t>
  </si>
  <si>
    <t>MR_NAME</t>
  </si>
  <si>
    <t>OKTMO_MR_NAME</t>
  </si>
  <si>
    <t>MO_NAME</t>
  </si>
  <si>
    <t>OKTMO_NAME</t>
  </si>
  <si>
    <t>TYPE</t>
  </si>
  <si>
    <t>MR_ID</t>
  </si>
  <si>
    <t>Абыйский муниципальный район</t>
  </si>
  <si>
    <t>98601000</t>
  </si>
  <si>
    <t>муниципальный район</t>
  </si>
  <si>
    <t>Абыйский наслег</t>
  </si>
  <si>
    <t>98601404</t>
  </si>
  <si>
    <t>сельское поселение</t>
  </si>
  <si>
    <t>Майорский национальный наслег</t>
  </si>
  <si>
    <t>98601409</t>
  </si>
  <si>
    <t>Мугурдахский наслег</t>
  </si>
  <si>
    <t>98601417</t>
  </si>
  <si>
    <t>Поселок Белая Гора</t>
  </si>
  <si>
    <t>98601151</t>
  </si>
  <si>
    <t>городское поселение, в состав которого входит поселок</t>
  </si>
  <si>
    <t>Уолбутский наслег</t>
  </si>
  <si>
    <t>98601422</t>
  </si>
  <si>
    <t>Урасалахский наслег</t>
  </si>
  <si>
    <t>98601433</t>
  </si>
  <si>
    <t>Алданский муниципальный район</t>
  </si>
  <si>
    <t>98603000</t>
  </si>
  <si>
    <t>Беллетский эвенкийский национальный наслег</t>
  </si>
  <si>
    <t>98603407</t>
  </si>
  <si>
    <t>Город Алдан</t>
  </si>
  <si>
    <t>98603101</t>
  </si>
  <si>
    <t>городское поселение, в состав которого входит город</t>
  </si>
  <si>
    <t>Город Томмот</t>
  </si>
  <si>
    <t>98603105</t>
  </si>
  <si>
    <t>Национальный наслег Анамы</t>
  </si>
  <si>
    <t>98603404</t>
  </si>
  <si>
    <t>Поселок Ленинский</t>
  </si>
  <si>
    <t>98603161</t>
  </si>
  <si>
    <t>Поселок Нижний Куранах</t>
  </si>
  <si>
    <t>98603170</t>
  </si>
  <si>
    <t>Чагдинский наслег</t>
  </si>
  <si>
    <t>98603460</t>
  </si>
  <si>
    <t>Аллаиховский муниципальный район</t>
  </si>
  <si>
    <t>98606000</t>
  </si>
  <si>
    <t>Береляхский наслег</t>
  </si>
  <si>
    <t>98606424</t>
  </si>
  <si>
    <t>Быягнырский наслег</t>
  </si>
  <si>
    <t>98606437</t>
  </si>
  <si>
    <t>Ойотунгский национальный (кочевой) наслег</t>
  </si>
  <si>
    <t>98606745</t>
  </si>
  <si>
    <t>межселенная территория</t>
  </si>
  <si>
    <t>Поселок Чокурдах</t>
  </si>
  <si>
    <t>98606151</t>
  </si>
  <si>
    <t>Русско-Устьинский наслег</t>
  </si>
  <si>
    <t>98606450</t>
  </si>
  <si>
    <t>Юкагирский национальный наслег</t>
  </si>
  <si>
    <t>98606476</t>
  </si>
  <si>
    <t>Амгинский муниципальный район</t>
  </si>
  <si>
    <t>98608000</t>
  </si>
  <si>
    <t>Абагинский наслег</t>
  </si>
  <si>
    <t>98608405</t>
  </si>
  <si>
    <t>Алтанский наслег</t>
  </si>
  <si>
    <t>98608414</t>
  </si>
  <si>
    <t>Амгино-Нахаринский наслег</t>
  </si>
  <si>
    <t>98608429</t>
  </si>
  <si>
    <t>Амгинский наслег</t>
  </si>
  <si>
    <t>98608432</t>
  </si>
  <si>
    <t>Бетюнский наслег</t>
  </si>
  <si>
    <t>98608440</t>
  </si>
  <si>
    <t>Болугурский наслег</t>
  </si>
  <si>
    <t>98608446</t>
  </si>
  <si>
    <t>Майский наслег</t>
  </si>
  <si>
    <t>98608452</t>
  </si>
  <si>
    <t>Мяндигинский наслег</t>
  </si>
  <si>
    <t>98608455</t>
  </si>
  <si>
    <t>Сатагайский наслег</t>
  </si>
  <si>
    <t>98608458</t>
  </si>
  <si>
    <t>Соморсунский наслег</t>
  </si>
  <si>
    <t>98608460</t>
  </si>
  <si>
    <t>Сулгачинский наслег</t>
  </si>
  <si>
    <t>98608465</t>
  </si>
  <si>
    <t>Чакырский наслег</t>
  </si>
  <si>
    <t>98608470</t>
  </si>
  <si>
    <t>Чапчылганский наслег</t>
  </si>
  <si>
    <t>98608472</t>
  </si>
  <si>
    <t>Эмисский наслег</t>
  </si>
  <si>
    <t>98608481</t>
  </si>
  <si>
    <t>Анабарский национальный (долгано-эвенкийский) муниципальный район</t>
  </si>
  <si>
    <t>98610000</t>
  </si>
  <si>
    <t>Саскылахский национальный (эвенкийский) наслег</t>
  </si>
  <si>
    <t>98610411</t>
  </si>
  <si>
    <t>Юрюнг-Хаинский национальный (долганский) наслег</t>
  </si>
  <si>
    <t>98610424</t>
  </si>
  <si>
    <t>Булунский муниципальный район</t>
  </si>
  <si>
    <t>98612000</t>
  </si>
  <si>
    <t>Борогонский наслег</t>
  </si>
  <si>
    <t>98612407</t>
  </si>
  <si>
    <t>Булунский национальный (эвенкийский) наслег</t>
  </si>
  <si>
    <t>98612412</t>
  </si>
  <si>
    <t>Быковский национальный (эвенкийский) наслег</t>
  </si>
  <si>
    <t>98612413</t>
  </si>
  <si>
    <t>Посёлок Тикси</t>
  </si>
  <si>
    <t>98612151</t>
  </si>
  <si>
    <t>Сиктяхский наслег</t>
  </si>
  <si>
    <t>98612427</t>
  </si>
  <si>
    <t>Тюметинский национальный (эвенкийский) наслег</t>
  </si>
  <si>
    <t>98612445</t>
  </si>
  <si>
    <t>Хара-Улахский национальный (эвенский) наслег</t>
  </si>
  <si>
    <t>98612456</t>
  </si>
  <si>
    <t>Верхневилюйский муниципальный район</t>
  </si>
  <si>
    <t>98614000</t>
  </si>
  <si>
    <t>Балаганнахский наслег</t>
  </si>
  <si>
    <t>98614402</t>
  </si>
  <si>
    <t>Ботулунский наслег</t>
  </si>
  <si>
    <t>98614405</t>
  </si>
  <si>
    <t>Быраканский наслег</t>
  </si>
  <si>
    <t>98614407</t>
  </si>
  <si>
    <t>Верхневилюйский наслег</t>
  </si>
  <si>
    <t>98614412</t>
  </si>
  <si>
    <t>Далырский наслег</t>
  </si>
  <si>
    <t>98614422</t>
  </si>
  <si>
    <t>Дюллюкинский наслег</t>
  </si>
  <si>
    <t>98614417</t>
  </si>
  <si>
    <t>Едюгейский наслег</t>
  </si>
  <si>
    <t>98614423</t>
  </si>
  <si>
    <t>Кырыкыйский наслег</t>
  </si>
  <si>
    <t>98614406</t>
  </si>
  <si>
    <t>Кэнтикский наслег</t>
  </si>
  <si>
    <t>98614429</t>
  </si>
  <si>
    <t>Магасский наслег</t>
  </si>
  <si>
    <t>98614436</t>
  </si>
  <si>
    <t>Мэйикский наслег</t>
  </si>
  <si>
    <t>98614440</t>
  </si>
  <si>
    <t>60</t>
  </si>
  <si>
    <t>Намский наслег</t>
  </si>
  <si>
    <t>98614445</t>
  </si>
  <si>
    <t>61</t>
  </si>
  <si>
    <t>Онхойский наслег</t>
  </si>
  <si>
    <t>98614450</t>
  </si>
  <si>
    <t>62</t>
  </si>
  <si>
    <t>Оргетский наслег</t>
  </si>
  <si>
    <t>98614455</t>
  </si>
  <si>
    <t>63</t>
  </si>
  <si>
    <t>Оросунский наслег</t>
  </si>
  <si>
    <t>98614460</t>
  </si>
  <si>
    <t>64</t>
  </si>
  <si>
    <t>Сургулукский наслег</t>
  </si>
  <si>
    <t>98614467</t>
  </si>
  <si>
    <t>65</t>
  </si>
  <si>
    <t>Тамалаканский наслег</t>
  </si>
  <si>
    <t>98614469</t>
  </si>
  <si>
    <t>Туобуйинский наслег</t>
  </si>
  <si>
    <t>98614472</t>
  </si>
  <si>
    <t>67</t>
  </si>
  <si>
    <t>Харбалахский наслег</t>
  </si>
  <si>
    <t>98614478</t>
  </si>
  <si>
    <t>Хомустахский наслег</t>
  </si>
  <si>
    <t>98614482</t>
  </si>
  <si>
    <t>69</t>
  </si>
  <si>
    <t>Хоринский наслег</t>
  </si>
  <si>
    <t>98614486</t>
  </si>
  <si>
    <t>70</t>
  </si>
  <si>
    <t>Верхнеколымский муниципальный район</t>
  </si>
  <si>
    <t>98615000</t>
  </si>
  <si>
    <t>Арылахский наслег</t>
  </si>
  <si>
    <t>98615405</t>
  </si>
  <si>
    <t>71</t>
  </si>
  <si>
    <t>72</t>
  </si>
  <si>
    <t>Верхнеколымский наслег</t>
  </si>
  <si>
    <t>98615409</t>
  </si>
  <si>
    <t>73</t>
  </si>
  <si>
    <t>Межселенная территория Верхнеколымского муниципального района, находящаяся вне границ городского и сельских поселений</t>
  </si>
  <si>
    <t>98615701</t>
  </si>
  <si>
    <t>74</t>
  </si>
  <si>
    <t>Нелемнский юкагирский наслег</t>
  </si>
  <si>
    <t>98615414</t>
  </si>
  <si>
    <t>75</t>
  </si>
  <si>
    <t>Поселок Зырянка</t>
  </si>
  <si>
    <t>98615151</t>
  </si>
  <si>
    <t>76</t>
  </si>
  <si>
    <t>Угольнинский наслег</t>
  </si>
  <si>
    <t>98615427</t>
  </si>
  <si>
    <t>77</t>
  </si>
  <si>
    <t>Утаинский эвенский национальный наслег</t>
  </si>
  <si>
    <t>98615430</t>
  </si>
  <si>
    <t>78</t>
  </si>
  <si>
    <t>Верхоянский муниципальный район</t>
  </si>
  <si>
    <t>98616000</t>
  </si>
  <si>
    <t>Адычинский наслег</t>
  </si>
  <si>
    <t>98616404</t>
  </si>
  <si>
    <t>79</t>
  </si>
  <si>
    <t>98616409</t>
  </si>
  <si>
    <t>80</t>
  </si>
  <si>
    <t>Бабушкинский наслег</t>
  </si>
  <si>
    <t>98616477</t>
  </si>
  <si>
    <t>81</t>
  </si>
  <si>
    <t>Барыласский наслег</t>
  </si>
  <si>
    <t>98616412</t>
  </si>
  <si>
    <t>82</t>
  </si>
  <si>
    <t>Борулахский наслег</t>
  </si>
  <si>
    <t>98616414</t>
  </si>
  <si>
    <t>83</t>
  </si>
  <si>
    <t>84</t>
  </si>
  <si>
    <t>Город Верхоянск</t>
  </si>
  <si>
    <t>98616103</t>
  </si>
  <si>
    <t>85</t>
  </si>
  <si>
    <t>Дулгалахский наслег</t>
  </si>
  <si>
    <t>98616425</t>
  </si>
  <si>
    <t>86</t>
  </si>
  <si>
    <t>Посёлок Батагай</t>
  </si>
  <si>
    <t>98616151</t>
  </si>
  <si>
    <t>87</t>
  </si>
  <si>
    <t>Посёлок Эсэ-Хая</t>
  </si>
  <si>
    <t>98616156</t>
  </si>
  <si>
    <t>88</t>
  </si>
  <si>
    <t>Сартанский наслег</t>
  </si>
  <si>
    <t>98616442</t>
  </si>
  <si>
    <t>89</t>
  </si>
  <si>
    <t>Столбинский наслег</t>
  </si>
  <si>
    <t>98616445</t>
  </si>
  <si>
    <t>90</t>
  </si>
  <si>
    <t>Суордахский наслег</t>
  </si>
  <si>
    <t>98616448</t>
  </si>
  <si>
    <t>91</t>
  </si>
  <si>
    <t>Табалахский наслег</t>
  </si>
  <si>
    <t>98616453</t>
  </si>
  <si>
    <t>92</t>
  </si>
  <si>
    <t>Черюмчинский наслег</t>
  </si>
  <si>
    <t>98616460</t>
  </si>
  <si>
    <t>93</t>
  </si>
  <si>
    <t>Эгинский наслег</t>
  </si>
  <si>
    <t>98616464</t>
  </si>
  <si>
    <t>94</t>
  </si>
  <si>
    <t>Эльгесский наслег</t>
  </si>
  <si>
    <t>98616470</t>
  </si>
  <si>
    <t>95</t>
  </si>
  <si>
    <t>Янский наслег</t>
  </si>
  <si>
    <t>98616488</t>
  </si>
  <si>
    <t>96</t>
  </si>
  <si>
    <t>Вилюйский муниципальный район</t>
  </si>
  <si>
    <t>98618000</t>
  </si>
  <si>
    <t>98618404</t>
  </si>
  <si>
    <t>97</t>
  </si>
  <si>
    <t>Баппагайинский наслег</t>
  </si>
  <si>
    <t>98618408</t>
  </si>
  <si>
    <t>98</t>
  </si>
  <si>
    <t>Бекчегинский наслег</t>
  </si>
  <si>
    <t>98618412</t>
  </si>
  <si>
    <t>99</t>
  </si>
  <si>
    <t>98618416</t>
  </si>
  <si>
    <t>100</t>
  </si>
  <si>
    <t>101</t>
  </si>
  <si>
    <t>Город Вилюйск</t>
  </si>
  <si>
    <t>98618101</t>
  </si>
  <si>
    <t>102</t>
  </si>
  <si>
    <t>Екюндюнский наслег</t>
  </si>
  <si>
    <t>98618418</t>
  </si>
  <si>
    <t>103</t>
  </si>
  <si>
    <t>Жемконский наслег</t>
  </si>
  <si>
    <t>98618420</t>
  </si>
  <si>
    <t>104</t>
  </si>
  <si>
    <t>Кыргыдайский наслег</t>
  </si>
  <si>
    <t>98618426</t>
  </si>
  <si>
    <t>105</t>
  </si>
  <si>
    <t>Кюлетский 1-й наслег</t>
  </si>
  <si>
    <t>98618430</t>
  </si>
  <si>
    <t>106</t>
  </si>
  <si>
    <t>Кюлетский 2-й наслег</t>
  </si>
  <si>
    <t>98618431</t>
  </si>
  <si>
    <t>107</t>
  </si>
  <si>
    <t>Лекеченский наслег</t>
  </si>
  <si>
    <t>98618433</t>
  </si>
  <si>
    <t>108</t>
  </si>
  <si>
    <t>Первый Тогусский наслег</t>
  </si>
  <si>
    <t>98618435</t>
  </si>
  <si>
    <t>109</t>
  </si>
  <si>
    <t>Посёлок Кысыл-Сыр</t>
  </si>
  <si>
    <t>98618153</t>
  </si>
  <si>
    <t>110</t>
  </si>
  <si>
    <t>Тасагарский наслег</t>
  </si>
  <si>
    <t>98618445</t>
  </si>
  <si>
    <t>Тогусский наслег</t>
  </si>
  <si>
    <t>98618449</t>
  </si>
  <si>
    <t>112</t>
  </si>
  <si>
    <t>Тылгынинский наслег</t>
  </si>
  <si>
    <t>98618453</t>
  </si>
  <si>
    <t>113</t>
  </si>
  <si>
    <t>Хагынский наслег</t>
  </si>
  <si>
    <t>98618458</t>
  </si>
  <si>
    <t>114</t>
  </si>
  <si>
    <t>Халбакинскийнаслег</t>
  </si>
  <si>
    <t>98618462</t>
  </si>
  <si>
    <t>115</t>
  </si>
  <si>
    <t>Чернышевский наслег</t>
  </si>
  <si>
    <t>98618466</t>
  </si>
  <si>
    <t>116</t>
  </si>
  <si>
    <t>Чочунский наслег</t>
  </si>
  <si>
    <t>98618470</t>
  </si>
  <si>
    <t>117</t>
  </si>
  <si>
    <t>Югюлятский наслег</t>
  </si>
  <si>
    <t>98618474</t>
  </si>
  <si>
    <t>118</t>
  </si>
  <si>
    <t>Горный муниципальный район</t>
  </si>
  <si>
    <t>98620000</t>
  </si>
  <si>
    <t>Атамайский наслег</t>
  </si>
  <si>
    <t>98620405</t>
  </si>
  <si>
    <t>119</t>
  </si>
  <si>
    <t>Бердигестяхский наслег</t>
  </si>
  <si>
    <t>98620410</t>
  </si>
  <si>
    <t>120</t>
  </si>
  <si>
    <t>121</t>
  </si>
  <si>
    <t>Кировский наслег</t>
  </si>
  <si>
    <t>98620417</t>
  </si>
  <si>
    <t>122</t>
  </si>
  <si>
    <t>Маганинский наслег</t>
  </si>
  <si>
    <t>98620426</t>
  </si>
  <si>
    <t>123</t>
  </si>
  <si>
    <t>Малтанинский наслег</t>
  </si>
  <si>
    <t>98620433</t>
  </si>
  <si>
    <t>124</t>
  </si>
  <si>
    <t>Мытахский наслег</t>
  </si>
  <si>
    <t>98620440</t>
  </si>
  <si>
    <t>125</t>
  </si>
  <si>
    <t>Одунунский наслег</t>
  </si>
  <si>
    <t>98620449</t>
  </si>
  <si>
    <t>126</t>
  </si>
  <si>
    <t>Октябрьский наслег</t>
  </si>
  <si>
    <t>98620452</t>
  </si>
  <si>
    <t>127</t>
  </si>
  <si>
    <t>Шологонский наслег</t>
  </si>
  <si>
    <t>98620465</t>
  </si>
  <si>
    <t>128</t>
  </si>
  <si>
    <t>Город Якутск</t>
  </si>
  <si>
    <t>98701000</t>
  </si>
  <si>
    <t>городской округ</t>
  </si>
  <si>
    <t>129</t>
  </si>
  <si>
    <t>Жатай</t>
  </si>
  <si>
    <t>98702000</t>
  </si>
  <si>
    <t>130</t>
  </si>
  <si>
    <t>Жиганский национальный эвенкийский муниципальный район</t>
  </si>
  <si>
    <t>98622000</t>
  </si>
  <si>
    <t>Бестяхский наслег</t>
  </si>
  <si>
    <t>98622405</t>
  </si>
  <si>
    <t>131</t>
  </si>
  <si>
    <t>132</t>
  </si>
  <si>
    <t>Жиганский эвенкийский национальный наслег</t>
  </si>
  <si>
    <t>98622410</t>
  </si>
  <si>
    <t>133</t>
  </si>
  <si>
    <t>Линдинский эвенкийский национальный наслег</t>
  </si>
  <si>
    <t>98622422</t>
  </si>
  <si>
    <t>134</t>
  </si>
  <si>
    <t>Межселенная территория Жиганского национального эвенкийского муниципального района, включая территорию участка Джарджан</t>
  </si>
  <si>
    <t>98622710</t>
  </si>
  <si>
    <t>135</t>
  </si>
  <si>
    <t>Эвенкийское сельское поселение “Кыстатыам”</t>
  </si>
  <si>
    <t>98622417</t>
  </si>
  <si>
    <t>136</t>
  </si>
  <si>
    <t>Кобяйский муниципальный район</t>
  </si>
  <si>
    <t>98624000</t>
  </si>
  <si>
    <t>Арыктахский наслег</t>
  </si>
  <si>
    <t>98624405</t>
  </si>
  <si>
    <t>137</t>
  </si>
  <si>
    <t>Кировский эвенский национальный наслег</t>
  </si>
  <si>
    <t>98624414</t>
  </si>
  <si>
    <t>138</t>
  </si>
  <si>
    <t>139</t>
  </si>
  <si>
    <t>Кобяйский наслег</t>
  </si>
  <si>
    <t>98624419</t>
  </si>
  <si>
    <t>140</t>
  </si>
  <si>
    <t>Куокуйский наслег</t>
  </si>
  <si>
    <t>98624424</t>
  </si>
  <si>
    <t>141</t>
  </si>
  <si>
    <t>Ламынхинский эвенский национальный наслег</t>
  </si>
  <si>
    <t>98624429</t>
  </si>
  <si>
    <t>142</t>
  </si>
  <si>
    <t>Люччегинский 1-й наслег</t>
  </si>
  <si>
    <t>98624434</t>
  </si>
  <si>
    <t>143</t>
  </si>
  <si>
    <t>Люччегинский 2-й наслег</t>
  </si>
  <si>
    <t>98624435</t>
  </si>
  <si>
    <t>144</t>
  </si>
  <si>
    <t>Межселенная территория Кобяйского муниципального района, находящаяся вне границ городского и сельских поселений</t>
  </si>
  <si>
    <t>98624701</t>
  </si>
  <si>
    <t>145</t>
  </si>
  <si>
    <t>Мукучунский наслег</t>
  </si>
  <si>
    <t>98624440</t>
  </si>
  <si>
    <t>146</t>
  </si>
  <si>
    <t>Нижилинский наслег</t>
  </si>
  <si>
    <t>98624445</t>
  </si>
  <si>
    <t>147</t>
  </si>
  <si>
    <t>Поселок Сангар</t>
  </si>
  <si>
    <t>98624151</t>
  </si>
  <si>
    <t>148</t>
  </si>
  <si>
    <t>Ситтинский наслег</t>
  </si>
  <si>
    <t>98624450</t>
  </si>
  <si>
    <t>149</t>
  </si>
  <si>
    <t>Тыайинский наслег</t>
  </si>
  <si>
    <t>98624455</t>
  </si>
  <si>
    <t>150</t>
  </si>
  <si>
    <t>Ленский муниципальный район</t>
  </si>
  <si>
    <t>98627000</t>
  </si>
  <si>
    <t>Беченчинский наслег</t>
  </si>
  <si>
    <t>98627405</t>
  </si>
  <si>
    <t>151</t>
  </si>
  <si>
    <t>Город Ленск</t>
  </si>
  <si>
    <t>98627101</t>
  </si>
  <si>
    <t>152</t>
  </si>
  <si>
    <t>153</t>
  </si>
  <si>
    <t>Межселенная территория Ленского муниципального района, находящаяся вне границ городских и сельских поселений</t>
  </si>
  <si>
    <t>98627701</t>
  </si>
  <si>
    <t>154</t>
  </si>
  <si>
    <t>Мурбайский наслег</t>
  </si>
  <si>
    <t>98627420</t>
  </si>
  <si>
    <t>155</t>
  </si>
  <si>
    <t>Наторинский наслег</t>
  </si>
  <si>
    <t>98627428</t>
  </si>
  <si>
    <t>156</t>
  </si>
  <si>
    <t>Нюйский наслег</t>
  </si>
  <si>
    <t>98627430</t>
  </si>
  <si>
    <t>157</t>
  </si>
  <si>
    <t>Орто-Нахаринский наслег</t>
  </si>
  <si>
    <t>98627433</t>
  </si>
  <si>
    <t>158</t>
  </si>
  <si>
    <t>Поселок Витим</t>
  </si>
  <si>
    <t>98627153</t>
  </si>
  <si>
    <t>159</t>
  </si>
  <si>
    <t>Поселок Пеледуй</t>
  </si>
  <si>
    <t>98627157</t>
  </si>
  <si>
    <t>160</t>
  </si>
  <si>
    <t>Салдыкельский наслег</t>
  </si>
  <si>
    <t>98627436</t>
  </si>
  <si>
    <t>161</t>
  </si>
  <si>
    <t>Толонский наслег</t>
  </si>
  <si>
    <t>98627440</t>
  </si>
  <si>
    <t>162</t>
  </si>
  <si>
    <t>Ярославский наслег</t>
  </si>
  <si>
    <t>98627449</t>
  </si>
  <si>
    <t>163</t>
  </si>
  <si>
    <t>Мегино-Кангаласский муниципальный район</t>
  </si>
  <si>
    <t>98629000</t>
  </si>
  <si>
    <t>98629402</t>
  </si>
  <si>
    <t>164</t>
  </si>
  <si>
    <t>Арангасский наслег</t>
  </si>
  <si>
    <t>98629403</t>
  </si>
  <si>
    <t>165</t>
  </si>
  <si>
    <t>Батаринский 1-й наслег</t>
  </si>
  <si>
    <t>98629406</t>
  </si>
  <si>
    <t>166</t>
  </si>
  <si>
    <t>Батаринский наслег</t>
  </si>
  <si>
    <t>98629405</t>
  </si>
  <si>
    <t>167</t>
  </si>
  <si>
    <t>Бютейдяхский наслег</t>
  </si>
  <si>
    <t>98629409</t>
  </si>
  <si>
    <t>168</t>
  </si>
  <si>
    <t>Догдогинский наслег</t>
  </si>
  <si>
    <t>98629425</t>
  </si>
  <si>
    <t>169</t>
  </si>
  <si>
    <t>Дойдунский наслег</t>
  </si>
  <si>
    <t>98629413</t>
  </si>
  <si>
    <t>170</t>
  </si>
  <si>
    <t>Доллунский наслег</t>
  </si>
  <si>
    <t>98629411</t>
  </si>
  <si>
    <t>171</t>
  </si>
  <si>
    <t>Жабыльский наслег</t>
  </si>
  <si>
    <t>98629408</t>
  </si>
  <si>
    <t>172</t>
  </si>
  <si>
    <t>Жанхадинский наслег</t>
  </si>
  <si>
    <t>98629410</t>
  </si>
  <si>
    <t>173</t>
  </si>
  <si>
    <t>174</t>
  </si>
  <si>
    <t>Мегинский наслег</t>
  </si>
  <si>
    <t>98629420</t>
  </si>
  <si>
    <t>175</t>
  </si>
  <si>
    <t>Мегюренский наслег</t>
  </si>
  <si>
    <t>98629407</t>
  </si>
  <si>
    <t>176</t>
  </si>
  <si>
    <t>Мельжехсинский 3-й наслег</t>
  </si>
  <si>
    <t>98629451</t>
  </si>
  <si>
    <t>177</t>
  </si>
  <si>
    <t>Мельжехсинский наслег</t>
  </si>
  <si>
    <t>98629429</t>
  </si>
  <si>
    <t>178</t>
  </si>
  <si>
    <t>Морукский наслег</t>
  </si>
  <si>
    <t>98629436</t>
  </si>
  <si>
    <t>179</t>
  </si>
  <si>
    <t>Нахаринский 1-й наслег</t>
  </si>
  <si>
    <t>98629449</t>
  </si>
  <si>
    <t>180</t>
  </si>
  <si>
    <t>Нахаринский 2-й наслег</t>
  </si>
  <si>
    <t>98629440</t>
  </si>
  <si>
    <t>181</t>
  </si>
  <si>
    <t>Нерюктяйинский наслег</t>
  </si>
  <si>
    <t>98629445</t>
  </si>
  <si>
    <t>182</t>
  </si>
  <si>
    <t>Рассолодинский наслег</t>
  </si>
  <si>
    <t>98629447</t>
  </si>
  <si>
    <t>183</t>
  </si>
  <si>
    <t>Село Майя</t>
  </si>
  <si>
    <t>98629415</t>
  </si>
  <si>
    <t>184</t>
  </si>
  <si>
    <t>Тарагайский наслег</t>
  </si>
  <si>
    <t>98629448</t>
  </si>
  <si>
    <t>185</t>
  </si>
  <si>
    <t>Тыллыминский 1-й наслег</t>
  </si>
  <si>
    <t>98629450</t>
  </si>
  <si>
    <t>186</t>
  </si>
  <si>
    <t>Тыллыминский 2-й наслег</t>
  </si>
  <si>
    <t>98629452</t>
  </si>
  <si>
    <t>187</t>
  </si>
  <si>
    <t>Тюнгюлюнский наслег</t>
  </si>
  <si>
    <t>98629455</t>
  </si>
  <si>
    <t>188</t>
  </si>
  <si>
    <t>Хаптагайский наслег</t>
  </si>
  <si>
    <t>98629460</t>
  </si>
  <si>
    <t>189</t>
  </si>
  <si>
    <t>Харанский наслег</t>
  </si>
  <si>
    <t>98629462</t>
  </si>
  <si>
    <t>190</t>
  </si>
  <si>
    <t>Ходоринский наслег</t>
  </si>
  <si>
    <t>98629463</t>
  </si>
  <si>
    <t>191</t>
  </si>
  <si>
    <t>Холгуминский наслег</t>
  </si>
  <si>
    <t>98629464</t>
  </si>
  <si>
    <t>192</t>
  </si>
  <si>
    <t>Хоробутский наслег</t>
  </si>
  <si>
    <t>98629430</t>
  </si>
  <si>
    <t>193</t>
  </si>
  <si>
    <t>Чыамайыкинский наслег</t>
  </si>
  <si>
    <t>98629465</t>
  </si>
  <si>
    <t>194</t>
  </si>
  <si>
    <t>поселок Нижний Бестях</t>
  </si>
  <si>
    <t>98629155</t>
  </si>
  <si>
    <t>195</t>
  </si>
  <si>
    <t>Мирнинский муниципальный район</t>
  </si>
  <si>
    <t>98631000</t>
  </si>
  <si>
    <t>Ботуобуйинский наслег</t>
  </si>
  <si>
    <t>98631404</t>
  </si>
  <si>
    <t>196</t>
  </si>
  <si>
    <t>Город Мирный</t>
  </si>
  <si>
    <t>98631101</t>
  </si>
  <si>
    <t>197</t>
  </si>
  <si>
    <t>Город Удачный</t>
  </si>
  <si>
    <t>98631109</t>
  </si>
  <si>
    <t>198</t>
  </si>
  <si>
    <t>Межселенная территория Мирнинского муниципального района, находящаяся вне границ городских и сельских поселений</t>
  </si>
  <si>
    <t>98631701</t>
  </si>
  <si>
    <t>199</t>
  </si>
  <si>
    <t>200</t>
  </si>
  <si>
    <t>Посёлок Чернышевский</t>
  </si>
  <si>
    <t>98631162</t>
  </si>
  <si>
    <t>201</t>
  </si>
  <si>
    <t>Поселок Айхал</t>
  </si>
  <si>
    <t>98631152</t>
  </si>
  <si>
    <t>202</t>
  </si>
  <si>
    <t>Поселок Алмазный</t>
  </si>
  <si>
    <t>98631155</t>
  </si>
  <si>
    <t>203</t>
  </si>
  <si>
    <t>Поселок Светлый</t>
  </si>
  <si>
    <t>98631157</t>
  </si>
  <si>
    <t>204</t>
  </si>
  <si>
    <t>Садынский национальный эвенкийский наслег</t>
  </si>
  <si>
    <t>98631428</t>
  </si>
  <si>
    <t>205</t>
  </si>
  <si>
    <t>Чуонинский наслег</t>
  </si>
  <si>
    <t>98631450</t>
  </si>
  <si>
    <t>206</t>
  </si>
  <si>
    <t>Момский муниципальный район</t>
  </si>
  <si>
    <t>98633000</t>
  </si>
  <si>
    <t>Индигирский национальный наслег</t>
  </si>
  <si>
    <t>98633414</t>
  </si>
  <si>
    <t>207</t>
  </si>
  <si>
    <t>208</t>
  </si>
  <si>
    <t>Момский национальный наслег</t>
  </si>
  <si>
    <t>98633423</t>
  </si>
  <si>
    <t>209</t>
  </si>
  <si>
    <t>Соболохский национальный наслег</t>
  </si>
  <si>
    <t>98633428</t>
  </si>
  <si>
    <t>210</t>
  </si>
  <si>
    <t>Тебюляхский национальный наслег</t>
  </si>
  <si>
    <t>98633430</t>
  </si>
  <si>
    <t>211</t>
  </si>
  <si>
    <t>Улахан-Чистайский национальный наслег</t>
  </si>
  <si>
    <t>98633435</t>
  </si>
  <si>
    <t>212</t>
  </si>
  <si>
    <t>Чыбагалахский национальный наслег</t>
  </si>
  <si>
    <t>98633405</t>
  </si>
  <si>
    <t>213</t>
  </si>
  <si>
    <t>Намский муниципальный район</t>
  </si>
  <si>
    <t>98635000</t>
  </si>
  <si>
    <t>Арбынский наслег</t>
  </si>
  <si>
    <t>98635405</t>
  </si>
  <si>
    <t>214</t>
  </si>
  <si>
    <t>98635410</t>
  </si>
  <si>
    <t>215</t>
  </si>
  <si>
    <t>Едейский наслег</t>
  </si>
  <si>
    <t>98635415</t>
  </si>
  <si>
    <t>216</t>
  </si>
  <si>
    <t>Искровский наслег</t>
  </si>
  <si>
    <t>98635417</t>
  </si>
  <si>
    <t>217</t>
  </si>
  <si>
    <t>Кебекенский наслег</t>
  </si>
  <si>
    <t>98635420</t>
  </si>
  <si>
    <t>218</t>
  </si>
  <si>
    <t>Ленский наслег</t>
  </si>
  <si>
    <t>98635425</t>
  </si>
  <si>
    <t>219</t>
  </si>
  <si>
    <t>Маймагинский наслег</t>
  </si>
  <si>
    <t>98635470</t>
  </si>
  <si>
    <t>220</t>
  </si>
  <si>
    <t>Модутский наслег</t>
  </si>
  <si>
    <t>98635430</t>
  </si>
  <si>
    <t>221</t>
  </si>
  <si>
    <t>222</t>
  </si>
  <si>
    <t>Никольский наслег</t>
  </si>
  <si>
    <t>98635432</t>
  </si>
  <si>
    <t>223</t>
  </si>
  <si>
    <t>Партизанский наслег</t>
  </si>
  <si>
    <t>98635435</t>
  </si>
  <si>
    <t>224</t>
  </si>
  <si>
    <t>Салбанский наслег</t>
  </si>
  <si>
    <t>98635440</t>
  </si>
  <si>
    <t>225</t>
  </si>
  <si>
    <t>Тастахский наслег</t>
  </si>
  <si>
    <t>98635443</t>
  </si>
  <si>
    <t>226</t>
  </si>
  <si>
    <t>Тюбинский наслег</t>
  </si>
  <si>
    <t>98635445</t>
  </si>
  <si>
    <t>227</t>
  </si>
  <si>
    <t>Фрунзенский наслег</t>
  </si>
  <si>
    <t>98635447</t>
  </si>
  <si>
    <t>228</t>
  </si>
  <si>
    <t>Хамагаттинский наслег</t>
  </si>
  <si>
    <t>98635450</t>
  </si>
  <si>
    <t>229</t>
  </si>
  <si>
    <t>Хатын-Арынский наслег</t>
  </si>
  <si>
    <t>98635455</t>
  </si>
  <si>
    <t>230</t>
  </si>
  <si>
    <t>Хатырыкский наслег</t>
  </si>
  <si>
    <t>98635460</t>
  </si>
  <si>
    <t>231</t>
  </si>
  <si>
    <t>Хомустахский 1-й наслег</t>
  </si>
  <si>
    <t>98635465</t>
  </si>
  <si>
    <t>232</t>
  </si>
  <si>
    <t>Хомустахский 2-й наслег</t>
  </si>
  <si>
    <t>98635466</t>
  </si>
  <si>
    <t>233</t>
  </si>
  <si>
    <t>98660000</t>
  </si>
  <si>
    <t>Иенгринский эвенкийский национальный наслег</t>
  </si>
  <si>
    <t>98660405</t>
  </si>
  <si>
    <t>235</t>
  </si>
  <si>
    <t>Межселенные территории Нерюнгринского муниципального района, не вошедшие в территорию городских и сельского поселений</t>
  </si>
  <si>
    <t>98660701</t>
  </si>
  <si>
    <t>236</t>
  </si>
  <si>
    <t>237</t>
  </si>
  <si>
    <t>Посёлок Золотинка</t>
  </si>
  <si>
    <t>98660154</t>
  </si>
  <si>
    <t>239</t>
  </si>
  <si>
    <t>Поселок Хани</t>
  </si>
  <si>
    <t>98660164</t>
  </si>
  <si>
    <t>241</t>
  </si>
  <si>
    <t>Нижнеколымский муниципальный район</t>
  </si>
  <si>
    <t>98637000</t>
  </si>
  <si>
    <t>Национальный юкагирский "Олеринский Суктул"</t>
  </si>
  <si>
    <t>98637411</t>
  </si>
  <si>
    <t>243</t>
  </si>
  <si>
    <t>244</t>
  </si>
  <si>
    <t>Поселок Черский</t>
  </si>
  <si>
    <t>98637151</t>
  </si>
  <si>
    <t>245</t>
  </si>
  <si>
    <t>Походский наслег</t>
  </si>
  <si>
    <t>98637424</t>
  </si>
  <si>
    <t>246</t>
  </si>
  <si>
    <t>Чукотский национальный Халарчинский наслег</t>
  </si>
  <si>
    <t>98637437</t>
  </si>
  <si>
    <t>247</t>
  </si>
  <si>
    <t>Нюрбинский муниципальный район</t>
  </si>
  <si>
    <t>98626000</t>
  </si>
  <si>
    <t>Аканинский наслег</t>
  </si>
  <si>
    <t>98626405</t>
  </si>
  <si>
    <t>248</t>
  </si>
  <si>
    <t>Бордонский наслег</t>
  </si>
  <si>
    <t>98626410</t>
  </si>
  <si>
    <t>249</t>
  </si>
  <si>
    <t>Город Нюрба</t>
  </si>
  <si>
    <t>98626101</t>
  </si>
  <si>
    <t>250</t>
  </si>
  <si>
    <t>Дикимдинский наслег</t>
  </si>
  <si>
    <t>98626413</t>
  </si>
  <si>
    <t>251</t>
  </si>
  <si>
    <t>98626414</t>
  </si>
  <si>
    <t>252</t>
  </si>
  <si>
    <t>Жарханский наслег</t>
  </si>
  <si>
    <t>98626415</t>
  </si>
  <si>
    <t>253</t>
  </si>
  <si>
    <t>Кангаласский наслег</t>
  </si>
  <si>
    <t>98626420</t>
  </si>
  <si>
    <t>254</t>
  </si>
  <si>
    <t>Кюндядинский наслег</t>
  </si>
  <si>
    <t>98626425</t>
  </si>
  <si>
    <t>255</t>
  </si>
  <si>
    <t>Мальжагарский наслег</t>
  </si>
  <si>
    <t>98626430</t>
  </si>
  <si>
    <t>256</t>
  </si>
  <si>
    <t>Мархинский наслег</t>
  </si>
  <si>
    <t>98626435</t>
  </si>
  <si>
    <t>257</t>
  </si>
  <si>
    <t>Мегежекский наслег</t>
  </si>
  <si>
    <t>98626440</t>
  </si>
  <si>
    <t>258</t>
  </si>
  <si>
    <t>Нюрбачанский наслег</t>
  </si>
  <si>
    <t>98626450</t>
  </si>
  <si>
    <t>259</t>
  </si>
  <si>
    <t>260</t>
  </si>
  <si>
    <t>98626445</t>
  </si>
  <si>
    <t>261</t>
  </si>
  <si>
    <t>Сюлинский наслег</t>
  </si>
  <si>
    <t>98626452</t>
  </si>
  <si>
    <t>262</t>
  </si>
  <si>
    <t>Тюмюкский наслег</t>
  </si>
  <si>
    <t>98626460</t>
  </si>
  <si>
    <t>263</t>
  </si>
  <si>
    <t>Тюркайинский наслег</t>
  </si>
  <si>
    <t>98626455</t>
  </si>
  <si>
    <t>264</t>
  </si>
  <si>
    <t>Хорулинский наслег</t>
  </si>
  <si>
    <t>98626465</t>
  </si>
  <si>
    <t>265</t>
  </si>
  <si>
    <t>Чаппандинский наслег</t>
  </si>
  <si>
    <t>98626470</t>
  </si>
  <si>
    <t>266</t>
  </si>
  <si>
    <t>Чукарский наслег</t>
  </si>
  <si>
    <t>98626475</t>
  </si>
  <si>
    <t>267</t>
  </si>
  <si>
    <t>Оймяконский муниципальный район</t>
  </si>
  <si>
    <t>98639000</t>
  </si>
  <si>
    <t>Борогонский 2-й наслег</t>
  </si>
  <si>
    <t>98639410</t>
  </si>
  <si>
    <t>268</t>
  </si>
  <si>
    <t>Межселенная территория Оймяконского муниципального района, находящаяся вне границ городских и сельских поселений</t>
  </si>
  <si>
    <t>98639701</t>
  </si>
  <si>
    <t>269</t>
  </si>
  <si>
    <t>Оймякон Полюс Холода</t>
  </si>
  <si>
    <t>98639405</t>
  </si>
  <si>
    <t>270</t>
  </si>
  <si>
    <t>271</t>
  </si>
  <si>
    <t>Посёлок Артык</t>
  </si>
  <si>
    <t>98639153</t>
  </si>
  <si>
    <t>272</t>
  </si>
  <si>
    <t>Поселок Усть-Нера</t>
  </si>
  <si>
    <t>98639151</t>
  </si>
  <si>
    <t>273</t>
  </si>
  <si>
    <t>Сордоннохский национальный наслег</t>
  </si>
  <si>
    <t>98639427</t>
  </si>
  <si>
    <t>274</t>
  </si>
  <si>
    <t>Терютский наслег</t>
  </si>
  <si>
    <t>98639432</t>
  </si>
  <si>
    <t>275</t>
  </si>
  <si>
    <t>Ючюгейский национальный наслег</t>
  </si>
  <si>
    <t>98639445</t>
  </si>
  <si>
    <t>276</t>
  </si>
  <si>
    <t>Олекминский муниципальный район</t>
  </si>
  <si>
    <t>98641000</t>
  </si>
  <si>
    <t>98641405</t>
  </si>
  <si>
    <t>277</t>
  </si>
  <si>
    <t>Город Олекминск</t>
  </si>
  <si>
    <t>98641101</t>
  </si>
  <si>
    <t>278</t>
  </si>
  <si>
    <t>Дабанский наслег</t>
  </si>
  <si>
    <t>98641410</t>
  </si>
  <si>
    <t>279</t>
  </si>
  <si>
    <t>Дельгейский наслег</t>
  </si>
  <si>
    <t>98641415</t>
  </si>
  <si>
    <t>280</t>
  </si>
  <si>
    <t>Жарханский национальный наслег</t>
  </si>
  <si>
    <t>98641420</t>
  </si>
  <si>
    <t>281</t>
  </si>
  <si>
    <t>Киндигирский национальный наслег</t>
  </si>
  <si>
    <t>98641425</t>
  </si>
  <si>
    <t>282</t>
  </si>
  <si>
    <t>Кыллахский наслег</t>
  </si>
  <si>
    <t>98641430</t>
  </si>
  <si>
    <t>283</t>
  </si>
  <si>
    <t>Кяччинский наслег</t>
  </si>
  <si>
    <t>98641434</t>
  </si>
  <si>
    <t>284</t>
  </si>
  <si>
    <t>98641435</t>
  </si>
  <si>
    <t>285</t>
  </si>
  <si>
    <t>Мачинский наслег</t>
  </si>
  <si>
    <t>98641440</t>
  </si>
  <si>
    <t>286</t>
  </si>
  <si>
    <t>Нерюктяйинский 1-й наслег</t>
  </si>
  <si>
    <t>98641445</t>
  </si>
  <si>
    <t>287</t>
  </si>
  <si>
    <t>Нерюктяйинский 2-й наслег</t>
  </si>
  <si>
    <t>98641450</t>
  </si>
  <si>
    <t>288</t>
  </si>
  <si>
    <t>289</t>
  </si>
  <si>
    <t>Олекминский наслег</t>
  </si>
  <si>
    <t>98641453</t>
  </si>
  <si>
    <t>290</t>
  </si>
  <si>
    <t>Посёлок Заречный</t>
  </si>
  <si>
    <t>98641493</t>
  </si>
  <si>
    <t>291</t>
  </si>
  <si>
    <t>Саныяхтахский наслег</t>
  </si>
  <si>
    <t>98641460</t>
  </si>
  <si>
    <t>292</t>
  </si>
  <si>
    <t>Солянский наслег</t>
  </si>
  <si>
    <t>98641465</t>
  </si>
  <si>
    <t>293</t>
  </si>
  <si>
    <t>Троицкий наслег</t>
  </si>
  <si>
    <t>98641470</t>
  </si>
  <si>
    <t>294</t>
  </si>
  <si>
    <t>Тянский национальный наслег</t>
  </si>
  <si>
    <t>98641475</t>
  </si>
  <si>
    <t>295</t>
  </si>
  <si>
    <t>Улахан-Мунгкунский наслег</t>
  </si>
  <si>
    <t>98641477</t>
  </si>
  <si>
    <t>296</t>
  </si>
  <si>
    <t>Урицкий наслег</t>
  </si>
  <si>
    <t>98641480</t>
  </si>
  <si>
    <t>297</t>
  </si>
  <si>
    <t>98641485</t>
  </si>
  <si>
    <t>298</t>
  </si>
  <si>
    <t>Чапаевский наслег</t>
  </si>
  <si>
    <t>98641487</t>
  </si>
  <si>
    <t>299</t>
  </si>
  <si>
    <t>Чаринский национальный наслег</t>
  </si>
  <si>
    <t>98641490</t>
  </si>
  <si>
    <t>300</t>
  </si>
  <si>
    <t>Оленекский эвенкийский национальный муниципальный район</t>
  </si>
  <si>
    <t>98642000</t>
  </si>
  <si>
    <t>Жилиндинский национальный наслег</t>
  </si>
  <si>
    <t>98642411</t>
  </si>
  <si>
    <t>301</t>
  </si>
  <si>
    <t>Кирбейский национальный наслег</t>
  </si>
  <si>
    <t>98642424</t>
  </si>
  <si>
    <t>302</t>
  </si>
  <si>
    <t>Межселенные территории Оленекского эвенкийского национального муниципального района, включая территории ресурсных резерватов (эркээйи-сирдэри) "Бэкэ", "Бириктэ", "Алакит", "Мархара" и месторождений редкоземельных металлов</t>
  </si>
  <si>
    <t>98642701</t>
  </si>
  <si>
    <t>303</t>
  </si>
  <si>
    <t>Оленекский национальный наслег</t>
  </si>
  <si>
    <t>98642437</t>
  </si>
  <si>
    <t>304</t>
  </si>
  <si>
    <t>305</t>
  </si>
  <si>
    <t>Шологонский национальный наслег</t>
  </si>
  <si>
    <t>98642450</t>
  </si>
  <si>
    <t>306</t>
  </si>
  <si>
    <t>Среднеколымский муниципальный район</t>
  </si>
  <si>
    <t>98646000</t>
  </si>
  <si>
    <t>Алазейский наслег</t>
  </si>
  <si>
    <t>98646405</t>
  </si>
  <si>
    <t>307</t>
  </si>
  <si>
    <t>Байдинский наслег</t>
  </si>
  <si>
    <t>98646410</t>
  </si>
  <si>
    <t>308</t>
  </si>
  <si>
    <t>Берёзовский Национальный (Кочевой) наслег</t>
  </si>
  <si>
    <t>98646415</t>
  </si>
  <si>
    <t>309</t>
  </si>
  <si>
    <t>Город Среднеколымск</t>
  </si>
  <si>
    <t>98646101</t>
  </si>
  <si>
    <t>310</t>
  </si>
  <si>
    <t>Кангаласский 1-й наслег</t>
  </si>
  <si>
    <t>98646420</t>
  </si>
  <si>
    <t>311</t>
  </si>
  <si>
    <t>Кангаласский 2-й наслег</t>
  </si>
  <si>
    <t>98646422</t>
  </si>
  <si>
    <t>312</t>
  </si>
  <si>
    <t>Мятисский 1-й наслег</t>
  </si>
  <si>
    <t>98646435</t>
  </si>
  <si>
    <t>313</t>
  </si>
  <si>
    <t>Мятисский 2-й наслег</t>
  </si>
  <si>
    <t>98646436</t>
  </si>
  <si>
    <t>314</t>
  </si>
  <si>
    <t>Сень-Кюельский наслег</t>
  </si>
  <si>
    <t>98646442</t>
  </si>
  <si>
    <t>315</t>
  </si>
  <si>
    <t>316</t>
  </si>
  <si>
    <t>Хатынгнахский наслег</t>
  </si>
  <si>
    <t>98646448</t>
  </si>
  <si>
    <t>317</t>
  </si>
  <si>
    <t>Сунтарский муниципальный район</t>
  </si>
  <si>
    <t>98648000</t>
  </si>
  <si>
    <t>Аллагинский наслег</t>
  </si>
  <si>
    <t>98648404</t>
  </si>
  <si>
    <t>318</t>
  </si>
  <si>
    <t>98648405</t>
  </si>
  <si>
    <t>319</t>
  </si>
  <si>
    <t>98648410</t>
  </si>
  <si>
    <t>320</t>
  </si>
  <si>
    <t>Вилючанский наслег</t>
  </si>
  <si>
    <t>98648415</t>
  </si>
  <si>
    <t>321</t>
  </si>
  <si>
    <t>98648420</t>
  </si>
  <si>
    <t>322</t>
  </si>
  <si>
    <t>Илимнирский наслег</t>
  </si>
  <si>
    <t>98648422</t>
  </si>
  <si>
    <t>323</t>
  </si>
  <si>
    <t>Кемпендяйский наслег</t>
  </si>
  <si>
    <t>98648425</t>
  </si>
  <si>
    <t>324</t>
  </si>
  <si>
    <t>Крестяхский наслег</t>
  </si>
  <si>
    <t>98648430</t>
  </si>
  <si>
    <t>325</t>
  </si>
  <si>
    <t>Куокунинский наслег</t>
  </si>
  <si>
    <t>98648435</t>
  </si>
  <si>
    <t>326</t>
  </si>
  <si>
    <t>Кутанинский наслег</t>
  </si>
  <si>
    <t>98648440</t>
  </si>
  <si>
    <t>327</t>
  </si>
  <si>
    <t>Кюкяйский наслег</t>
  </si>
  <si>
    <t>98648443</t>
  </si>
  <si>
    <t>328</t>
  </si>
  <si>
    <t>Кюндяйинский наслег</t>
  </si>
  <si>
    <t>98648445</t>
  </si>
  <si>
    <t>329</t>
  </si>
  <si>
    <t>Мар-Кюельский наслег</t>
  </si>
  <si>
    <t>98648450</t>
  </si>
  <si>
    <t>330</t>
  </si>
  <si>
    <t>Нахаринский наслег</t>
  </si>
  <si>
    <t>98648452</t>
  </si>
  <si>
    <t>331</t>
  </si>
  <si>
    <t>332</t>
  </si>
  <si>
    <t>Сунтарский наслег</t>
  </si>
  <si>
    <t>98648455</t>
  </si>
  <si>
    <t>333</t>
  </si>
  <si>
    <t>Тенкинский наслег</t>
  </si>
  <si>
    <t>98648457</t>
  </si>
  <si>
    <t>334</t>
  </si>
  <si>
    <t>Тойбохойский наслег</t>
  </si>
  <si>
    <t>98648460</t>
  </si>
  <si>
    <t>335</t>
  </si>
  <si>
    <t>98648459</t>
  </si>
  <si>
    <t>336</t>
  </si>
  <si>
    <t>Туойдахский наслег</t>
  </si>
  <si>
    <t>98648461</t>
  </si>
  <si>
    <t>337</t>
  </si>
  <si>
    <t>Тюбяй-Жарханский наслег</t>
  </si>
  <si>
    <t>98648462</t>
  </si>
  <si>
    <t>338</t>
  </si>
  <si>
    <t>Тюбяйский наслег</t>
  </si>
  <si>
    <t>98648463</t>
  </si>
  <si>
    <t>339</t>
  </si>
  <si>
    <t>Устьинский наслег</t>
  </si>
  <si>
    <t>98648480</t>
  </si>
  <si>
    <t>340</t>
  </si>
  <si>
    <t>Хаданский наслег</t>
  </si>
  <si>
    <t>98648465</t>
  </si>
  <si>
    <t>341</t>
  </si>
  <si>
    <t>98648466</t>
  </si>
  <si>
    <t>342</t>
  </si>
  <si>
    <t>Шеинский наслег</t>
  </si>
  <si>
    <t>98648470</t>
  </si>
  <si>
    <t>343</t>
  </si>
  <si>
    <t>Эльгяйский наслег</t>
  </si>
  <si>
    <t>98648475</t>
  </si>
  <si>
    <t>344</t>
  </si>
  <si>
    <t>Таттинский муниципальный район</t>
  </si>
  <si>
    <t>98604000</t>
  </si>
  <si>
    <t>Алданский наслег</t>
  </si>
  <si>
    <t>98604405</t>
  </si>
  <si>
    <t>345</t>
  </si>
  <si>
    <t>98604410</t>
  </si>
  <si>
    <t>346</t>
  </si>
  <si>
    <t>Баягинский наслег</t>
  </si>
  <si>
    <t>98604415</t>
  </si>
  <si>
    <t>347</t>
  </si>
  <si>
    <t>Дайа-Амгинский наслег</t>
  </si>
  <si>
    <t>98604418</t>
  </si>
  <si>
    <t>348</t>
  </si>
  <si>
    <t>Жохсогонский наслег</t>
  </si>
  <si>
    <t>98604420</t>
  </si>
  <si>
    <t>349</t>
  </si>
  <si>
    <t>Жулейский наслег</t>
  </si>
  <si>
    <t>98604425</t>
  </si>
  <si>
    <t>350</t>
  </si>
  <si>
    <t>Игидейский наслег</t>
  </si>
  <si>
    <t>98604430</t>
  </si>
  <si>
    <t>351</t>
  </si>
  <si>
    <t>98604435</t>
  </si>
  <si>
    <t>352</t>
  </si>
  <si>
    <t>Средне-Амгинский наслег</t>
  </si>
  <si>
    <t>98604440</t>
  </si>
  <si>
    <t>353</t>
  </si>
  <si>
    <t>354</t>
  </si>
  <si>
    <t>Таттинский наслег</t>
  </si>
  <si>
    <t>98604445</t>
  </si>
  <si>
    <t>355</t>
  </si>
  <si>
    <t>Тыарасинский наслег</t>
  </si>
  <si>
    <t>98604450</t>
  </si>
  <si>
    <t>356</t>
  </si>
  <si>
    <t>Уолбинский наслег</t>
  </si>
  <si>
    <t>98604455</t>
  </si>
  <si>
    <t>357</t>
  </si>
  <si>
    <t>Усть-Амгинский наслег</t>
  </si>
  <si>
    <t>98604460</t>
  </si>
  <si>
    <t>358</t>
  </si>
  <si>
    <t>Хара-Алданский наслег</t>
  </si>
  <si>
    <t>98604465</t>
  </si>
  <si>
    <t>359</t>
  </si>
  <si>
    <t>Томпонский муниципальный район</t>
  </si>
  <si>
    <t>98650000</t>
  </si>
  <si>
    <t>Баягантайский наслег</t>
  </si>
  <si>
    <t>98650405</t>
  </si>
  <si>
    <t>360</t>
  </si>
  <si>
    <t>Мегино-Алданский наслег</t>
  </si>
  <si>
    <t>98650415</t>
  </si>
  <si>
    <t>361</t>
  </si>
  <si>
    <t>Охот-Перевозовский наслег</t>
  </si>
  <si>
    <t>98650425</t>
  </si>
  <si>
    <t>362</t>
  </si>
  <si>
    <t>Поселок Джебарики-Хая</t>
  </si>
  <si>
    <t>98650152</t>
  </si>
  <si>
    <t>363</t>
  </si>
  <si>
    <t>Поселок Хандыга</t>
  </si>
  <si>
    <t>98650151</t>
  </si>
  <si>
    <t>364</t>
  </si>
  <si>
    <t>Сасыльский наслег</t>
  </si>
  <si>
    <t>98650430</t>
  </si>
  <si>
    <t>365</t>
  </si>
  <si>
    <t>Теплоключевской наслег</t>
  </si>
  <si>
    <t>98650433</t>
  </si>
  <si>
    <t>366</t>
  </si>
  <si>
    <t>367</t>
  </si>
  <si>
    <t>Томпонский национальный (эвенский) наслег</t>
  </si>
  <si>
    <t>98650435</t>
  </si>
  <si>
    <t>368</t>
  </si>
  <si>
    <t>Ынгинский наслег</t>
  </si>
  <si>
    <t>98650440</t>
  </si>
  <si>
    <t>369</t>
  </si>
  <si>
    <t>Усть-Алданский муниципальный район</t>
  </si>
  <si>
    <t>98652000</t>
  </si>
  <si>
    <t>Байагантайский 2-й наслег</t>
  </si>
  <si>
    <t>98652472</t>
  </si>
  <si>
    <t>370</t>
  </si>
  <si>
    <t>Батагайский наслег</t>
  </si>
  <si>
    <t>98652405</t>
  </si>
  <si>
    <t>371</t>
  </si>
  <si>
    <t>98652410</t>
  </si>
  <si>
    <t>372</t>
  </si>
  <si>
    <t>Берт-Усовский наслег</t>
  </si>
  <si>
    <t>98652420</t>
  </si>
  <si>
    <t>373</t>
  </si>
  <si>
    <t>98652415</t>
  </si>
  <si>
    <t>374</t>
  </si>
  <si>
    <t>Бярийинский наслег</t>
  </si>
  <si>
    <t>98652425</t>
  </si>
  <si>
    <t>375</t>
  </si>
  <si>
    <t>Дюпсюнский наслег</t>
  </si>
  <si>
    <t>98652430</t>
  </si>
  <si>
    <t>376</t>
  </si>
  <si>
    <t>Курбусахский наслег</t>
  </si>
  <si>
    <t>98652435</t>
  </si>
  <si>
    <t>377</t>
  </si>
  <si>
    <t>Легойский 2-й наслег</t>
  </si>
  <si>
    <t>98652473</t>
  </si>
  <si>
    <t>378</t>
  </si>
  <si>
    <t>Легойский наслег</t>
  </si>
  <si>
    <t>98652440</t>
  </si>
  <si>
    <t>379</t>
  </si>
  <si>
    <t>Мюрюнский наслег</t>
  </si>
  <si>
    <t>98652445</t>
  </si>
  <si>
    <t>380</t>
  </si>
  <si>
    <t>Наяхинский наслег</t>
  </si>
  <si>
    <t>98652450</t>
  </si>
  <si>
    <t>381</t>
  </si>
  <si>
    <t>Ольтехский наслег</t>
  </si>
  <si>
    <t>98652455</t>
  </si>
  <si>
    <t>382</t>
  </si>
  <si>
    <t>Онерский наслег</t>
  </si>
  <si>
    <t>98652460</t>
  </si>
  <si>
    <t>383</t>
  </si>
  <si>
    <t>Оспехский 1-й наслег</t>
  </si>
  <si>
    <t>98652467</t>
  </si>
  <si>
    <t>384</t>
  </si>
  <si>
    <t>Оспехский наслег</t>
  </si>
  <si>
    <t>98652465</t>
  </si>
  <si>
    <t>385</t>
  </si>
  <si>
    <t>Суоттунский наслег</t>
  </si>
  <si>
    <t>98652470</t>
  </si>
  <si>
    <t>386</t>
  </si>
  <si>
    <t>Тюляхский наслег</t>
  </si>
  <si>
    <t>98652475</t>
  </si>
  <si>
    <t>387</t>
  </si>
  <si>
    <t>388</t>
  </si>
  <si>
    <t>Хоринский 1-й наслег</t>
  </si>
  <si>
    <t>98652490</t>
  </si>
  <si>
    <t>389</t>
  </si>
  <si>
    <t>98652480</t>
  </si>
  <si>
    <t>390</t>
  </si>
  <si>
    <t>Чериктейский наслег</t>
  </si>
  <si>
    <t>98652485</t>
  </si>
  <si>
    <t>391</t>
  </si>
  <si>
    <t>Усть-Майский муниципальный район</t>
  </si>
  <si>
    <t>98654000</t>
  </si>
  <si>
    <t>Кюпский эвенкийский национальный наслег</t>
  </si>
  <si>
    <t>98654410</t>
  </si>
  <si>
    <t>392</t>
  </si>
  <si>
    <t>Межселенные территории Усть-Майского муниципального района, находящиеся вне границ городского и сельских поселений (бывшие территории поселков Аллах-Юнь, Бриндакит, Ыныкчан)</t>
  </si>
  <si>
    <t>98654701</t>
  </si>
  <si>
    <t>393</t>
  </si>
  <si>
    <t>Петропавловский Национальный наслег</t>
  </si>
  <si>
    <t>98654420</t>
  </si>
  <si>
    <t>394</t>
  </si>
  <si>
    <t>Посёлок Солнечный</t>
  </si>
  <si>
    <t>98654158</t>
  </si>
  <si>
    <t>395</t>
  </si>
  <si>
    <t>Поселок Звёздочка</t>
  </si>
  <si>
    <t>98654156</t>
  </si>
  <si>
    <t>396</t>
  </si>
  <si>
    <t>Поселок Усть-Мая</t>
  </si>
  <si>
    <t>98654151</t>
  </si>
  <si>
    <t>397</t>
  </si>
  <si>
    <t>Поселок Эльдикан</t>
  </si>
  <si>
    <t>98654164</t>
  </si>
  <si>
    <t>398</t>
  </si>
  <si>
    <t>Поселок Югоренок</t>
  </si>
  <si>
    <t>98654166</t>
  </si>
  <si>
    <t>399</t>
  </si>
  <si>
    <t>Село Белькачи</t>
  </si>
  <si>
    <t>98654405</t>
  </si>
  <si>
    <t>400</t>
  </si>
  <si>
    <t>Село Усть-Миль</t>
  </si>
  <si>
    <t>98654415</t>
  </si>
  <si>
    <t>401</t>
  </si>
  <si>
    <t>402</t>
  </si>
  <si>
    <t>Эжанский Национальный наслег</t>
  </si>
  <si>
    <t>98654425</t>
  </si>
  <si>
    <t>403</t>
  </si>
  <si>
    <t>Усть-Янский муниципальный район</t>
  </si>
  <si>
    <t>98656000</t>
  </si>
  <si>
    <t>Казачинский Национальный наслег</t>
  </si>
  <si>
    <t>98656405</t>
  </si>
  <si>
    <t>404</t>
  </si>
  <si>
    <t>Омолойский Национальный наслег</t>
  </si>
  <si>
    <t>98656410</t>
  </si>
  <si>
    <t>405</t>
  </si>
  <si>
    <t>Посёлок Нижнеянск</t>
  </si>
  <si>
    <t>98656159</t>
  </si>
  <si>
    <t>406</t>
  </si>
  <si>
    <t>Поселок Депутатский</t>
  </si>
  <si>
    <t>98656151</t>
  </si>
  <si>
    <t>407</t>
  </si>
  <si>
    <t>Поселок Усть-Куйга</t>
  </si>
  <si>
    <t>98656165</t>
  </si>
  <si>
    <t>408</t>
  </si>
  <si>
    <t>Силянняхский Национальный наслег</t>
  </si>
  <si>
    <t>98656415</t>
  </si>
  <si>
    <t>409</t>
  </si>
  <si>
    <t>Туматский Национальный наслег</t>
  </si>
  <si>
    <t>98656420</t>
  </si>
  <si>
    <t>410</t>
  </si>
  <si>
    <t>Усть-Янский Национальный наслег</t>
  </si>
  <si>
    <t>98656425</t>
  </si>
  <si>
    <t>411</t>
  </si>
  <si>
    <t>412</t>
  </si>
  <si>
    <t>Уяндинский эвенский национальный наслег</t>
  </si>
  <si>
    <t>98656427</t>
  </si>
  <si>
    <t>413</t>
  </si>
  <si>
    <t>Юкагирский Национальный (Кочевой) наслег</t>
  </si>
  <si>
    <t>98656435</t>
  </si>
  <si>
    <t>414</t>
  </si>
  <si>
    <t>Хангаласский муниципальный район</t>
  </si>
  <si>
    <t>98644000</t>
  </si>
  <si>
    <t>98644403</t>
  </si>
  <si>
    <t>415</t>
  </si>
  <si>
    <t>Город Покровск</t>
  </si>
  <si>
    <t>98644101</t>
  </si>
  <si>
    <t>416</t>
  </si>
  <si>
    <t>Жемконский 1-й наслег</t>
  </si>
  <si>
    <t>98644406</t>
  </si>
  <si>
    <t>417</t>
  </si>
  <si>
    <t>Жемконский 2-й наслег</t>
  </si>
  <si>
    <t>98644407</t>
  </si>
  <si>
    <t>418</t>
  </si>
  <si>
    <t>Жерский наслег</t>
  </si>
  <si>
    <t>98644409</t>
  </si>
  <si>
    <t>419</t>
  </si>
  <si>
    <t>Иситский наслег</t>
  </si>
  <si>
    <t>98644412</t>
  </si>
  <si>
    <t>420</t>
  </si>
  <si>
    <t>Качикатский наслег</t>
  </si>
  <si>
    <t>98644418</t>
  </si>
  <si>
    <t>421</t>
  </si>
  <si>
    <t>Мальжагарский 1-й наслег</t>
  </si>
  <si>
    <t>98644423</t>
  </si>
  <si>
    <t>422</t>
  </si>
  <si>
    <t>Мальжагарский 2-й наслег</t>
  </si>
  <si>
    <t>98644425</t>
  </si>
  <si>
    <t>423</t>
  </si>
  <si>
    <t>Мальжагарский 4-й наслег</t>
  </si>
  <si>
    <t>98644427</t>
  </si>
  <si>
    <t>424</t>
  </si>
  <si>
    <t>Мальжагарский 5-й наслег</t>
  </si>
  <si>
    <t>98644428</t>
  </si>
  <si>
    <t>425</t>
  </si>
  <si>
    <t>Немюгюнский наслег</t>
  </si>
  <si>
    <t>98644435</t>
  </si>
  <si>
    <t>426</t>
  </si>
  <si>
    <t>Октемский наслег</t>
  </si>
  <si>
    <t>98644440</t>
  </si>
  <si>
    <t>427</t>
  </si>
  <si>
    <t>Посёлок Мохсоголлох</t>
  </si>
  <si>
    <t>98644157</t>
  </si>
  <si>
    <t>428</t>
  </si>
  <si>
    <t>Синский наслег</t>
  </si>
  <si>
    <t>98644445</t>
  </si>
  <si>
    <t>429</t>
  </si>
  <si>
    <t>Техтюрский наслег</t>
  </si>
  <si>
    <t>98644447</t>
  </si>
  <si>
    <t>430</t>
  </si>
  <si>
    <t>Тит-Аринский наслег</t>
  </si>
  <si>
    <t>98644450</t>
  </si>
  <si>
    <t>431</t>
  </si>
  <si>
    <t>Тумульский наслег</t>
  </si>
  <si>
    <t>98644453</t>
  </si>
  <si>
    <t>432</t>
  </si>
  <si>
    <t>433</t>
  </si>
  <si>
    <t>Чурапчинский муниципальный район</t>
  </si>
  <si>
    <t>98658000</t>
  </si>
  <si>
    <t>Алагарский наслег</t>
  </si>
  <si>
    <t>98658402</t>
  </si>
  <si>
    <t>434</t>
  </si>
  <si>
    <t>98658423</t>
  </si>
  <si>
    <t>435</t>
  </si>
  <si>
    <t>Бахсытский наслег</t>
  </si>
  <si>
    <t>98658407</t>
  </si>
  <si>
    <t>436</t>
  </si>
  <si>
    <t>Болтогинский наслег</t>
  </si>
  <si>
    <t>98658410</t>
  </si>
  <si>
    <t>437</t>
  </si>
  <si>
    <t>98658415</t>
  </si>
  <si>
    <t>438</t>
  </si>
  <si>
    <t>Кытанахский наслег</t>
  </si>
  <si>
    <t>98658420</t>
  </si>
  <si>
    <t>439</t>
  </si>
  <si>
    <t>Мугудайский наслег</t>
  </si>
  <si>
    <t>98658425</t>
  </si>
  <si>
    <t>440</t>
  </si>
  <si>
    <t>Ожулунский наслег</t>
  </si>
  <si>
    <t>98658430</t>
  </si>
  <si>
    <t>441</t>
  </si>
  <si>
    <t>Соловьёвский наслег</t>
  </si>
  <si>
    <t>98658435</t>
  </si>
  <si>
    <t>442</t>
  </si>
  <si>
    <t>Сыланский наслег</t>
  </si>
  <si>
    <t>98658440</t>
  </si>
  <si>
    <t>443</t>
  </si>
  <si>
    <t>Телейский наслег</t>
  </si>
  <si>
    <t>98658442</t>
  </si>
  <si>
    <t>444</t>
  </si>
  <si>
    <t>Хадарский наслег</t>
  </si>
  <si>
    <t>98658445</t>
  </si>
  <si>
    <t>445</t>
  </si>
  <si>
    <t>Хатылынский наслег</t>
  </si>
  <si>
    <t>98658450</t>
  </si>
  <si>
    <t>446</t>
  </si>
  <si>
    <t>Хаяхсытский наслег</t>
  </si>
  <si>
    <t>98658455</t>
  </si>
  <si>
    <t>447</t>
  </si>
  <si>
    <t>Хоптогинский наслег</t>
  </si>
  <si>
    <t>98658460</t>
  </si>
  <si>
    <t>448</t>
  </si>
  <si>
    <t>98658465</t>
  </si>
  <si>
    <t>449</t>
  </si>
  <si>
    <t>450</t>
  </si>
  <si>
    <t>Чурапчинский наслег</t>
  </si>
  <si>
    <t>98658470</t>
  </si>
  <si>
    <t>451</t>
  </si>
  <si>
    <t>Эвено-Бытантайский национальный муниципальный район</t>
  </si>
  <si>
    <t>98659000</t>
  </si>
  <si>
    <t>Верхне-Бытантайский наслег</t>
  </si>
  <si>
    <t>98659405</t>
  </si>
  <si>
    <t>452</t>
  </si>
  <si>
    <t>Нижне-Бытантайский наслег</t>
  </si>
  <si>
    <t>98659415</t>
  </si>
  <si>
    <t>453</t>
  </si>
  <si>
    <t>Тюгясирский наслег</t>
  </si>
  <si>
    <t>98659420</t>
  </si>
  <si>
    <t>454</t>
  </si>
  <si>
    <t>455</t>
  </si>
  <si>
    <t>NUMBER_POINT</t>
  </si>
  <si>
    <t>INVP_NAME</t>
  </si>
  <si>
    <t>INVP_ID</t>
  </si>
  <si>
    <t>L_START_DATE</t>
  </si>
  <si>
    <t>L_END_DATE</t>
  </si>
  <si>
    <t>L_DECISION_NAME</t>
  </si>
  <si>
    <t>L_DECISION_TYPE</t>
  </si>
  <si>
    <t>L_DECISION_NMBR</t>
  </si>
  <si>
    <t>L_DECISION_DATE</t>
  </si>
  <si>
    <t>Инвестиционная программа № 02/03-992-01 от 03.02.2022 ООО "ТеплоСтройСаха" в сфере теплоснабжения по повышению надежности и энергетической эффективности систем теплоснабжения от котельных и тепловых сетей, на территории муниципального района Таттинский на 2023-2031 годы</t>
  </si>
  <si>
    <t>01.01.2023</t>
  </si>
  <si>
    <t>31.12.2031</t>
  </si>
  <si>
    <t>Инвестиционная программа № 10 от 18.10.2022 ПАО "Якутскэнерго" в сфере теплоснабжения, водоснабжения и водоотведения в отношении объектов, на территории городского округа Якутск на 2023 год</t>
  </si>
  <si>
    <t>31.12.2023</t>
  </si>
  <si>
    <t>Инвестиционная программа № 157-Н от 26.03.2019 ООО "Арыылаах" в сфере теплоснабжения по модернизации, реконструкции и техническому перевооружению котельных и тепловых сетей, на территории муниципального района Нюрбинский на 2022-2040 годы</t>
  </si>
  <si>
    <t>01.01.2022</t>
  </si>
  <si>
    <t>31.12.2040</t>
  </si>
  <si>
    <t>Инвестиционная программа № 18@ от 08.12.2021 ПАО "Якутскэнерго" в сфере теплоснабжения и горячего водоснабжения в отношении котельных на 2022-2025 годы</t>
  </si>
  <si>
    <t>31.12.2025</t>
  </si>
  <si>
    <t>Инвестиционная программа № 18@ от 08.12.2021 от 01.01.2021 ПАО "Якутскэнерго" ЦЭР в сфере теплоснабжения и горячего водоснабжения по строительству, реконструкции и модернизации систем теплоснабжения, на территории городского округа Якутск на 2021-2025 годы</t>
  </si>
  <si>
    <t>01.01.2021</t>
  </si>
  <si>
    <t>Инвестиционная программа № 23@ (с изм. N38@ от 28.12.2023) от 12.12.2019 АО «ДГК» СП «Нерюнгринская ГРЭС» в сфере теплоснабжения и горячего водоснабжения по строительству, реконструкции, модернизации и развитию котельных и тепловых сетей на 2023-2027 годы</t>
  </si>
  <si>
    <t>31.12.2027</t>
  </si>
  <si>
    <t>Инвестиционная программа № 249-од от 23.05.2022 ИП "Курганова И.Г." в сфере теплоснабжения по комплексному развитию объектов на 2022-2031 годы</t>
  </si>
  <si>
    <t>23.05.2022</t>
  </si>
  <si>
    <t>Инвестиционная программа № 249-од от 23.05.2022 ИП "Курганова И.Г." в сфере теплоснабжения по комплексному развитию объектов на 2023-2027 годы</t>
  </si>
  <si>
    <t>Инвестиционная программа № 266-ОД от 23.06.2021 ИП Габышев А.Г. в сфере теплоснабжения по модернизации и строительству объектов на 2021-2033 годы</t>
  </si>
  <si>
    <t>23.06.2021</t>
  </si>
  <si>
    <t>31.12.2033</t>
  </si>
  <si>
    <t>Инвестиционная программа № 266-ОД от 23.06.2021 ООО "ЖКХ "АЛЬТЕРНАТИВА" в сфере теплоснабжения по модернизации и строительству объектов на 2021-2033 годы</t>
  </si>
  <si>
    <t>23.06.2033</t>
  </si>
  <si>
    <t>Инвестиционная программа № 266-ОД от 23.06.2021 ООО "ЖКХ "АЛЬТЕРНАТИВА" в сфере теплоснабжения по модернизации и строительству объектов на 2022-2033 годы</t>
  </si>
  <si>
    <t>Инвестиционная программа № 268-од от 23.06.2023 ООО "ПТВС" в сфере теплоснабжения, водоснабжения и водоотведения по комплексному развитию объектов на 2024-2028 годы</t>
  </si>
  <si>
    <t>01.01.2024</t>
  </si>
  <si>
    <t>31.12.2028</t>
  </si>
  <si>
    <t>Инвестиционная программа № 286-ОД от 01.07.2021 ООО «ВЭС» в сфере теплоснабжения в отношении имущественного комплекса, на территории муниципального района Ленский на 2021-2035 годы</t>
  </si>
  <si>
    <t>01.07.2021</t>
  </si>
  <si>
    <t>31.12.2035</t>
  </si>
  <si>
    <t>Инвестиционная программа № 33@ от 22.12.2023 ПАО "Якутскэнерго" в сфере теплоснабжения в отношении инфраструктуры на 2023-2027 годы</t>
  </si>
  <si>
    <t>23.12.2023</t>
  </si>
  <si>
    <t>Инвестиционная программа № 33a от 12.12.2024 ПАО "Якутскэнерго" ЦЭС в сфере теплоснабжения по модернизации и строительству систем инженерной инфраструктуры на 2024-2029 годы</t>
  </si>
  <si>
    <t>12.12.2024</t>
  </si>
  <si>
    <t>31.12.2029</t>
  </si>
  <si>
    <t>Инвестиционная программа № 38@ от 23.12.2024 ФИЛИАЛ АО "ДГК" в сфере теплоснабжения по строительству, реконструкции, модернизации и развитию тепловых сетей и системы централизованного теплоснабжения на 2024-2029 годы</t>
  </si>
  <si>
    <t>23.12.2024</t>
  </si>
  <si>
    <t>Инвестиционная программа № 39@ от 23.12.2024 ФИЛИАЛ АО "ДГК" в сфере теплоснабжения по строительству, реконструкции, модернизации и развитию тепловых сетей и системы централизованного теплоснабжения на 2024-2029 годы</t>
  </si>
  <si>
    <t>Инвестиционная программа № 505-од от 30.10.2023 МУП "Жатайтеплосеть" в сфере теплоснабжения по комплексному развитию объектов на 2024-2028 годы</t>
  </si>
  <si>
    <t>Инвестиционная программа № 510 от 31.10.2023 ЛЕНСКИЙ ФИЛИАЛ АО "ТЕПЛОЭНЕРГОСЕРВИС" в сфере теплоснабжения по модернизации, реконструкции и техническому перевооружению объектов, на территории городского поселения Город Ленск, Ленский муниципальный район на 2023-2028 годы</t>
  </si>
  <si>
    <t>31.10.2023</t>
  </si>
  <si>
    <t>Инвестиционная программа № 510 от 31.10.2023 Усть-Янский филиал АО "Теплоэнергосервис" в сфере теплоснабжения по модернизации инфраструктуры, на территории муниципального района Усть-Янский на 2023-2028 годы</t>
  </si>
  <si>
    <t>Инвестиционная программа № 510-ОД от 31.10.2023 АО "Теплоэнергия" в сфере теплоснабжения по комплексному развитию инфраструктуры, на территории муниципального района Алданский на 2023-2028 годы</t>
  </si>
  <si>
    <t>Инвестиционная программа № 510-ОД от 31.10.2023 Алданский филиал АО "Теплоэнергосервис" в сфере теплоснабжения по модернизации инфраструктуры, на территории муниципального района Алданский на 2023-2028 годы</t>
  </si>
  <si>
    <t>Инвестиционная программа № 510-ОД от 31.10.2023 Вилюйский филиал АО "Теплоэнергосервис" в сфере теплоснабжения по комплексному развитию инфраструктуры, на территории муниципального района Вилюйский на 2023-2028 годы</t>
  </si>
  <si>
    <t>Инвестиционная программа № 510-ОД от 31.10.2023 Вилюйский филиал АО "Теплоэнергосервис" в сфере теплоснабжения по модернизации инфраструктуры, на территории муниципального района Вилюйский на 2023-2028 годы</t>
  </si>
  <si>
    <t>Инвестиционная программа № 510-ОД от 31.10.2023 ООО "Ленское ПТЭС" в сфере теплоснабжения по модернизации, реконструкции и техническому перевооружению объектов, на территории г Ленск, Город Ленск, Ленский муниципальный район на 2023-2028 годы</t>
  </si>
  <si>
    <t>Инвестиционная программа № 510-ОД от 31.10.2023 Оймяконский филиал АО "Теплоэнергосервис" в сфере теплоснабжения по комплексному развитию инфраструктуры, на территории муниципального района Оймяконский на 2023-2028 годы</t>
  </si>
  <si>
    <t>Инвестиционная программа № 510-ОД от 31.10.2023 Усть-Майский филиал АО "Теплоэнергосервис" в сфере теплоснабжения по модернизации инфраструктуры, на территории муниципального района Усть-Майский на 2023-2028 годы</t>
  </si>
  <si>
    <t>Инвестиционная программа № 510-ОД от 31.10.2023 Усть-Янский филиал АО "Теплоэнергосервис" в сфере теплоснабжения по модернизации инфраструктуры, на территории муниципального района Усть-Янский на 2023-2028 годы</t>
  </si>
  <si>
    <t>Инвестиционная программа № 510-ОД от 31.10.2023 Усть-Янский филиал АО "Теплоэнергосервис" в сфере теплоснабжения по модернизации инфраструктуры, на территории муниципального района Усть-Янский на 2028 год</t>
  </si>
  <si>
    <t>Инвестиционная программа № 536-од от 15.11.2023 ООО "Кыым" в сфере теплоснабжения по комплексному развитию объектов на 2023-2028 годы</t>
  </si>
  <si>
    <t>15.11.2023</t>
  </si>
  <si>
    <t>Инвестиционная программа № 536-од от 15.11.2023 ООО "Кыым" в сфере теплоснабжения по комплексному развитию объектов на 2024-2028 годы</t>
  </si>
  <si>
    <t>Инвестиционная программа № 539-ОД от 20.11.2024 ЛЕНСКИЙ ФИЛИАЛ АО "ТЕПЛОЭНЕРГОСЕРВИС" в сфере теплоснабжения в отношении систем коммунальной инфраструктуры на 2024-2028 годы</t>
  </si>
  <si>
    <t>20.11.2024</t>
  </si>
  <si>
    <t>Инвестиционная программа № 540-ОД от 11.11.2021 ООО "Тепломедсервис ПЛЮС" в сфере теплоснабжения по повышению надежности и энергетической эффективности котельной, на территории с Борогонцы, Мюрюнский наслег, Усть-Алданский муниципальный район на 2021-2026 годы</t>
  </si>
  <si>
    <t>11.11.2021</t>
  </si>
  <si>
    <t>11.11.2026</t>
  </si>
  <si>
    <t>Инвестиционная программа № 540-од от 19.11.2021 ООО "Тепломедсервис ПЛЮС" в сфере теплоснабжения в отношении объектов на 2022-2026 годы</t>
  </si>
  <si>
    <t>Инвестиционная программа № 548-п от 23.12.2019 ООО "Бэрдьигэс" в сфере теплоснабжения в отношении объектов на 2022-2024 годы</t>
  </si>
  <si>
    <t>31.12.2024</t>
  </si>
  <si>
    <t>Инвестиционная программа № 584-п от 15.12.2017 ООО "ИТЭК" в сфере теплоснабжения в отношении объектов на 2022-2032 годы</t>
  </si>
  <si>
    <t>31.12.2032</t>
  </si>
  <si>
    <t>Инвестиционная программа № 593-од от 10.12.2021 МУП "ПТСК" ГО "город Якутск" в сфере теплоснабжения по комплексному развитию объектов на 2022-2027 годы</t>
  </si>
  <si>
    <t>Инвестиционная программа № 5@ от 18.11.2020 Алданский филиал АО "Теплоэнергосервис" в сфере теплоснабжения по комплексному развитию систем коммунальной инфраструктуры на 2021-2024 годы</t>
  </si>
  <si>
    <t>Инвестиционная программа № 5@ от 18.11.2020 Вилюйский филиал АО "Теплоэнергосервис" в сфере теплоснабжения по комплексному развитию систем коммунальной инфраструктуры на 2021-2024 годы</t>
  </si>
  <si>
    <t>Инвестиционная программа № 5@ от 18.11.2020 Оймяконский филиал АО "Теплоэнергосервис" в сфере теплоснабжения по комплексному развитию систем коммунальной инфраструктуры на 2021-2024 годы</t>
  </si>
  <si>
    <t>Инвестиционная программа № 5@ от 18.11.2020 Усть-Майский филиал АО "Теплоэнергосервис" в сфере теплоснабжения по комплексному развитию систем коммунальной инфраструктуры на 2021-2024 годы</t>
  </si>
  <si>
    <t>Инвестиционная программа № 5@ от 18.11.2020 Усть-Янский филиал АО "Теплоэнергосервис" в сфере теплоснабжения по комплексному развитию систем коммунальной инфраструктуры на 2021-2024 годы</t>
  </si>
  <si>
    <t>Инвестиционная программа № 603-од от 18.11.2022 ООО ТСЖ "Уют" в сфере теплоснабжения по комплексному развитию объектов на 2022-2030 годы</t>
  </si>
  <si>
    <t>18.11.2022</t>
  </si>
  <si>
    <t>31.12.2030</t>
  </si>
  <si>
    <t>Инвестиционная программа № 627-ОД от 20.12.2024 ООО Рудник "Дуэт" в сфере теплоснабжения по модернизации и строительству систем коммунальной инфраструктуры на 2024-2033 годы</t>
  </si>
  <si>
    <t>20.12.2024</t>
  </si>
  <si>
    <t>Инвестиционная программа № 650 от 24.12.2021 ООО УК "Алпекс+" в сфере теплоснабжения по комплексному развитию объектов на 2021-2026 годы</t>
  </si>
  <si>
    <t>24.12.2021</t>
  </si>
  <si>
    <t>31.12.2026</t>
  </si>
  <si>
    <t>Инвестиционная программа № 650-од от 24.12.2021 ООО УК "Алпекс+" в сфере теплоснабжения по комплексному развитию объектов на 2021-2026 годы</t>
  </si>
  <si>
    <t>31.01.2026</t>
  </si>
  <si>
    <t>Инвестиционная программа № 724-од от 29.12.2022 ООО "Вилюйское ЖКХ" в сфере теплоснабжения по комплексному развитию объектов на 2023-2027 годы</t>
  </si>
  <si>
    <t>Инвестиционная программа № 78 от 04.03.2021 ООО "КСК ЛИДЕР" в сфере теплоснабжения в отношении объектов на 2022-2039 годы</t>
  </si>
  <si>
    <t>31.12.2039</t>
  </si>
  <si>
    <t>Инвестиционная программа № 78 от 04.03.2021 ООО "КСК ЛИДЕР" в сфере теплоснабжения по комплексному развитию объектов на 2021-2039 годы</t>
  </si>
  <si>
    <t>04.03.2021</t>
  </si>
  <si>
    <t>Инвестиционная программа № 87-од от 17.02.2022 ООО "ТеплоСтройСаха" в сфере теплоснабжения по повышению надежности и энергетической эффективности систем теплоснабжения от котельных и тепловых сетей, на территории муниципального района Таттинский на 2023-2031 годы</t>
  </si>
  <si>
    <t>Инвестиционная программа № 95-ОД от 21.02.2022 ООО "СпецСервис" в сфере теплоснабжения по строительству системы теплоснабжения, на территории с Огородтах, Суоттунский наслег, Усть-Алданский муниципальный район на 2022-2026 годы</t>
  </si>
  <si>
    <t>11.10.2022</t>
  </si>
  <si>
    <t>Инвестиционная программа № 95-од от 21.02.2022 ООО "СпецСервис" в сфере теплоснабжения по комплексному развитию объектов на 2022-2025 годы</t>
  </si>
  <si>
    <t>21.02.2022</t>
  </si>
  <si>
    <t>Инвестиционная программа от 01.01.2021 ПАО "Якутскэнерго" в сфере теплоснабжения и горячего водоснабжения в отношении котельных на 2021-2025 годы</t>
  </si>
  <si>
    <t>Инвестиционная программа от 01.01.2023 ООО "КСК ЛИДЕР" в сфере теплоснабжения по модернизации и реконструкции системы инженерной инфраструктуры, на территории с Олёкминский, Олекминский наслег, Олекминский муниципальный район на 2023 год</t>
  </si>
  <si>
    <t>Инвестиционная программа от 01.04.2020 ООО "ДВ Энерджи" в сфере теплоснабжения по строительству и техническому перевооружению газовой котельной на 2021-2029 годы</t>
  </si>
  <si>
    <t>31.08.2029</t>
  </si>
  <si>
    <t>Инвестиционная программа от 01.04.2020 ООО "ДВ Энерджи" в сфере теплоснабжения по техническому перевооружению газовой котельной на 2021-2029 годы</t>
  </si>
  <si>
    <t>Инвестиционная программа от 01.04.2020 ООО "ДВ Энерджи" в сфере теплоснабжения по техническому перевооружению газовых котельных на 2022-2029 годы</t>
  </si>
  <si>
    <t>Инвестиционная программа от 01.07.2021 ООО «ВЭС» в сфере теплоснабжения по комплексному развитию имущественного комплекса, на территории муниципального района Ленский на 2022-2035 годы</t>
  </si>
  <si>
    <t>Инвестиционная программа от 02.10.2018 АО "Хангаласский Газстрой" в сфере теплоснабжения в отношении имущественного комплекса, на территории муниципального района Хангаласский на 2021-2023 годы</t>
  </si>
  <si>
    <t>Инвестиционная программа от 02.10.2018 АО "Хангаласский Газстрой" в сфере теплоснабжения по комплексному развитию имущественного комплекса, на территории муниципального района Хангаласский на 2022-2023 годы</t>
  </si>
  <si>
    <t>Инвестиционная программа от 02.10.2018 АО "Хангаласский Газстрой" в сфере теплоснабжения по комплексному развитию котельных и тепловых сетей, на территории городского поселения Город Покровск, Хангаласский муниципальный район на 2024-2032 годы</t>
  </si>
  <si>
    <t>Инвестиционная программа от 04.03.2021 ООО "КСК ЛИДЕР" в сфере теплоснабжения по комплексному развитию систем коммунальной инфраструктуры, на территории с Хочо, Нахаринский 2-й наслег, Мегино-Кангаласский муниципальный район на 2039 год</t>
  </si>
  <si>
    <t>Инвестиционная программа от 05.11.2020 ООО «ПроэкД» в сфере теплоснабжения в отношении имущественного комплекса, на территории муниципального района Олекминский на 2021-2025 годы</t>
  </si>
  <si>
    <t>Инвестиционная программа от 05.11.2020 ООО «ПроэкД» в сфере теплоснабжения в отношении систем коммунальной инфраструктуры, на территории муниципального района Олекминский на 2022 год</t>
  </si>
  <si>
    <t>31.12.2022</t>
  </si>
  <si>
    <t>Инвестиционная программа от 05.11.2020 ООО «ПроэкД» в сфере теплоснабжения в отношении систем коммунальной инфраструктуры, на территории муниципального района Олекминский на 2023-2025 годы</t>
  </si>
  <si>
    <t>Инвестиционная программа от 08.09.2021 АО ПО "Якутцемент" в сфере теплоснабжения в отношении имущественного комплекса, на территории муниципального района Хангаласский на 2021-2026 годы</t>
  </si>
  <si>
    <t>08.09.2021</t>
  </si>
  <si>
    <t>Инвестиционная программа от 08.09.2021 АО ПО "Якутцемент" в сфере теплоснабжения в отношении имущественного комплекса, на территории муниципального района Хангаласский на 2022 год</t>
  </si>
  <si>
    <t>Инвестиционная программа от 08.12.2021 ПАО "Якутскэнерго" в сфере теплоснабжения и горячего водоснабжения в отношении котельных и тепловых сетей на 2021-2025 годы</t>
  </si>
  <si>
    <t>08.12.2021</t>
  </si>
  <si>
    <t>Инвестиционная программа от 12.11.2018 АО "Теплоэнергия" в сфере теплоснабжения по модернизации и строительству имущественного комплекса, на территории городского округа Якутск на 2022 год</t>
  </si>
  <si>
    <t>Инвестиционная программа от 14.11.2024 ГУП "ЖКХ РС(Я)" филиал "Коммункомплектация" в сфере теплоснабжения по повышению надежности и энергетической эффективности объектов на 2024-2028 годы</t>
  </si>
  <si>
    <t>14.11.2024</t>
  </si>
  <si>
    <t>Инвестиционная программа от 14.11.2024 ГУП "ЖКХ РС(Я)" филиал "Коммункомплектация" в сфере теплоснабжения по строительству, реконструкции, модернизации и развитию объектов на 2024-2028 годы</t>
  </si>
  <si>
    <t>Инвестиционная программа от 16.11.2020 ГУП "ЖКХ РС(Я)" Вилюйский филиал в сфере теплоснабжения по модернизации и строительству единого комплекса объектов, на территории муниципального района Вилюйский на 2021-2023 годы</t>
  </si>
  <si>
    <t>Инвестиционная программа от 19.11.2021 ООО "ПТВС" в сфере теплоснабжения по модернизации инфраструктуры на 2022-2023 годы</t>
  </si>
  <si>
    <t>Инвестиционная программа от 19.11.2021 ООО "ПТВС" в сфере теплоснабжения, водоснабжения и водоотведения по комплексному развитию инфраструктуры на 2022-2023 годы</t>
  </si>
  <si>
    <t>Инвестиционная программа от 20.12.2024 ООО "МАКСИМУС+" в сфере теплоснабжения по модернизации и реконструкции систем коммунальной инфраструктуры на 2024-2035 годы</t>
  </si>
  <si>
    <t>Инвестиционная программа от 23.01.2023 ООО "ПТВС" в сфере теплоснабжения по модернизации инфраструктуры на 2023 год</t>
  </si>
  <si>
    <t>23.01.2023</t>
  </si>
  <si>
    <t>Инвестиционная программа от 23.06.2021 ООО "ЖКХ "АЛЬТЕРНАТИВА" в сфере теплоснабжения в отношении объектов, на территории сельского поселения Дюллюкинский наслег, Верхневилюйский муниципальный район на 2021-2033 годы</t>
  </si>
  <si>
    <t>Инвестиционная программа от 24.11.2021 Алданский филиал АО "Теплоэнергосервис" в сфере теплоснабжения по комплексному развитию инфраструктуры, на территории муниципального района Алданский на 2022-2024 годы</t>
  </si>
  <si>
    <t>Инвестиционная программа от 24.11.2021 Вилюйский филиал АО "Теплоэнергосервис" в сфере теплоснабжения по комплексному развитию инфраструктуры, на территории муниципального района Мирнинский на 2022-2024 годы</t>
  </si>
  <si>
    <t>Инвестиционная программа от 24.11.2021 Оймяконский филиал АО "Теплоэнергосервис" в сфере теплоснабжения по комплексному развитию инфраструктуры, на территории муниципального района Оймяконский на 2022-2024 годы</t>
  </si>
  <si>
    <t>Инвестиционная программа от 24.11.2021 Усть-Майский филиал АО "Теплоэнергосервис" в сфере теплоснабжения по комплексному развитию инфраструктуры, на территории муниципального района Усть-Майский на 2022 год</t>
  </si>
  <si>
    <t>Инвестиционная программа от 24.11.2021 Усть-Майский филиал АО "Теплоэнергосервис" в сфере теплоснабжения по комплексному развитию инфраструктуры, на территории муниципального района Усть-Майский на 2022-2024 годы</t>
  </si>
  <si>
    <t>Инвестиционная программа от 24.11.2021 Усть-Янский филиал АО "Теплоэнергосервис" в сфере теплоснабжения по комплексному развитию инфраструктуры, на территории муниципального района Усть-Янский на 2022 год</t>
  </si>
  <si>
    <t>Инвестиционная программа от 24.11.2021 Усть-Янский филиал АО "Теплоэнергосервис" в сфере теплоснабжения по комплексному развитию инфраструктуры, на территории муниципального района Усть-Янский на 2022-2024 годы</t>
  </si>
  <si>
    <t>Инвестиционная программа от 24.12.2021 ООО УК "Алпекс+" в сфере теплоснабжения в отношении объектов на 2022-2026 годы</t>
  </si>
  <si>
    <t>Инвестиционная программа от 28.11.2018 ООО "Армон" в сфере теплоснабжения по строительству котельных и тепловых сетей на 2022-2026 годы</t>
  </si>
  <si>
    <t>Инвестиционная программа от 29.12.2022 АО "Полюс Алдан" в сфере теплоснабжения по строительству и модернизации централизованных систем теплоснабжения, на территории муниципального района Алданский на 2022-2026 годы</t>
  </si>
  <si>
    <t>29.12.2022</t>
  </si>
  <si>
    <t>Инвестиционная программа от 31.10.2023 ООО "Ленское ПТЭС" в сфере теплоснабжения по модернизации, реконструкции и техническому перевооружению объектов, на территории городского поселения Город Ленск, Ленский муниципальный район на 2023-2028 годы</t>
  </si>
  <si>
    <t>TER_NAME</t>
  </si>
  <si>
    <t>Территория 1</t>
  </si>
  <si>
    <t>Территория 2</t>
  </si>
  <si>
    <t>Территория 3</t>
  </si>
  <si>
    <t>Территория 4</t>
  </si>
  <si>
    <t>ID_TARIFF_NAME</t>
  </si>
  <si>
    <t>TARIFF_NAME</t>
  </si>
  <si>
    <t>VED_NAME</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</si>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</sst>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26" formatCode="_-* #,##0.00\ _₽_-;\-* #,##0.00\ _₽_-;_-* &quot;-&quot;??\ _₽_-;_-@_-"/>
    <numFmt numFmtId="227" formatCode="_-* #,##0\ _₽_-;\-* #,##0\ _₽_-;_-* &quot;-&quot;\ _₽_-;_-@_-"/>
    <numFmt numFmtId="228" formatCode="_-* #,##0.00\ &quot;₽&quot;_-;\-* #,##0.00\ &quot;₽&quot;_-;_-* &quot;-&quot;??\ &quot;₽&quot;_-;_-@_-"/>
    <numFmt numFmtId="229" formatCode="_-* #,##0\ &quot;₽&quot;_-;\-* #,##0\ &quot;₽&quot;_-;_-* &quot;-&quot;\ &quot;₽&quot;_-;_-@_-"/>
    <numFmt numFmtId="230" formatCode="_-* #,##0.00[$€-1]_-;\-* #,##0.00[$€-1]_-;_-* &quot;-&quot;??[$€-1]_-"/>
    <numFmt numFmtId="231" formatCode="#,##0.0"/>
    <numFmt numFmtId="232" formatCode="#,##0.000"/>
    <numFmt numFmtId="233" formatCode="#,##0.0000"/>
    <numFmt numFmtId="234" formatCode="dd\.mm\.yyyy"/>
    <numFmt numFmtId="235" formatCode="000000"/>
    <numFmt numFmtId="236"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26" fontId="6" fillId="0" borderId="0" applyFont="0" applyFill="0" applyBorder="0" applyNumberFormat="1">
      <alignment vertical="top"/>
    </xf>
    <xf numFmtId="227" fontId="6" fillId="0" borderId="0" applyFont="0" applyFill="0" applyBorder="0" applyNumberFormat="1">
      <alignment vertical="top"/>
    </xf>
    <xf numFmtId="228" fontId="6" fillId="0" borderId="0" applyFont="0" applyFill="0" applyBorder="0" applyNumberFormat="1">
      <alignment vertical="top"/>
    </xf>
    <xf numFmtId="229"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30" fontId="20" fillId="0" borderId="0" applyFont="1" applyFill="0" applyBorder="0" applyNumberFormat="1"/>
    <xf numFmtId="38" fontId="21" fillId="0" borderId="0" applyFont="1" applyFill="0" applyBorder="0" applyNumberFormat="1">
      <alignment vertical="top"/>
    </xf>
    <xf numFmtId="231" fontId="22" fillId="33" borderId="0" applyFont="1" applyFill="1" applyBorder="0" applyNumberFormat="1">
      <protection locked="0"/>
    </xf>
    <xf numFmtId="0" fontId="23" fillId="0" borderId="0" applyFont="1" applyFill="0" applyBorder="0">
      <alignment vertical="center"/>
    </xf>
    <xf numFmtId="232" fontId="22" fillId="33" borderId="0" applyFont="1" applyFill="1" applyBorder="0" applyNumberFormat="1">
      <protection locked="0"/>
    </xf>
    <xf numFmtId="233"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717">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26" fontId="6" fillId="0" borderId="0" xfId="28" applyFont="0" applyNumberFormat="1">
      <alignment vertical="top"/>
    </xf>
    <xf numFmtId="227" fontId="6" fillId="0" borderId="0" xfId="29" applyFont="0" applyNumberFormat="1">
      <alignment vertical="top"/>
    </xf>
    <xf numFmtId="228" fontId="6" fillId="0" borderId="0" xfId="30" applyFont="0" applyNumberFormat="1">
      <alignment vertical="top"/>
    </xf>
    <xf numFmtId="229"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30" fontId="20" fillId="0" borderId="0" xfId="49" applyFont="1" applyNumberFormat="1"/>
    <xf numFmtId="38" fontId="21" fillId="0" borderId="0" xfId="50" applyFont="1" applyNumberFormat="1">
      <alignment vertical="top"/>
    </xf>
    <xf numFmtId="231" fontId="22" fillId="33" borderId="0" xfId="51" applyFont="1" applyFill="1" applyNumberFormat="1">
      <protection locked="0"/>
    </xf>
    <xf numFmtId="0" fontId="23" fillId="0" borderId="0" xfId="52" applyFont="1">
      <alignment vertical="center"/>
    </xf>
    <xf numFmtId="232" fontId="22" fillId="33" borderId="0" xfId="53" applyFont="1" applyFill="1" applyNumberFormat="1">
      <protection locked="0"/>
    </xf>
    <xf numFmtId="233"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35"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32"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33"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33"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33"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35"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33"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33" fontId="22" fillId="39" borderId="13" xfId="0" applyFont="1" applyFill="1" applyBorder="1" applyNumberFormat="1">
      <alignment horizontal="right" vertical="center" wrapText="1"/>
      <protection locked="0"/>
    </xf>
    <xf numFmtId="233"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32"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32"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32"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32" fontId="47" fillId="0" borderId="12" xfId="0" applyFont="1" applyBorder="1" applyNumberFormat="1">
      <alignment horizontal="right" vertical="center" wrapText="1"/>
    </xf>
    <xf numFmtId="232"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32"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35"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35"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35"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34" fontId="0" fillId="39" borderId="12" xfId="0" applyFont="1" applyFill="1" applyBorder="1" applyNumberFormat="1">
      <alignment horizontal="left" vertical="center" wrapText="1" indent="1"/>
      <protection locked="0"/>
    </xf>
    <xf numFmtId="234" fontId="0" fillId="0" borderId="12" xfId="0" applyFont="1" applyBorder="1" applyNumberFormat="1">
      <alignment horizontal="left" vertical="center" wrapText="1" indent="1"/>
    </xf>
    <xf numFmtId="234" fontId="0" fillId="39" borderId="12" xfId="0" applyFont="1" applyFill="1" applyBorder="1" applyNumberFormat="1">
      <alignment horizontal="center" vertical="center" wrapText="1"/>
      <protection locked="0"/>
    </xf>
    <xf numFmtId="234" fontId="47" fillId="0" borderId="0" xfId="0" applyFont="1" applyNumberFormat="1">
      <alignment horizontal="center" vertical="center" wrapText="1"/>
    </xf>
    <xf numFmtId="234" fontId="47" fillId="0" borderId="12" xfId="0" applyFont="1" applyBorder="1" applyNumberFormat="1">
      <alignment horizontal="center" vertical="center" wrapText="1"/>
    </xf>
    <xf numFmtId="234" fontId="0" fillId="39" borderId="12" xfId="0" applyFont="1" applyFill="1" applyBorder="1" applyNumberFormat="1">
      <alignment horizontal="left" vertical="center" wrapText="1"/>
      <protection locked="0"/>
    </xf>
    <xf numFmtId="234" fontId="0" fillId="36" borderId="12" xfId="0" applyFont="1" applyFill="1" applyBorder="1" applyNumberFormat="1">
      <alignment horizontal="left" vertical="center" wrapText="1" indent="1"/>
      <protection locked="0"/>
    </xf>
    <xf numFmtId="234"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34" fontId="0" fillId="39" borderId="14" xfId="0" applyFont="1" applyFill="1" applyBorder="1" applyNumberFormat="1">
      <alignment horizontal="left" vertical="center" wrapText="1"/>
      <protection locked="0"/>
    </xf>
    <xf numFmtId="234"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3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35"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35"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35" fontId="44" fillId="0" borderId="19" xfId="0" applyFont="1" applyBorder="1" applyNumberFormat="1">
      <alignment horizontal="center" vertical="center" wrapText="1"/>
    </xf>
    <xf numFmtId="235" fontId="44" fillId="0" borderId="20" xfId="0" applyFont="1" applyBorder="1" applyNumberFormat="1">
      <alignment horizontal="center" vertical="center" wrapText="1"/>
    </xf>
    <xf numFmtId="236" fontId="22" fillId="39" borderId="12" xfId="0" applyFont="1" applyFill="1" applyBorder="1" applyNumberFormat="1">
      <alignment horizontal="left" vertical="center" wrapText="1" indent="1"/>
      <protection locked="0"/>
    </xf>
    <xf numFmtId="234"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34"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34"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32"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34" fontId="22" fillId="34" borderId="12" xfId="0" applyFont="1" applyFill="1" applyBorder="1" applyNumberFormat="1">
      <alignment horizontal="left" vertical="center" wrapText="1" indent="1"/>
    </xf>
    <xf numFmtId="23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34"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34"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34"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35" fontId="22" fillId="0" borderId="17" xfId="0" applyFont="1" applyBorder="1" applyNumberFormat="1">
      <alignment horizontal="center" vertical="center" wrapText="1"/>
    </xf>
    <xf numFmtId="235" fontId="22" fillId="0" borderId="23" xfId="0" applyFont="1" applyBorder="1" applyNumberFormat="1">
      <alignment horizontal="center" vertical="center" wrapText="1"/>
    </xf>
    <xf numFmtId="235" fontId="22" fillId="0" borderId="14" xfId="0" applyFont="1" applyBorder="1" applyNumberFormat="1">
      <alignment horizontal="center" vertical="center" wrapText="1"/>
    </xf>
    <xf numFmtId="235" fontId="22" fillId="0" borderId="15" xfId="0" applyFont="1" applyBorder="1" applyNumberFormat="1">
      <alignment horizontal="center" vertical="center" wrapText="1"/>
    </xf>
    <xf numFmtId="235"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35" fontId="22" fillId="0" borderId="36" xfId="0" applyFont="1" applyBorder="1" applyNumberFormat="1">
      <alignment horizontal="center" vertical="center" wrapText="1"/>
    </xf>
    <xf numFmtId="235" fontId="22" fillId="0" borderId="12" xfId="0" applyFont="1" applyBorder="1" applyNumberFormat="1">
      <alignment horizontal="center" vertical="center" wrapText="1"/>
    </xf>
    <xf numFmtId="235"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34"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34"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34"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75" fillId="39" borderId="12" xfId="0" applyFont="1" applyFill="1" applyBorder="1" applyNumberFormat="1">
      <alignment horizontal="left" vertical="center" wrapText="1" indent="1"/>
      <protection locked="0"/>
    </xf>
    <xf numFmtId="0" fontId="75" fillId="40" borderId="12" xfId="0" applyFont="1" applyFill="1" applyBorder="1">
      <alignment horizontal="left" vertical="center" wrapText="1" indent="1"/>
      <protection locked="0"/>
    </xf>
    <xf numFmtId="0" fontId="75" fillId="40" borderId="12" xfId="0" applyFont="1" applyFill="1" applyBorder="1">
      <alignment horizontal="left" vertical="top" indent="1"/>
      <protection locked="0"/>
    </xf>
    <xf numFmtId="49" fontId="0" fillId="0" borderId="12" xfId="0" applyFont="1" applyBorder="1" applyNumberFormat="1">
      <alignment horizontal="left" vertical="center" wrapText="1"/>
    </xf>
    <xf numFmtId="234" fontId="0" fillId="0" borderId="12" xfId="0" applyFont="1" applyBorder="1" applyNumberFormat="1">
      <alignment horizontal="left" vertical="center" wrapText="1" inden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234" fontId="0" fillId="35" borderId="12" xfId="0" applyFont="1" applyFill="1" applyBorder="1" applyNumberFormat="1">
      <alignment horizontal="left" vertical="center" wrapText="1" indent="1"/>
    </xf>
    <xf numFmtId="49" fontId="22" fillId="35" borderId="14" xfId="0" applyFont="1" applyFill="1" applyBorder="1" applyNumberFormat="1">
      <alignment horizontal="left" vertical="center" wrapText="1"/>
    </xf>
    <xf numFmtId="234" fontId="0" fillId="35" borderId="12" xfId="0" applyFont="1" applyFill="1" applyBorder="1" applyNumberFormat="1">
      <alignment horizontal="left" vertical="center" wrapText="1" indent="1"/>
    </xf>
    <xf numFmtId="0" fontId="29" fillId="0" borderId="0" xfId="0" applyFont="1"/>
    <xf numFmtId="0" fontId="29" fillId="0" borderId="0" xfId="0" applyFont="1"/>
    <xf numFmtId="0" fontId="29" fillId="0" borderId="0" xfId="0" applyFont="1"/>
    <xf numFmtId="49"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starovetckaya-av@dgk.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9120E6-2296-3778-FB88-0.071DBDE4}"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712" width="5.421875" customWidth="1"/>
    <col min="2" max="2" style="2712" width="9.140625" customWidth="1"/>
    <col min="3" max="3" style="2712" width="16.421875" customWidth="1"/>
    <col min="4" max="25" style="2712" width="6.28125" customWidth="1"/>
    <col min="26" max="28" style="2712" width="11.00390625"/>
  </cols>
  <sheetData>
    <row customHeight="1" ht="15.75">
      <c r="A1" s="1710"/>
      <c r="B1" s="1711"/>
      <c r="C1" s="1711"/>
      <c r="D1" s="1711"/>
      <c r="E1" s="1711"/>
      <c r="F1" s="1711"/>
      <c r="G1" s="1711"/>
      <c r="H1" s="1711"/>
      <c r="I1" s="1711"/>
      <c r="J1" s="1711"/>
      <c r="K1" s="1711"/>
      <c r="L1" s="1711"/>
      <c r="M1" s="1711"/>
      <c r="N1" s="1711"/>
      <c r="O1" s="1711"/>
      <c r="P1" s="1711"/>
      <c r="Q1" s="1711"/>
      <c r="R1" s="1711"/>
      <c r="S1" s="1711"/>
      <c r="T1" s="1711"/>
      <c r="U1" s="1711"/>
      <c r="V1" s="1711"/>
      <c r="W1" s="1711"/>
      <c r="X1" s="1711"/>
      <c r="Y1" s="1712"/>
      <c r="Z1" s="1711"/>
      <c r="AA1" s="1713" t="s">
        <v>0</v>
      </c>
      <c r="AB1" s="1711"/>
    </row>
    <row customHeight="1" ht="17.25">
      <c r="A2" s="1711"/>
      <c r="B2" s="2087" t="s">
        <v>1</v>
      </c>
      <c r="C2" s="2087"/>
      <c r="D2" s="2087"/>
      <c r="E2" s="2087"/>
      <c r="F2" s="2087"/>
      <c r="G2" s="2087"/>
      <c r="H2" s="2087"/>
      <c r="I2" s="2087"/>
      <c r="J2" s="2087"/>
      <c r="K2" s="2087"/>
      <c r="L2" s="2087"/>
      <c r="M2" s="2087"/>
      <c r="N2" s="2087"/>
      <c r="O2" s="2087"/>
      <c r="P2" s="2087"/>
      <c r="Q2" s="1715"/>
      <c r="R2" s="1715"/>
      <c r="S2" s="1715"/>
      <c r="T2" s="1715"/>
      <c r="U2" s="1715"/>
      <c r="V2" s="1716"/>
      <c r="W2" s="1715"/>
      <c r="X2" s="1715"/>
      <c r="Y2" s="1712"/>
      <c r="Z2" s="1711"/>
      <c r="AA2" s="1713"/>
      <c r="AB2" s="1711"/>
    </row>
    <row customHeight="1" ht="15.75">
      <c r="A3" s="1711"/>
      <c r="B3" s="2088" t="s">
        <v>2</v>
      </c>
      <c r="C3" s="2088"/>
      <c r="D3" s="2088"/>
      <c r="E3" s="2088"/>
      <c r="F3" s="2088"/>
      <c r="G3" s="2088"/>
      <c r="H3" s="2088"/>
      <c r="I3" s="2088"/>
      <c r="J3" s="2088"/>
      <c r="K3" s="2088"/>
      <c r="L3" s="2088"/>
      <c r="M3" s="2088"/>
      <c r="N3" s="2088"/>
      <c r="O3" s="2088"/>
      <c r="P3" s="2088"/>
      <c r="Q3" s="1716"/>
      <c r="R3" s="1716"/>
      <c r="S3" s="1715"/>
      <c r="T3" s="1715"/>
      <c r="U3" s="1715"/>
      <c r="V3" s="1716"/>
      <c r="W3" s="1716"/>
      <c r="X3" s="1716"/>
      <c r="Y3" s="1716"/>
      <c r="Z3" s="1711"/>
      <c r="AA3" s="1713"/>
      <c r="AB3" s="1711"/>
    </row>
    <row customHeight="1" ht="17.25">
      <c r="A4" s="1711"/>
      <c r="B4" s="1717"/>
      <c r="C4" s="1711"/>
      <c r="D4" s="1716"/>
      <c r="E4" s="1716"/>
      <c r="F4" s="1716"/>
      <c r="G4" s="1716"/>
      <c r="H4" s="1716"/>
      <c r="I4" s="1716"/>
      <c r="J4" s="1716"/>
      <c r="K4" s="1716"/>
      <c r="L4" s="1716"/>
      <c r="M4" s="1716"/>
      <c r="N4" s="1716"/>
      <c r="O4" s="1716"/>
      <c r="P4" s="1716"/>
      <c r="Q4" s="1716"/>
      <c r="R4" s="1716"/>
      <c r="S4" s="1716"/>
      <c r="T4" s="1716"/>
      <c r="U4" s="1716"/>
      <c r="V4" s="1716"/>
      <c r="W4" s="1716"/>
      <c r="X4" s="1716"/>
      <c r="Y4" s="1716"/>
      <c r="Z4" s="1711"/>
      <c r="AA4" s="1713"/>
      <c r="AB4" s="1711"/>
    </row>
    <row customHeight="1" ht="22.5">
      <c r="A5" s="1718"/>
      <c r="B5" s="2089"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90"/>
      <c r="D5" s="2090"/>
      <c r="E5" s="2090"/>
      <c r="F5" s="2090"/>
      <c r="G5" s="2090"/>
      <c r="H5" s="2090"/>
      <c r="I5" s="2090"/>
      <c r="J5" s="2090"/>
      <c r="K5" s="2090"/>
      <c r="L5" s="2090"/>
      <c r="M5" s="2090"/>
      <c r="N5" s="2090"/>
      <c r="O5" s="2090"/>
      <c r="P5" s="2090"/>
      <c r="Q5" s="2090"/>
      <c r="R5" s="2090"/>
      <c r="S5" s="2090"/>
      <c r="T5" s="2090"/>
      <c r="U5" s="2090"/>
      <c r="V5" s="2090"/>
      <c r="W5" s="2090"/>
      <c r="X5" s="2090"/>
      <c r="Y5" s="2091"/>
      <c r="Z5" s="1718"/>
      <c r="AA5" s="1713"/>
      <c r="AB5" s="1718"/>
    </row>
    <row customHeight="1" ht="15">
      <c r="A6" s="1719"/>
      <c r="B6" s="2092" t="s">
        <v>3</v>
      </c>
      <c r="C6" s="2093"/>
      <c r="D6" s="1720"/>
      <c r="E6" s="1720"/>
      <c r="F6" s="1720"/>
      <c r="G6" s="1720"/>
      <c r="H6" s="1720"/>
      <c r="I6" s="1720"/>
      <c r="J6" s="1720"/>
      <c r="K6" s="1720"/>
      <c r="L6" s="1720"/>
      <c r="M6" s="1720"/>
      <c r="N6" s="1720"/>
      <c r="O6" s="1720"/>
      <c r="P6" s="1720"/>
      <c r="Q6" s="1720"/>
      <c r="R6" s="1720"/>
      <c r="S6" s="1720"/>
      <c r="T6" s="1720"/>
      <c r="U6" s="1720"/>
      <c r="V6" s="1720"/>
      <c r="W6" s="1720"/>
      <c r="X6" s="1720"/>
      <c r="Y6" s="1721"/>
      <c r="Z6" s="1722"/>
      <c r="AA6" s="1723"/>
      <c r="AB6" s="1723"/>
    </row>
    <row customHeight="1" ht="15">
      <c r="A7" s="1719"/>
      <c r="B7" s="2092"/>
      <c r="C7" s="2093"/>
      <c r="D7" s="1720"/>
      <c r="E7" s="1720"/>
      <c r="F7" s="1724"/>
      <c r="G7" s="1724"/>
      <c r="H7" s="1724"/>
      <c r="I7" s="1724"/>
      <c r="J7" s="1724"/>
      <c r="K7" s="1724"/>
      <c r="L7" s="1724"/>
      <c r="M7" s="1724"/>
      <c r="N7" s="1724"/>
      <c r="O7" s="1720"/>
      <c r="P7" s="1724"/>
      <c r="Q7" s="1724"/>
      <c r="R7" s="1724"/>
      <c r="S7" s="1724"/>
      <c r="T7" s="1724"/>
      <c r="U7" s="1724"/>
      <c r="V7" s="1724"/>
      <c r="W7" s="1724"/>
      <c r="X7" s="1724"/>
      <c r="Y7" s="1721"/>
      <c r="Z7" s="1722"/>
      <c r="AA7" s="1723"/>
      <c r="AB7" s="1723"/>
    </row>
    <row customHeight="1" ht="15">
      <c r="A8" s="1719"/>
      <c r="B8" s="2092"/>
      <c r="C8" s="2093"/>
      <c r="D8" s="1725"/>
      <c r="E8" s="1726" t="s">
        <v>4</v>
      </c>
      <c r="F8" s="2095" t="s">
        <v>5</v>
      </c>
      <c r="G8" s="2096"/>
      <c r="H8" s="2096"/>
      <c r="I8" s="2096"/>
      <c r="J8" s="2096"/>
      <c r="K8" s="2096"/>
      <c r="L8" s="2096"/>
      <c r="M8" s="2096"/>
      <c r="N8" s="1725"/>
      <c r="O8" s="1727" t="s">
        <v>4</v>
      </c>
      <c r="P8" s="2097" t="s">
        <v>6</v>
      </c>
      <c r="Q8" s="2098"/>
      <c r="R8" s="2098"/>
      <c r="S8" s="2098"/>
      <c r="T8" s="2098"/>
      <c r="U8" s="2098"/>
      <c r="V8" s="2098"/>
      <c r="W8" s="2098"/>
      <c r="X8" s="2098"/>
      <c r="Y8" s="1721"/>
      <c r="Z8" s="1722"/>
      <c r="AA8" s="1723"/>
      <c r="AB8" s="1723"/>
    </row>
    <row customHeight="1" ht="15">
      <c r="A9" s="1719"/>
      <c r="B9" s="2092"/>
      <c r="C9" s="2093"/>
      <c r="D9" s="1725"/>
      <c r="E9" s="1728" t="s">
        <v>4</v>
      </c>
      <c r="F9" s="2095" t="s">
        <v>7</v>
      </c>
      <c r="G9" s="2096"/>
      <c r="H9" s="2096"/>
      <c r="I9" s="2096"/>
      <c r="J9" s="2096"/>
      <c r="K9" s="2096"/>
      <c r="L9" s="2096"/>
      <c r="M9" s="2096"/>
      <c r="N9" s="1725"/>
      <c r="O9" s="1729" t="s">
        <v>4</v>
      </c>
      <c r="P9" s="2097" t="s">
        <v>8</v>
      </c>
      <c r="Q9" s="2098"/>
      <c r="R9" s="2098"/>
      <c r="S9" s="2098"/>
      <c r="T9" s="2098"/>
      <c r="U9" s="2098"/>
      <c r="V9" s="2098"/>
      <c r="W9" s="2098"/>
      <c r="X9" s="2098"/>
      <c r="Y9" s="1721"/>
      <c r="Z9" s="1722"/>
      <c r="AA9" s="1723"/>
      <c r="AB9" s="1723"/>
    </row>
    <row customHeight="1" ht="30">
      <c r="A10" s="1719"/>
      <c r="B10" s="2092"/>
      <c r="C10" s="2094"/>
      <c r="D10" s="1730"/>
      <c r="E10" s="1731"/>
      <c r="F10" s="1724"/>
      <c r="G10" s="1724"/>
      <c r="H10" s="1724"/>
      <c r="I10" s="1724"/>
      <c r="J10" s="1724"/>
      <c r="K10" s="1724"/>
      <c r="L10" s="1724"/>
      <c r="M10" s="1724"/>
      <c r="N10" s="1724"/>
      <c r="O10" s="1731"/>
      <c r="P10" s="1724"/>
      <c r="Q10" s="1724"/>
      <c r="R10" s="1724"/>
      <c r="S10" s="1724"/>
      <c r="T10" s="1724"/>
      <c r="U10" s="1724"/>
      <c r="V10" s="1724"/>
      <c r="W10" s="1724"/>
      <c r="X10" s="1724"/>
      <c r="Y10" s="1721"/>
      <c r="Z10" s="1722"/>
      <c r="AA10" s="1723"/>
      <c r="AB10" s="1723"/>
    </row>
    <row customHeight="1" ht="19.5">
      <c r="A11" s="1719"/>
      <c r="B11" s="2099" t="s">
        <v>9</v>
      </c>
      <c r="C11" s="2100"/>
      <c r="D11" s="1725"/>
      <c r="E11" s="1732"/>
      <c r="F11" s="1732"/>
      <c r="G11" s="1732"/>
      <c r="H11" s="1732"/>
      <c r="I11" s="1732"/>
      <c r="J11" s="1732"/>
      <c r="K11" s="1732"/>
      <c r="L11" s="1732"/>
      <c r="M11" s="1732"/>
      <c r="N11" s="1732"/>
      <c r="O11" s="1732"/>
      <c r="P11" s="1732"/>
      <c r="Q11" s="1732"/>
      <c r="R11" s="1732"/>
      <c r="S11" s="1732"/>
      <c r="T11" s="1732"/>
      <c r="U11" s="1732"/>
      <c r="V11" s="1732"/>
      <c r="W11" s="1732"/>
      <c r="X11" s="1732"/>
      <c r="Y11" s="1721"/>
      <c r="Z11" s="1722"/>
      <c r="AA11" s="1723"/>
      <c r="AB11" s="1723"/>
    </row>
    <row customHeight="1" ht="69">
      <c r="A12" s="1719"/>
      <c r="B12" s="2092"/>
      <c r="C12" s="2094"/>
      <c r="D12" s="1733"/>
      <c r="E12" s="2096" t="s">
        <v>10</v>
      </c>
      <c r="F12" s="2096"/>
      <c r="G12" s="2096"/>
      <c r="H12" s="2096"/>
      <c r="I12" s="2096"/>
      <c r="J12" s="2096"/>
      <c r="K12" s="2096"/>
      <c r="L12" s="2096"/>
      <c r="M12" s="2096"/>
      <c r="N12" s="2096"/>
      <c r="O12" s="2096"/>
      <c r="P12" s="2096"/>
      <c r="Q12" s="2096"/>
      <c r="R12" s="2096"/>
      <c r="S12" s="2096"/>
      <c r="T12" s="2096"/>
      <c r="U12" s="2096"/>
      <c r="V12" s="2096"/>
      <c r="W12" s="2096"/>
      <c r="X12" s="2096"/>
      <c r="Y12" s="1721"/>
      <c r="Z12" s="1722"/>
      <c r="AA12" s="1723"/>
      <c r="AB12" s="1723"/>
    </row>
    <row customHeight="1" ht="15">
      <c r="A13" s="1719"/>
      <c r="B13" s="2099" t="s">
        <v>11</v>
      </c>
      <c r="C13" s="2100"/>
      <c r="D13" s="1720"/>
      <c r="E13" s="1732"/>
      <c r="F13" s="1732"/>
      <c r="G13" s="1732"/>
      <c r="H13" s="1732"/>
      <c r="I13" s="1732"/>
      <c r="J13" s="1732"/>
      <c r="K13" s="1732"/>
      <c r="L13" s="1732"/>
      <c r="M13" s="1732"/>
      <c r="N13" s="1732"/>
      <c r="O13" s="1732"/>
      <c r="P13" s="1732"/>
      <c r="Q13" s="1732"/>
      <c r="R13" s="1732"/>
      <c r="S13" s="1732"/>
      <c r="T13" s="1732"/>
      <c r="U13" s="1732"/>
      <c r="V13" s="1732"/>
      <c r="W13" s="1732"/>
      <c r="X13" s="1732"/>
      <c r="Y13" s="1721"/>
      <c r="Z13" s="1722"/>
      <c r="AA13" s="1723"/>
      <c r="AB13" s="1723"/>
    </row>
    <row customHeight="1" ht="57">
      <c r="A14" s="1719"/>
      <c r="B14" s="2092"/>
      <c r="C14" s="2093"/>
      <c r="D14" s="1725"/>
      <c r="E14" s="2103" t="s">
        <v>12</v>
      </c>
      <c r="F14" s="2103"/>
      <c r="G14" s="2103"/>
      <c r="H14" s="2103"/>
      <c r="I14" s="2103"/>
      <c r="J14" s="2103"/>
      <c r="K14" s="2103"/>
      <c r="L14" s="2103"/>
      <c r="M14" s="2103"/>
      <c r="N14" s="2103"/>
      <c r="O14" s="2103"/>
      <c r="P14" s="2103"/>
      <c r="Q14" s="2103"/>
      <c r="R14" s="2103"/>
      <c r="S14" s="2103"/>
      <c r="T14" s="2103"/>
      <c r="U14" s="2103"/>
      <c r="V14" s="2103"/>
      <c r="W14" s="2103"/>
      <c r="X14" s="2103"/>
      <c r="Y14" s="1721"/>
      <c r="Z14" s="1722"/>
      <c r="AA14" s="1723"/>
      <c r="AB14" s="1723"/>
    </row>
    <row customHeight="1" ht="16.5">
      <c r="A15" s="1719"/>
      <c r="B15" s="2101"/>
      <c r="C15" s="2102"/>
      <c r="D15" s="1734"/>
      <c r="E15" s="1735"/>
      <c r="F15" s="1735"/>
      <c r="G15" s="1735"/>
      <c r="H15" s="1735"/>
      <c r="I15" s="1735"/>
      <c r="J15" s="1735"/>
      <c r="K15" s="1735"/>
      <c r="L15" s="1735"/>
      <c r="M15" s="1735"/>
      <c r="N15" s="1735"/>
      <c r="O15" s="1735"/>
      <c r="P15" s="1735"/>
      <c r="Q15" s="1735"/>
      <c r="R15" s="1735"/>
      <c r="S15" s="1735"/>
      <c r="T15" s="1735"/>
      <c r="U15" s="1735"/>
      <c r="V15" s="1735"/>
      <c r="W15" s="1735"/>
      <c r="X15" s="1735"/>
      <c r="Y15" s="1736"/>
      <c r="Z15" s="1722"/>
      <c r="AA15" s="1737"/>
      <c r="AB15" s="1723"/>
    </row>
    <row customHeight="1" ht="95.25">
      <c r="A16" s="1711"/>
      <c r="B16" s="2103"/>
      <c r="C16" s="2104"/>
      <c r="D16" s="2104"/>
      <c r="E16" s="2104"/>
      <c r="F16" s="2104"/>
      <c r="G16" s="2104"/>
      <c r="H16" s="2104"/>
      <c r="I16" s="2104"/>
      <c r="J16" s="2104"/>
      <c r="K16" s="2104"/>
      <c r="L16" s="2104"/>
      <c r="M16" s="2104"/>
      <c r="N16" s="2104"/>
      <c r="O16" s="2104"/>
      <c r="P16" s="2104"/>
      <c r="Q16" s="2104"/>
      <c r="R16" s="2104"/>
      <c r="S16" s="2104"/>
      <c r="T16" s="2104"/>
      <c r="U16" s="2104"/>
      <c r="V16" s="2104"/>
      <c r="W16" s="2104"/>
      <c r="X16" s="2104"/>
      <c r="Y16" s="2104"/>
      <c r="Z16" s="1711"/>
      <c r="AA16" s="1713"/>
      <c r="AB16" s="1711"/>
    </row>
    <row customHeight="1" ht="14.25">
      <c r="A17" s="1711"/>
      <c r="B17" s="1711"/>
      <c r="C17" s="1711"/>
      <c r="D17" s="1711"/>
      <c r="E17" s="1711"/>
      <c r="F17" s="1711"/>
      <c r="G17" s="1711"/>
      <c r="H17" s="1711"/>
      <c r="I17" s="1711"/>
      <c r="J17" s="1711"/>
      <c r="K17" s="1711"/>
      <c r="L17" s="1711"/>
      <c r="M17" s="1711"/>
      <c r="N17" s="1711"/>
      <c r="O17" s="1711"/>
      <c r="P17" s="1711"/>
      <c r="Q17" s="1711"/>
      <c r="R17" s="1711"/>
      <c r="S17" s="1711"/>
      <c r="T17" s="1711"/>
      <c r="U17" s="1711"/>
      <c r="V17" s="1711"/>
      <c r="W17" s="1711"/>
      <c r="X17" s="1711"/>
      <c r="Y17" s="1712"/>
      <c r="Z17" s="1711"/>
      <c r="AA17" s="1713"/>
      <c r="AB17" s="1711"/>
    </row>
    <row customHeight="1" ht="14.25">
      <c r="A18" s="1711"/>
      <c r="B18" s="1711"/>
      <c r="C18" s="1711"/>
      <c r="D18" s="1711"/>
      <c r="E18" s="1711"/>
      <c r="F18" s="1711"/>
      <c r="G18" s="1711"/>
      <c r="H18" s="1711"/>
      <c r="I18" s="1711"/>
      <c r="J18" s="1711"/>
      <c r="K18" s="1711"/>
      <c r="L18" s="1711"/>
      <c r="M18" s="1711"/>
      <c r="N18" s="1711"/>
      <c r="O18" s="1711"/>
      <c r="P18" s="1711"/>
      <c r="Q18" s="1711"/>
      <c r="R18" s="1711"/>
      <c r="S18" s="1711"/>
      <c r="T18" s="1711"/>
      <c r="U18" s="1711"/>
      <c r="V18" s="1711"/>
      <c r="W18" s="1711"/>
      <c r="X18" s="1711"/>
      <c r="Y18" s="1712"/>
      <c r="Z18" s="1711"/>
      <c r="AA18" s="1713"/>
      <c r="AB18" s="1711"/>
    </row>
    <row customHeight="1" ht="14.25">
      <c r="A19" s="1711"/>
      <c r="B19" s="1711"/>
      <c r="C19" s="1711"/>
      <c r="D19" s="1711"/>
      <c r="E19" s="1711"/>
      <c r="F19" s="1711"/>
      <c r="G19" s="1711"/>
      <c r="H19" s="1711"/>
      <c r="I19" s="1711"/>
      <c r="J19" s="1711"/>
      <c r="K19" s="1711"/>
      <c r="L19" s="1711"/>
      <c r="M19" s="1711"/>
      <c r="N19" s="1711"/>
      <c r="O19" s="1711"/>
      <c r="P19" s="1711"/>
      <c r="Q19" s="1711"/>
      <c r="R19" s="1711"/>
      <c r="S19" s="1711"/>
      <c r="T19" s="1711"/>
      <c r="U19" s="1711"/>
      <c r="V19" s="1711"/>
      <c r="W19" s="1711"/>
      <c r="X19" s="1711"/>
      <c r="Y19" s="1712"/>
      <c r="Z19" s="1711"/>
      <c r="AA19" s="1713"/>
      <c r="AB19" s="1711"/>
    </row>
    <row customHeight="1" ht="14.25">
      <c r="A20" s="1711"/>
      <c r="B20" s="1711"/>
      <c r="C20" s="1711"/>
      <c r="D20" s="1711"/>
      <c r="E20" s="1711"/>
      <c r="F20" s="1711"/>
      <c r="G20" s="1711"/>
      <c r="H20" s="1711"/>
      <c r="I20" s="1711"/>
      <c r="J20" s="1711"/>
      <c r="K20" s="1711"/>
      <c r="L20" s="1711"/>
      <c r="M20" s="1711"/>
      <c r="N20" s="1711"/>
      <c r="O20" s="1711"/>
      <c r="P20" s="1711"/>
      <c r="Q20" s="1711"/>
      <c r="R20" s="1711"/>
      <c r="S20" s="1711"/>
      <c r="T20" s="1711"/>
      <c r="U20" s="1711"/>
      <c r="V20" s="1711"/>
      <c r="W20" s="1711"/>
      <c r="X20" s="1711"/>
      <c r="Y20" s="1712"/>
      <c r="Z20" s="1711"/>
      <c r="AA20" s="1713"/>
      <c r="AB20" s="1711"/>
    </row>
    <row customHeight="1" ht="14.25">
      <c r="A21" s="1711"/>
      <c r="B21" s="1711"/>
      <c r="C21" s="1711"/>
      <c r="D21" s="1711"/>
      <c r="E21" s="1711"/>
      <c r="F21" s="1711"/>
      <c r="G21" s="1711"/>
      <c r="H21" s="1711"/>
      <c r="I21" s="1711"/>
      <c r="J21" s="1711"/>
      <c r="K21" s="1711"/>
      <c r="L21" s="1711"/>
      <c r="M21" s="1711"/>
      <c r="N21" s="1711"/>
      <c r="O21" s="1711"/>
      <c r="P21" s="1711"/>
      <c r="Q21" s="1711"/>
      <c r="R21" s="1711"/>
      <c r="S21" s="1711"/>
      <c r="T21" s="1711"/>
      <c r="U21" s="1711"/>
      <c r="V21" s="1711"/>
      <c r="W21" s="1711"/>
      <c r="X21" s="1711"/>
      <c r="Y21" s="1712"/>
      <c r="Z21" s="1711"/>
      <c r="AA21" s="1713"/>
      <c r="AB21" s="1711"/>
    </row>
  </sheetData>
  <sheetProtection sheet="1" formatColumns="0" formatRows="0" sort="1" autoFilter="0" insertRows="1" insertColumns="1" deleteRows="1" deleteColumns="1"/>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8AE6FE-C166-37D7-7ADA-0.F333BF6C}"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42" width="9.140625" hidden="1" customWidth="1"/>
    <col min="2" max="3" style="1645" width="9.140625" hidden="1" customWidth="1"/>
    <col min="4" max="4" style="1852" width="3.00390625" customWidth="1"/>
    <col min="5" max="5" style="1645" width="6.00390625" customWidth="1"/>
    <col min="6" max="6" style="1645" width="1.7109375" hidden="1" customWidth="1"/>
    <col min="7" max="8" style="1645" width="30.00390625" customWidth="1"/>
    <col min="9" max="9" style="1645" width="8.00390625" customWidth="1"/>
    <col min="10" max="10" style="1645" width="12.140625" customWidth="1"/>
    <col min="11" max="11" style="1645" width="46.00390625" customWidth="1"/>
    <col min="12" max="12" style="1645" width="100.00390625" customWidth="1"/>
    <col min="13" max="13" style="1829" width="7.00390625" customWidth="1"/>
    <col min="14" max="22" style="1645" width="10.00390625" customWidth="1"/>
    <col min="23" max="23" style="1645" width="10.57421875" hidden="1"/>
  </cols>
  <sheetData>
    <row s="1652" customFormat="1" customHeight="1" ht="5.25" hidden="1">
      <c r="C1" s="521"/>
      <c r="D1" s="504"/>
      <c r="F1" s="521"/>
      <c r="G1" s="499" t="s">
        <v>83</v>
      </c>
      <c r="H1" s="499" t="s">
        <v>84</v>
      </c>
      <c r="I1" s="499" t="s">
        <v>85</v>
      </c>
      <c r="P1" s="499" t="s">
        <v>83</v>
      </c>
      <c r="Q1" s="499" t="s">
        <v>84</v>
      </c>
      <c r="R1" s="499" t="s">
        <v>85</v>
      </c>
      <c r="W1" s="499" t="s">
        <v>14</v>
      </c>
    </row>
    <row s="1652" customFormat="1" customHeight="1" ht="5.25" hidden="1">
      <c r="C2" s="521"/>
      <c r="D2" s="504"/>
      <c r="F2" s="521"/>
      <c r="W2" s="499">
        <v>0</v>
      </c>
    </row>
    <row s="1622" customFormat="1" customHeight="1" ht="5.25">
      <c r="A3" s="489"/>
      <c r="D3" s="496"/>
      <c r="E3" s="491"/>
      <c r="F3" s="491"/>
      <c r="G3" s="491"/>
      <c r="H3" s="491"/>
      <c r="I3" s="492"/>
      <c r="J3" s="493"/>
      <c r="K3" s="493"/>
      <c r="L3" s="493"/>
      <c r="W3" s="490">
        <v>5</v>
      </c>
    </row>
    <row customHeight="1" ht="23.25">
      <c r="D4" s="460"/>
      <c r="E4" s="2248" t="s">
        <v>410</v>
      </c>
      <c r="F4" s="2248"/>
      <c r="G4" s="2249"/>
      <c r="H4" s="2249"/>
      <c r="I4" s="2250"/>
      <c r="J4" s="501"/>
      <c r="K4" s="463"/>
      <c r="L4" s="463"/>
      <c r="W4" s="457">
        <v>22</v>
      </c>
    </row>
    <row s="1645" customFormat="1" customHeight="1" ht="18">
      <c r="A5" s="769"/>
      <c r="D5" s="832"/>
      <c r="E5" s="2224" t="str">
        <f>IF(org=0,"Не определено",org)</f>
        <v>АО «ДГК» СП «Нерюнгринская ГРЭС»</v>
      </c>
      <c r="F5" s="2224"/>
      <c r="G5" s="2225"/>
      <c r="H5" s="2225"/>
      <c r="I5" s="2226"/>
      <c r="J5" s="501"/>
      <c r="K5" s="463"/>
      <c r="L5" s="463"/>
      <c r="M5" s="517"/>
      <c r="W5" s="768">
        <v>17</v>
      </c>
    </row>
    <row s="1622" customFormat="1" customHeight="1" ht="11.549999999999999">
      <c r="A6" s="489"/>
      <c r="D6" s="496"/>
      <c r="E6" s="491"/>
      <c r="F6" s="491"/>
      <c r="G6" s="494"/>
      <c r="H6" s="494"/>
      <c r="I6" s="495"/>
      <c r="J6" s="495"/>
      <c r="K6" s="762"/>
      <c r="L6" s="495"/>
      <c r="W6" s="490">
        <v>11</v>
      </c>
    </row>
    <row customHeight="1" ht="14.699999999999998">
      <c r="D7" s="460"/>
      <c r="E7" s="2218" t="s">
        <v>322</v>
      </c>
      <c r="F7" s="2218"/>
      <c r="G7" s="2219"/>
      <c r="H7" s="2219"/>
      <c r="I7" s="2219"/>
      <c r="J7" s="2219"/>
      <c r="K7" s="2219"/>
      <c r="L7" s="2233" t="s">
        <v>323</v>
      </c>
      <c r="W7" s="457">
        <v>14</v>
      </c>
    </row>
    <row customHeight="1" ht="48.29999999999999">
      <c r="D8" s="460"/>
      <c r="E8" s="483" t="s">
        <v>88</v>
      </c>
      <c r="F8" s="833"/>
      <c r="G8" s="475" t="s">
        <v>86</v>
      </c>
      <c r="H8" s="475" t="s">
        <v>87</v>
      </c>
      <c r="I8" s="424" t="s">
        <v>85</v>
      </c>
      <c r="J8" s="424" t="s">
        <v>411</v>
      </c>
      <c r="K8" s="424" t="s">
        <v>412</v>
      </c>
      <c r="L8" s="2233"/>
      <c r="W8" s="457">
        <v>46</v>
      </c>
    </row>
    <row customHeight="1" ht="12" hidden="1">
      <c r="D9" s="497"/>
      <c r="E9" s="503"/>
      <c r="F9" s="840"/>
      <c r="G9" s="503"/>
      <c r="H9" s="503"/>
      <c r="I9" s="503"/>
      <c r="J9" s="503"/>
      <c r="K9" s="503"/>
      <c r="L9" s="503"/>
      <c r="M9" s="457"/>
      <c r="W9" s="457">
        <v>0</v>
      </c>
    </row>
    <row customHeight="1" ht="14.25" hidden="1">
      <c r="A10" s="515"/>
      <c r="B10" s="515"/>
      <c r="D10" s="516"/>
      <c r="E10" s="522">
        <v>0</v>
      </c>
      <c r="F10" s="831"/>
      <c r="G10" s="518"/>
      <c r="H10" s="518"/>
      <c r="I10" s="518"/>
      <c r="J10" s="518"/>
      <c r="K10" s="518"/>
      <c r="L10" s="2231" t="s">
        <v>413</v>
      </c>
      <c r="M10" s="517"/>
      <c r="N10" s="515"/>
      <c r="O10" s="515"/>
      <c r="P10" s="515"/>
      <c r="Q10" s="515"/>
      <c r="R10" s="515"/>
      <c r="S10" s="515"/>
      <c r="T10" s="515"/>
      <c r="U10" s="515"/>
      <c r="V10" s="515"/>
      <c r="W10" s="457">
        <v>0</v>
      </c>
    </row>
    <row customHeight="1" ht="15" hidden="1">
      <c r="A11" s="2109"/>
      <c r="B11" s="514"/>
      <c r="C11" s="514"/>
      <c r="D11" s="875"/>
      <c r="E11" s="523"/>
      <c r="F11" s="523"/>
      <c r="G11" s="523"/>
      <c r="H11" s="523"/>
      <c r="I11" s="524"/>
      <c r="J11" s="525"/>
      <c r="K11" s="723"/>
      <c r="L11" s="2251"/>
      <c r="M11" s="521"/>
      <c r="N11" s="521"/>
      <c r="O11" s="521"/>
      <c r="P11" s="526"/>
      <c r="Q11" s="526"/>
      <c r="R11" s="527"/>
      <c r="S11" s="521"/>
      <c r="T11" s="521"/>
      <c r="U11" s="521"/>
      <c r="V11" s="521"/>
      <c r="W11" s="457">
        <v>0</v>
      </c>
    </row>
    <row s="1622" customFormat="1" customHeight="1" ht="15">
      <c r="A12" s="2109"/>
      <c r="B12" s="514"/>
      <c r="C12" s="514"/>
      <c r="D12" s="876"/>
      <c r="E12" s="833">
        <v>1</v>
      </c>
      <c r="F12" s="874">
        <v>23</v>
      </c>
      <c r="G12" s="873"/>
      <c r="H12" s="803"/>
      <c r="I12" s="801"/>
      <c r="J12" s="530" t="s">
        <v>66</v>
      </c>
      <c r="K12" s="1174" t="s">
        <v>22</v>
      </c>
      <c r="L12" s="2251"/>
      <c r="M12" s="521"/>
      <c r="N12" s="521"/>
      <c r="O12" s="521"/>
      <c r="P12" s="526" t="s">
        <v>414</v>
      </c>
      <c r="Q12" s="526" t="s">
        <v>415</v>
      </c>
      <c r="R12" s="527" t="s">
        <v>416</v>
      </c>
      <c r="S12" s="521" t="s">
        <v>417</v>
      </c>
      <c r="T12" s="521"/>
      <c r="U12" s="521"/>
      <c r="V12" s="521"/>
      <c r="W12" s="490">
        <v>14</v>
      </c>
    </row>
    <row customHeight="1" ht="15.75">
      <c r="A13" s="2109"/>
      <c r="B13" s="515"/>
      <c r="D13" s="516"/>
      <c r="E13" s="415"/>
      <c r="F13" s="539"/>
      <c r="G13" s="426" t="s">
        <v>103</v>
      </c>
      <c r="H13" s="414"/>
      <c r="I13" s="414"/>
      <c r="J13" s="414"/>
      <c r="K13" s="413"/>
      <c r="L13" s="2232"/>
      <c r="M13" s="519"/>
      <c r="N13" s="515"/>
      <c r="O13" s="515"/>
      <c r="P13" s="515"/>
      <c r="Q13" s="515"/>
      <c r="R13" s="515"/>
      <c r="S13" s="515"/>
      <c r="T13" s="515"/>
      <c r="U13" s="515"/>
      <c r="V13" s="515"/>
      <c r="W13" s="457">
        <v>15</v>
      </c>
    </row>
    <row customHeight="1" ht="11.549999999999999">
      <c r="A14" s="489"/>
      <c r="B14" s="490"/>
      <c r="C14" s="490"/>
      <c r="D14" s="505"/>
      <c r="E14" s="490"/>
      <c r="F14" s="490"/>
      <c r="G14" s="490"/>
      <c r="H14" s="490"/>
      <c r="I14" s="490"/>
      <c r="J14" s="490"/>
      <c r="K14" s="490"/>
      <c r="L14" s="490"/>
      <c r="M14" s="490"/>
      <c r="N14" s="490"/>
      <c r="O14" s="490"/>
      <c r="P14" s="490"/>
      <c r="Q14" s="490"/>
      <c r="R14" s="490"/>
      <c r="S14" s="490"/>
      <c r="T14" s="490"/>
      <c r="U14" s="490"/>
      <c r="V14" s="490"/>
      <c r="W14" s="457">
        <v>11</v>
      </c>
    </row>
    <row customHeight="1" ht="14.699999999999998">
      <c r="D15" s="476"/>
      <c r="E15" s="346"/>
      <c r="F15" s="346"/>
      <c r="G15" s="67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76"/>
      <c r="I15" s="476"/>
      <c r="J15" s="476"/>
      <c r="K15" s="476"/>
      <c r="L15" s="476"/>
      <c r="W15" s="457">
        <v>14</v>
      </c>
    </row>
    <row customHeight="1" ht="14.699999999999998">
      <c r="W16" s="457">
        <v>14</v>
      </c>
    </row>
    <row customHeight="1" ht="14.699999999999998">
      <c r="W17" s="457">
        <v>14</v>
      </c>
    </row>
    <row customHeight="1" ht="14.699999999999998">
      <c r="G18" s="515"/>
      <c r="W18" s="457">
        <v>14</v>
      </c>
    </row>
    <row customHeight="1" ht="22.5" hidden="1">
      <c r="A19" s="459" t="s">
        <v>82</v>
      </c>
      <c r="B19" s="457">
        <v>0</v>
      </c>
      <c r="C19" s="768">
        <v>0</v>
      </c>
      <c r="D19" s="461">
        <v>3</v>
      </c>
      <c r="E19" s="457">
        <v>6</v>
      </c>
      <c r="F19" s="768">
        <v>0</v>
      </c>
      <c r="G19" s="457">
        <v>30</v>
      </c>
      <c r="H19" s="457">
        <v>30</v>
      </c>
      <c r="I19" s="457">
        <v>8</v>
      </c>
      <c r="J19" s="457">
        <v>12</v>
      </c>
      <c r="K19" s="457">
        <v>46</v>
      </c>
      <c r="L19" s="457">
        <v>100</v>
      </c>
      <c r="M19" s="462">
        <v>7</v>
      </c>
      <c r="N19" s="457">
        <v>10</v>
      </c>
      <c r="O19" s="457">
        <v>10</v>
      </c>
      <c r="P19" s="457">
        <v>10</v>
      </c>
      <c r="Q19" s="457">
        <v>10</v>
      </c>
      <c r="R19" s="457">
        <v>10</v>
      </c>
      <c r="S19" s="457">
        <v>10</v>
      </c>
      <c r="T19" s="457">
        <v>10</v>
      </c>
      <c r="U19" s="457">
        <v>10</v>
      </c>
      <c r="V19" s="457">
        <v>10</v>
      </c>
      <c r="W19" s="457">
        <v>23</v>
      </c>
    </row>
  </sheetData>
  <sheetProtection sheet="1" formatColumns="0" formatRows="0" sort="1" autoFilter="0" insertRows="1" insertColumns="1" deleteRows="1" deleteColumns="1"/>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F4C673-C973-C05B-A019-0.041277D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Y1" s="337"/>
      <c r="Z1" s="337"/>
      <c r="AG1" s="337"/>
      <c r="AH1" s="337"/>
      <c r="AS1" s="1165" t="s">
        <v>14</v>
      </c>
    </row>
    <row customHeight="1" ht="21" hidden="1">
      <c r="A2" s="1373"/>
      <c r="B2" s="1373"/>
      <c r="C2" s="1373"/>
      <c r="D2" s="1373"/>
      <c r="E2" s="2268">
        <v>1</v>
      </c>
      <c r="F2" s="1373"/>
      <c r="G2" s="1373"/>
      <c r="H2" s="1373"/>
      <c r="I2" s="1373"/>
      <c r="J2" s="1373"/>
      <c r="K2" s="1373"/>
      <c r="L2" s="1374"/>
      <c r="M2" s="1375"/>
      <c r="N2" s="1375"/>
      <c r="O2" s="1375"/>
      <c r="P2" s="371"/>
      <c r="Q2" s="370"/>
      <c r="R2" s="365"/>
      <c r="S2" s="1319">
        <f>INDEX(PT_DIFFERENTIATION_NUM_NTAR,MATCH(A2,PT_DIFFERENTIATION_NTAR_ID,0))</f>
      </c>
      <c r="T2" s="308" t="s">
        <v>147</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418</v>
      </c>
      <c r="AO2" s="510"/>
      <c r="AP2" s="510" t="str">
        <f>IF(T2="","",T2)</f>
        <v>Наименование тарифа</v>
      </c>
      <c r="AQ2" s="510"/>
      <c r="AR2" s="510"/>
      <c r="AS2" s="1165">
        <v>0</v>
      </c>
    </row>
    <row customHeight="1" ht="21" hidden="1">
      <c r="A3" s="1373"/>
      <c r="B3" s="1373"/>
      <c r="C3" s="1373"/>
      <c r="D3" s="1373"/>
      <c r="E3" s="2269"/>
      <c r="F3" s="2268">
        <v>1</v>
      </c>
      <c r="G3" s="1373"/>
      <c r="H3" s="1373"/>
      <c r="I3" s="1373"/>
      <c r="J3" s="1373"/>
      <c r="K3" s="1373"/>
      <c r="L3" s="1374"/>
      <c r="M3" s="1375"/>
      <c r="N3" s="1375"/>
      <c r="O3" s="1375"/>
      <c r="P3" s="1314"/>
      <c r="Q3" s="362"/>
      <c r="R3" s="363"/>
      <c r="S3" s="1319">
        <f>INDEX(PT_DIFFERENTIATION_NUM_TER,MATCH(B3,PT_DIFFERENTIATION_TER_ID,0))</f>
      </c>
      <c r="T3" s="318" t="s">
        <v>419</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420</v>
      </c>
      <c r="AO3" s="510"/>
      <c r="AP3" s="510" t="str">
        <f>IF(T3="","",T3)</f>
        <v>Территория действия тарифа</v>
      </c>
      <c r="AQ3" s="510"/>
      <c r="AR3" s="510"/>
      <c r="AS3" s="1165">
        <v>0</v>
      </c>
    </row>
    <row customHeight="1" ht="23.25" hidden="1">
      <c r="A4" s="1373"/>
      <c r="B4" s="1373"/>
      <c r="C4" s="1373"/>
      <c r="D4" s="1373"/>
      <c r="E4" s="2269"/>
      <c r="F4" s="2269"/>
      <c r="G4" s="2268">
        <v>1</v>
      </c>
      <c r="H4" s="1373"/>
      <c r="I4" s="1373"/>
      <c r="J4" s="1373"/>
      <c r="K4" s="1373"/>
      <c r="L4" s="1374"/>
      <c r="M4" s="1375"/>
      <c r="N4" s="1375"/>
      <c r="O4" s="1375"/>
      <c r="P4" s="364"/>
      <c r="Q4" s="362"/>
      <c r="R4" s="363"/>
      <c r="S4" s="1319">
        <f>INDEX(PT_DIFFERENTIATION_NUM_CS,MATCH(C4,PT_DIFFERENTIATION_CS_ID,0))</f>
      </c>
      <c r="T4" s="319" t="s">
        <v>421</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422</v>
      </c>
      <c r="AO4" s="510"/>
      <c r="AP4" s="510" t="str">
        <f>IF(T4="","",T4)</f>
        <v>Наименование системы теплоснабжения </v>
      </c>
      <c r="AQ4" s="510"/>
      <c r="AR4" s="510"/>
      <c r="AS4" s="1165">
        <v>0</v>
      </c>
    </row>
    <row customHeight="1" ht="21" hidden="1">
      <c r="A5" s="1373"/>
      <c r="B5" s="1373"/>
      <c r="C5" s="1373"/>
      <c r="D5" s="1373"/>
      <c r="E5" s="2269"/>
      <c r="F5" s="2269"/>
      <c r="G5" s="2269"/>
      <c r="H5" s="2268">
        <v>1</v>
      </c>
      <c r="I5" s="1373"/>
      <c r="J5" s="1373"/>
      <c r="K5" s="1373"/>
      <c r="L5" s="1374"/>
      <c r="M5" s="1375"/>
      <c r="N5" s="1375"/>
      <c r="O5" s="1375"/>
      <c r="P5" s="364"/>
      <c r="Q5" s="362"/>
      <c r="R5" s="363"/>
      <c r="S5" s="1319">
        <f>INDEX(PT_DIFFERENTIATION_NUM_IST_TE,MATCH(D5,PT_DIFFERENTIATION_IST_TE_ID,0))</f>
      </c>
      <c r="T5" s="320" t="s">
        <v>423</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424</v>
      </c>
      <c r="AO5" s="510"/>
      <c r="AP5" s="510" t="str">
        <f>IF(T5="","",T5)</f>
        <v>Источник тепловой энергии  </v>
      </c>
      <c r="AQ5" s="510"/>
      <c r="AR5" s="510"/>
      <c r="AS5" s="1165">
        <v>0</v>
      </c>
    </row>
    <row customHeight="1" ht="47.25" hidden="1">
      <c r="A6" s="1373"/>
      <c r="B6" s="1373"/>
      <c r="C6" s="1373"/>
      <c r="D6" s="1373"/>
      <c r="E6" s="2269"/>
      <c r="F6" s="2269"/>
      <c r="G6" s="2269"/>
      <c r="H6" s="2269"/>
      <c r="I6" s="2266">
        <f>S5&amp;".1"</f>
      </c>
      <c r="J6" s="1373"/>
      <c r="K6" s="1373"/>
      <c r="L6" s="1374" t="s">
        <v>425</v>
      </c>
      <c r="M6" s="547"/>
      <c r="P6" s="2267">
        <v>1</v>
      </c>
      <c r="Q6" s="1315"/>
      <c r="R6" s="366"/>
      <c r="S6" s="1319">
        <f>$I6</f>
      </c>
      <c r="T6" s="295" t="s">
        <v>426</v>
      </c>
      <c r="U6" s="310"/>
      <c r="V6" s="2255"/>
      <c r="W6" s="2256"/>
      <c r="X6" s="2256"/>
      <c r="Y6" s="2256"/>
      <c r="Z6" s="2256"/>
      <c r="AA6" s="2256"/>
      <c r="AB6" s="2256"/>
      <c r="AC6" s="2257"/>
      <c r="AD6" s="2255"/>
      <c r="AE6" s="2256"/>
      <c r="AF6" s="2256"/>
      <c r="AG6" s="2256"/>
      <c r="AH6" s="2256"/>
      <c r="AI6" s="2256"/>
      <c r="AJ6" s="2256"/>
      <c r="AK6" s="2256"/>
      <c r="AL6" s="2257"/>
      <c r="AM6" s="1268" t="s">
        <v>427</v>
      </c>
      <c r="AO6" s="510"/>
      <c r="AP6" s="510" t="str">
        <f>IF(T6="","",T6)</f>
        <v>Схема подключения теплопотребляющей установки к коллектору источника тепловой энергии</v>
      </c>
      <c r="AQ6" s="510"/>
      <c r="AR6" s="510"/>
      <c r="AS6" s="1165">
        <v>0</v>
      </c>
    </row>
    <row customHeight="1" ht="21" hidden="1">
      <c r="A7" s="1373"/>
      <c r="B7" s="1373"/>
      <c r="C7" s="1373"/>
      <c r="D7" s="1373"/>
      <c r="E7" s="2269"/>
      <c r="F7" s="2269"/>
      <c r="G7" s="2269"/>
      <c r="H7" s="2269"/>
      <c r="I7" s="2296"/>
      <c r="J7" s="2266">
        <f>I6&amp;".1"</f>
      </c>
      <c r="K7" s="1373"/>
      <c r="L7" s="1374" t="s">
        <v>428</v>
      </c>
      <c r="M7" s="547"/>
      <c r="N7" s="1376"/>
      <c r="P7" s="2267"/>
      <c r="Q7" s="2267">
        <v>1</v>
      </c>
      <c r="R7" s="367"/>
      <c r="S7" s="1319">
        <f>$J7</f>
      </c>
      <c r="T7" s="296" t="s">
        <v>429</v>
      </c>
      <c r="U7" s="310"/>
      <c r="V7" s="2255"/>
      <c r="W7" s="2256"/>
      <c r="X7" s="2256"/>
      <c r="Y7" s="2256"/>
      <c r="Z7" s="2256"/>
      <c r="AA7" s="2256"/>
      <c r="AB7" s="2256"/>
      <c r="AC7" s="2257"/>
      <c r="AD7" s="2255"/>
      <c r="AE7" s="2256"/>
      <c r="AF7" s="2256"/>
      <c r="AG7" s="2256"/>
      <c r="AH7" s="2256"/>
      <c r="AI7" s="2256"/>
      <c r="AJ7" s="2256"/>
      <c r="AK7" s="2256"/>
      <c r="AL7" s="2257"/>
      <c r="AM7" s="1268" t="s">
        <v>430</v>
      </c>
      <c r="AO7" s="510"/>
      <c r="AP7" s="510" t="str">
        <f>IF(T7="","",T7)</f>
        <v>Группа потребителей</v>
      </c>
      <c r="AQ7" s="510"/>
      <c r="AR7" s="510"/>
      <c r="AS7" s="1165">
        <v>0</v>
      </c>
    </row>
    <row customHeight="1" ht="21" hidden="1">
      <c r="A8" s="1373"/>
      <c r="B8" s="1373"/>
      <c r="C8" s="1373"/>
      <c r="D8" s="1373"/>
      <c r="E8" s="2269"/>
      <c r="F8" s="2269"/>
      <c r="G8" s="2269"/>
      <c r="H8" s="2269"/>
      <c r="I8" s="2296"/>
      <c r="J8" s="2296"/>
      <c r="K8" s="2266">
        <f>J7&amp;".1"</f>
      </c>
      <c r="L8" s="1374" t="s">
        <v>431</v>
      </c>
      <c r="M8" s="547"/>
      <c r="N8" s="1376"/>
      <c r="O8" s="1376"/>
      <c r="P8" s="2267"/>
      <c r="Q8" s="2267"/>
      <c r="R8" s="367">
        <v>1</v>
      </c>
      <c r="S8" s="1319">
        <f>$K8</f>
      </c>
      <c r="T8" s="1357"/>
      <c r="U8" s="310"/>
      <c r="V8" s="761"/>
      <c r="W8" s="335"/>
      <c r="X8" s="761"/>
      <c r="Y8" s="1267"/>
      <c r="Z8" s="2275"/>
      <c r="AA8" s="2117" t="s">
        <v>66</v>
      </c>
      <c r="AB8" s="2275"/>
      <c r="AC8" s="2117" t="s">
        <v>66</v>
      </c>
      <c r="AD8" s="761"/>
      <c r="AE8" s="335"/>
      <c r="AF8" s="761"/>
      <c r="AG8" s="1267"/>
      <c r="AH8" s="2275"/>
      <c r="AI8" s="2117" t="s">
        <v>66</v>
      </c>
      <c r="AJ8" s="2275"/>
      <c r="AK8" s="2117" t="s">
        <v>66</v>
      </c>
      <c r="AL8" s="335"/>
      <c r="AM8" s="2263" t="s">
        <v>432</v>
      </c>
      <c r="AN8" s="521">
        <f>STRCHECKDATE(V9:AL9)</f>
      </c>
      <c r="AO8" s="510"/>
      <c r="AP8" s="510" t="str">
        <f>IF(T8="","",T8)</f>
        <v/>
      </c>
      <c r="AQ8" s="510"/>
      <c r="AR8" s="510"/>
      <c r="AS8" s="1165">
        <v>0</v>
      </c>
    </row>
    <row customHeight="1" ht="0.75" hidden="1">
      <c r="A9" s="1373"/>
      <c r="B9" s="1373"/>
      <c r="C9" s="1373"/>
      <c r="D9" s="1373"/>
      <c r="E9" s="2269"/>
      <c r="F9" s="2269"/>
      <c r="G9" s="2269"/>
      <c r="H9" s="2269"/>
      <c r="I9" s="2296"/>
      <c r="J9" s="2296"/>
      <c r="K9" s="2266"/>
      <c r="L9" s="1374"/>
      <c r="M9" s="547"/>
      <c r="N9" s="1376"/>
      <c r="O9" s="1376"/>
      <c r="P9" s="2267"/>
      <c r="Q9" s="2267"/>
      <c r="R9" s="367"/>
      <c r="S9" s="1316"/>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510"/>
      <c r="AP9" s="510" t="str">
        <f>IF(T9="","",T9)</f>
        <v/>
      </c>
      <c r="AQ9" s="510"/>
      <c r="AR9" s="510"/>
      <c r="AS9" s="1165">
        <v>0</v>
      </c>
    </row>
    <row customHeight="1" ht="15" hidden="1">
      <c r="A10" s="1373"/>
      <c r="B10" s="1373"/>
      <c r="C10" s="1373"/>
      <c r="D10" s="1373"/>
      <c r="E10" s="2269"/>
      <c r="F10" s="2269"/>
      <c r="G10" s="2269"/>
      <c r="H10" s="2269"/>
      <c r="I10" s="2296"/>
      <c r="J10" s="2266"/>
      <c r="K10" s="1373"/>
      <c r="L10" s="1374"/>
      <c r="M10" s="547"/>
      <c r="N10" s="1376"/>
      <c r="P10" s="2267"/>
      <c r="Q10" s="2267"/>
      <c r="R10" s="366"/>
      <c r="S10" s="1288"/>
      <c r="T10" s="298" t="s">
        <v>433</v>
      </c>
      <c r="U10" s="377"/>
      <c r="V10" s="377"/>
      <c r="W10" s="377"/>
      <c r="X10" s="377"/>
      <c r="Y10" s="377"/>
      <c r="Z10" s="377"/>
      <c r="AA10" s="377"/>
      <c r="AB10" s="377"/>
      <c r="AC10" s="377"/>
      <c r="AD10" s="377"/>
      <c r="AE10" s="377"/>
      <c r="AF10" s="377"/>
      <c r="AG10" s="377"/>
      <c r="AH10" s="377"/>
      <c r="AI10" s="377"/>
      <c r="AJ10" s="377"/>
      <c r="AK10" s="377"/>
      <c r="AL10" s="334"/>
      <c r="AM10" s="2265"/>
      <c r="AO10" s="510"/>
      <c r="AP10" s="510" t="str">
        <f>IF(T10="","",T10)</f>
        <v>Добавить вид теплоносителя (параметры теплоносителя)</v>
      </c>
      <c r="AQ10" s="510"/>
      <c r="AR10" s="510"/>
      <c r="AS10" s="1165">
        <v>0</v>
      </c>
    </row>
    <row customHeight="1" ht="15" hidden="1">
      <c r="A11" s="1373"/>
      <c r="B11" s="1373"/>
      <c r="C11" s="1373"/>
      <c r="D11" s="1373"/>
      <c r="E11" s="2269"/>
      <c r="F11" s="2269"/>
      <c r="G11" s="2269"/>
      <c r="H11" s="2269"/>
      <c r="I11" s="2266"/>
      <c r="J11" s="1373"/>
      <c r="K11" s="1373"/>
      <c r="L11" s="1374"/>
      <c r="M11" s="547"/>
      <c r="P11" s="2267"/>
      <c r="Q11" s="1315"/>
      <c r="R11" s="366"/>
      <c r="S11" s="1288"/>
      <c r="T11" s="297" t="s">
        <v>434</v>
      </c>
      <c r="U11" s="377"/>
      <c r="V11" s="377"/>
      <c r="W11" s="377"/>
      <c r="X11" s="377"/>
      <c r="Y11" s="377"/>
      <c r="Z11" s="377"/>
      <c r="AA11" s="377"/>
      <c r="AB11" s="377"/>
      <c r="AC11" s="376"/>
      <c r="AD11" s="377"/>
      <c r="AE11" s="377"/>
      <c r="AF11" s="377"/>
      <c r="AG11" s="377"/>
      <c r="AH11" s="377"/>
      <c r="AI11" s="377"/>
      <c r="AJ11" s="377"/>
      <c r="AK11" s="376"/>
      <c r="AL11" s="377"/>
      <c r="AM11" s="313"/>
      <c r="AO11" s="510"/>
      <c r="AP11" s="510" t="str">
        <f>IF(T11="","",T11)</f>
        <v>Добавить группу потребителей</v>
      </c>
      <c r="AQ11" s="510"/>
      <c r="AR11" s="510"/>
      <c r="AS11" s="1165">
        <v>0</v>
      </c>
    </row>
    <row customHeight="1" ht="14.25" hidden="1">
      <c r="A12" s="1373"/>
      <c r="B12" s="1373"/>
      <c r="C12" s="1373"/>
      <c r="D12" s="1373"/>
      <c r="E12" s="2269"/>
      <c r="F12" s="2269"/>
      <c r="G12" s="2269"/>
      <c r="H12" s="2268"/>
      <c r="I12" s="1373"/>
      <c r="J12" s="1373"/>
      <c r="K12" s="1373"/>
      <c r="L12" s="1374"/>
      <c r="M12" s="1375"/>
      <c r="N12" s="1375"/>
      <c r="O12" s="547"/>
      <c r="P12" s="370"/>
      <c r="Q12" s="385"/>
      <c r="R12" s="365"/>
      <c r="S12" s="1288"/>
      <c r="T12" s="375" t="s">
        <v>435</v>
      </c>
      <c r="U12" s="377"/>
      <c r="V12" s="377"/>
      <c r="W12" s="377"/>
      <c r="X12" s="377"/>
      <c r="Y12" s="377"/>
      <c r="Z12" s="377"/>
      <c r="AA12" s="377"/>
      <c r="AB12" s="377"/>
      <c r="AC12" s="376"/>
      <c r="AD12" s="377"/>
      <c r="AE12" s="377"/>
      <c r="AF12" s="377"/>
      <c r="AG12" s="377"/>
      <c r="AH12" s="377"/>
      <c r="AI12" s="377"/>
      <c r="AJ12" s="377"/>
      <c r="AK12" s="376"/>
      <c r="AL12" s="377"/>
      <c r="AM12" s="313"/>
      <c r="AO12" s="510"/>
      <c r="AP12" s="510" t="str">
        <f>IF(T12="","",T12)</f>
        <v>Добавить схему подключения</v>
      </c>
      <c r="AQ12" s="510"/>
      <c r="AR12" s="510"/>
      <c r="AS12" s="1165">
        <v>0</v>
      </c>
    </row>
    <row s="1652" customFormat="1" customHeight="1" ht="0.75" hidden="1">
      <c r="A13" s="1324"/>
      <c r="B13" s="1324"/>
      <c r="C13" s="1324"/>
      <c r="D13" s="1324"/>
      <c r="E13" s="2269"/>
      <c r="F13" s="2269"/>
      <c r="G13" s="2268"/>
      <c r="H13" s="1324"/>
      <c r="I13" s="1324"/>
      <c r="J13" s="1324"/>
      <c r="K13" s="1324"/>
      <c r="L13" s="1349"/>
      <c r="M13" s="1325"/>
      <c r="N13" s="1325"/>
      <c r="P13" s="1326"/>
      <c r="Q13" s="1327"/>
      <c r="R13" s="1326"/>
      <c r="S13" s="1328"/>
      <c r="T13" s="1329" t="s">
        <v>436</v>
      </c>
      <c r="U13" s="1330"/>
      <c r="V13" s="1330"/>
      <c r="W13" s="1330"/>
      <c r="X13" s="1330"/>
      <c r="Y13" s="1330"/>
      <c r="Z13" s="1330"/>
      <c r="AA13" s="1330"/>
      <c r="AB13" s="1330"/>
      <c r="AC13" s="1330"/>
      <c r="AD13" s="1330"/>
      <c r="AE13" s="1330"/>
      <c r="AF13" s="1330"/>
      <c r="AG13" s="1330"/>
      <c r="AH13" s="1330"/>
      <c r="AI13" s="1330"/>
      <c r="AJ13" s="1330"/>
      <c r="AK13" s="1330"/>
      <c r="AL13" s="1330"/>
      <c r="AM13" s="1330"/>
      <c r="AO13" s="799"/>
      <c r="AP13" s="799" t="str">
        <f>IF(T13="","",T13)</f>
        <v>Добавить источник для дифференциации</v>
      </c>
      <c r="AQ13" s="799"/>
      <c r="AR13" s="799"/>
      <c r="AS13" s="528">
        <v>0</v>
      </c>
    </row>
    <row s="1652" customFormat="1" customHeight="1" ht="0.75" hidden="1">
      <c r="A14" s="1324"/>
      <c r="B14" s="1324"/>
      <c r="C14" s="1324"/>
      <c r="D14" s="1324"/>
      <c r="E14" s="2269"/>
      <c r="F14" s="2268"/>
      <c r="G14" s="1324"/>
      <c r="H14" s="1324"/>
      <c r="I14" s="1324"/>
      <c r="J14" s="1324"/>
      <c r="K14" s="1324"/>
      <c r="L14" s="1349"/>
      <c r="M14" s="1331"/>
      <c r="N14" s="1331"/>
      <c r="P14" s="1326"/>
      <c r="Q14" s="1327"/>
      <c r="R14" s="1326"/>
      <c r="S14" s="1332"/>
      <c r="T14" s="1333" t="s">
        <v>437</v>
      </c>
      <c r="U14" s="1334"/>
      <c r="V14" s="1334"/>
      <c r="W14" s="1334"/>
      <c r="X14" s="1334"/>
      <c r="Y14" s="1334"/>
      <c r="Z14" s="1334"/>
      <c r="AA14" s="1334"/>
      <c r="AB14" s="1334"/>
      <c r="AC14" s="1334"/>
      <c r="AD14" s="1334"/>
      <c r="AE14" s="1334"/>
      <c r="AF14" s="1334"/>
      <c r="AG14" s="1334"/>
      <c r="AH14" s="1334"/>
      <c r="AI14" s="1334"/>
      <c r="AJ14" s="1334"/>
      <c r="AK14" s="1334"/>
      <c r="AL14" s="1334"/>
      <c r="AM14" s="1334"/>
      <c r="AO14" s="799"/>
      <c r="AP14" s="799" t="str">
        <f>IF(T14="","",T14)</f>
        <v>Добавить централизованную систему для дифференциации</v>
      </c>
      <c r="AQ14" s="799"/>
      <c r="AR14" s="799"/>
      <c r="AS14" s="528">
        <v>0</v>
      </c>
    </row>
    <row s="1652" customFormat="1" customHeight="1" ht="0.75" hidden="1">
      <c r="A15" s="1324"/>
      <c r="B15" s="1324"/>
      <c r="C15" s="1324"/>
      <c r="D15" s="1324"/>
      <c r="E15" s="2268"/>
      <c r="F15" s="1324"/>
      <c r="G15" s="1324"/>
      <c r="H15" s="1324"/>
      <c r="I15" s="1324"/>
      <c r="J15" s="1324"/>
      <c r="K15" s="1324"/>
      <c r="L15" s="1349"/>
      <c r="M15" s="1331"/>
      <c r="N15" s="1331"/>
      <c r="P15" s="1326"/>
      <c r="Q15" s="1327"/>
      <c r="R15" s="1326"/>
      <c r="S15" s="1332"/>
      <c r="T15" s="1335" t="s">
        <v>438</v>
      </c>
      <c r="U15" s="1334"/>
      <c r="V15" s="1334"/>
      <c r="W15" s="1334"/>
      <c r="X15" s="1334"/>
      <c r="Y15" s="1334"/>
      <c r="Z15" s="1334"/>
      <c r="AA15" s="1334"/>
      <c r="AB15" s="1334"/>
      <c r="AC15" s="1334"/>
      <c r="AD15" s="1334"/>
      <c r="AE15" s="1334"/>
      <c r="AF15" s="1334"/>
      <c r="AG15" s="1334"/>
      <c r="AH15" s="1334"/>
      <c r="AI15" s="1334"/>
      <c r="AJ15" s="1334"/>
      <c r="AK15" s="1334"/>
      <c r="AL15" s="1334"/>
      <c r="AM15" s="1334"/>
      <c r="AO15" s="799"/>
      <c r="AP15" s="799" t="str">
        <f>IF(T15="","",T15)</f>
        <v>Добавить территорию для дифференциации</v>
      </c>
      <c r="AQ15" s="799"/>
      <c r="AR15" s="799"/>
      <c r="AS15" s="528">
        <v>0</v>
      </c>
    </row>
    <row customHeight="1" ht="14.25" hidden="1">
      <c r="AC16" s="337"/>
      <c r="AK16" s="337"/>
      <c r="AS16" s="1165">
        <v>0</v>
      </c>
    </row>
    <row customHeight="1" ht="14.25" hidden="1">
      <c r="P17" s="1321"/>
      <c r="AD17" s="1370"/>
      <c r="AE17" s="1370"/>
      <c r="AF17" s="1370"/>
      <c r="AG17" s="1371"/>
      <c r="AH17" s="2277"/>
      <c r="AI17" s="2278" t="s">
        <v>66</v>
      </c>
      <c r="AJ17" s="2277"/>
      <c r="AK17" s="2278" t="s">
        <v>66</v>
      </c>
      <c r="AS17" s="1165">
        <v>0</v>
      </c>
    </row>
    <row customHeight="1" ht="14.25" hidden="1">
      <c r="P18" s="1321"/>
      <c r="AD18" s="1370"/>
      <c r="AE18" s="1370"/>
      <c r="AF18" s="1370"/>
      <c r="AG18" s="338" t="str">
        <f>AH17&amp;"-"&amp;AJ17</f>
        <v>-</v>
      </c>
      <c r="AH18" s="2278"/>
      <c r="AI18" s="2278"/>
      <c r="AJ18" s="2278"/>
      <c r="AK18" s="2278"/>
      <c r="AS18" s="1165">
        <v>0</v>
      </c>
    </row>
    <row customHeight="1" ht="14.25" hidden="1">
      <c r="P19" s="1321"/>
      <c r="AK19" s="337"/>
      <c r="AS19" s="1165">
        <v>0</v>
      </c>
    </row>
    <row s="1376" customFormat="1" customHeight="1" ht="22.5" hidden="1">
      <c r="L20" s="1339"/>
      <c r="M20" s="1372"/>
      <c r="N20" s="1372"/>
      <c r="O20" s="1377" t="s">
        <v>439</v>
      </c>
      <c r="P20" s="1372"/>
      <c r="Q20" s="1381"/>
      <c r="R20" s="1381"/>
      <c r="S20" s="739"/>
      <c r="Z20" s="1377"/>
      <c r="AB20" s="1377"/>
      <c r="AC20" s="1376"/>
      <c r="AH20" s="1377"/>
      <c r="AJ20" s="1377"/>
      <c r="AK20" s="1376"/>
      <c r="AN20" s="521"/>
      <c r="AO20" s="521"/>
      <c r="AP20" s="521"/>
      <c r="AQ20" s="521"/>
      <c r="AR20" s="521"/>
      <c r="AS20" s="1170">
        <v>0</v>
      </c>
    </row>
    <row s="1376" customFormat="1" customHeight="1" ht="14.25" hidden="1">
      <c r="L21" s="1339"/>
      <c r="M21" s="1372"/>
      <c r="N21" s="1372"/>
      <c r="O21" s="1372"/>
      <c r="P21" s="1372"/>
      <c r="Q21" s="1381"/>
      <c r="R21" s="1381"/>
      <c r="S21" s="739"/>
      <c r="AC21" s="1376"/>
      <c r="AK21" s="1376"/>
      <c r="AN21" s="521"/>
      <c r="AO21" s="521"/>
      <c r="AP21" s="521"/>
      <c r="AQ21" s="521"/>
      <c r="AR21" s="521"/>
      <c r="AS21" s="1170">
        <v>0</v>
      </c>
    </row>
    <row s="1376" customFormat="1" customHeight="1" ht="14.25" hidden="1">
      <c r="L22" s="1339"/>
      <c r="M22" s="1372"/>
      <c r="N22" s="1372"/>
      <c r="O22" s="1374" t="s">
        <v>440</v>
      </c>
      <c r="P22" s="1372"/>
      <c r="Q22" s="1381"/>
      <c r="R22" s="1381"/>
      <c r="S22" s="739"/>
      <c r="T22" s="1170" t="s">
        <v>441</v>
      </c>
      <c r="AA22" s="196" t="s">
        <v>442</v>
      </c>
      <c r="AC22" s="196" t="s">
        <v>443</v>
      </c>
      <c r="AD22" s="1170" t="s">
        <v>441</v>
      </c>
      <c r="AI22" s="196" t="s">
        <v>444</v>
      </c>
      <c r="AK22" s="196" t="s">
        <v>443</v>
      </c>
      <c r="AN22" s="521"/>
      <c r="AO22" s="521"/>
      <c r="AP22" s="521"/>
      <c r="AQ22" s="521"/>
      <c r="AR22" s="521"/>
      <c r="AS22" s="1170">
        <v>0</v>
      </c>
    </row>
    <row customHeight="1" ht="14.25" hidden="1">
      <c r="O23" s="1374"/>
      <c r="P23" s="1321"/>
      <c r="AS23" s="1165">
        <v>0</v>
      </c>
    </row>
    <row customHeight="1" ht="14.25" hidden="1">
      <c r="O24" s="1374"/>
      <c r="P24" s="1321"/>
      <c r="AS24" s="1165">
        <v>0</v>
      </c>
    </row>
    <row customHeight="1" ht="14.699999999999998">
      <c r="Q25" s="386"/>
      <c r="R25" s="386"/>
      <c r="S25" s="1285"/>
      <c r="T25" s="373"/>
      <c r="U25" s="373"/>
      <c r="V25" s="519"/>
      <c r="W25" s="519"/>
      <c r="X25" s="519"/>
      <c r="Y25" s="519"/>
      <c r="Z25" s="519"/>
      <c r="AA25" s="519"/>
      <c r="AB25" s="519"/>
      <c r="AC25" s="519"/>
      <c r="AD25" s="519"/>
      <c r="AE25" s="519"/>
      <c r="AF25" s="519"/>
      <c r="AG25" s="519"/>
      <c r="AH25" s="519"/>
      <c r="AI25" s="519"/>
      <c r="AJ25" s="519"/>
      <c r="AK25" s="519"/>
      <c r="AS25" s="1165">
        <v>14</v>
      </c>
    </row>
    <row customHeight="1" ht="14.699999999999998">
      <c r="Q26" s="386"/>
      <c r="R26" s="386"/>
      <c r="S26" s="225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8"/>
      <c r="U26" s="2258"/>
      <c r="V26" s="2258"/>
      <c r="W26" s="2258"/>
      <c r="X26" s="2258"/>
      <c r="Y26" s="2258"/>
      <c r="Z26" s="2258"/>
      <c r="AA26" s="2258"/>
      <c r="AB26" s="2258"/>
      <c r="AC26" s="2258"/>
      <c r="AD26" s="2258"/>
      <c r="AE26" s="2258"/>
      <c r="AF26" s="2258"/>
      <c r="AG26" s="2258"/>
      <c r="AH26" s="2258"/>
      <c r="AI26" s="2258"/>
      <c r="AJ26" s="2258"/>
      <c r="AK26" s="1253"/>
      <c r="AS26" s="1165">
        <v>14</v>
      </c>
    </row>
    <row customHeight="1" ht="14.699999999999998">
      <c r="Q27" s="386"/>
      <c r="R27" s="386"/>
      <c r="S27" s="2259" t="str">
        <f>IF(org=0,"Не определено",org)</f>
        <v>АО «ДГК» СП «Нерюнгринская ГРЭС»</v>
      </c>
      <c r="T27" s="2259"/>
      <c r="U27" s="2259"/>
      <c r="V27" s="2259"/>
      <c r="W27" s="2259"/>
      <c r="X27" s="2259"/>
      <c r="Y27" s="2259"/>
      <c r="Z27" s="2259"/>
      <c r="AA27" s="2259"/>
      <c r="AB27" s="2259"/>
      <c r="AC27" s="2259"/>
      <c r="AD27" s="2259"/>
      <c r="AE27" s="2259"/>
      <c r="AF27" s="2259"/>
      <c r="AG27" s="2259"/>
      <c r="AH27" s="2259"/>
      <c r="AI27" s="2259"/>
      <c r="AJ27" s="2259"/>
      <c r="AK27" s="1253"/>
      <c r="AS27" s="1165">
        <v>14</v>
      </c>
    </row>
    <row customHeight="1" ht="14.25" hidden="1">
      <c r="Q28" s="386"/>
      <c r="R28" s="386"/>
      <c r="S28" s="1285"/>
      <c r="T28" s="373"/>
      <c r="U28" s="373"/>
      <c r="V28" s="332"/>
      <c r="W28" s="332"/>
      <c r="X28" s="332"/>
      <c r="Y28" s="332"/>
      <c r="Z28" s="332"/>
      <c r="AA28" s="332"/>
      <c r="AB28" s="332"/>
      <c r="AC28" s="332"/>
      <c r="AD28" s="332"/>
      <c r="AE28" s="332"/>
      <c r="AF28" s="332"/>
      <c r="AG28" s="332"/>
      <c r="AH28" s="332"/>
      <c r="AI28" s="332"/>
      <c r="AJ28" s="332"/>
      <c r="AK28" s="332"/>
      <c r="AL28" s="519"/>
      <c r="AS28" s="1165">
        <v>0</v>
      </c>
    </row>
    <row s="1863" customFormat="1" customHeight="1" ht="25.5" hidden="1">
      <c r="A29" s="1378"/>
      <c r="B29" s="1378"/>
      <c r="C29" s="1378"/>
      <c r="D29" s="1378"/>
      <c r="E29" s="1378"/>
      <c r="F29" s="1378"/>
      <c r="G29" s="1378"/>
      <c r="H29" s="1378"/>
      <c r="I29" s="1378"/>
      <c r="J29" s="1378"/>
      <c r="K29" s="1378"/>
      <c r="L29" s="1379"/>
      <c r="M29" s="1378"/>
      <c r="N29" s="1378"/>
      <c r="O29" s="1378"/>
      <c r="S29" s="2260" t="s">
        <v>42</v>
      </c>
      <c r="T29" s="2260"/>
      <c r="U29" s="1382"/>
      <c r="V29" s="2261" t="str">
        <f>IF(TITLE_NAME_OR_PR_CHANGE="",IF(TITLE_NAME_OR_PR="","",TITLE_NAME_OR_PR),TITLE_NAME_OR_PR_CHANGE)</f>
        <v/>
      </c>
      <c r="W29" s="2261"/>
      <c r="X29" s="2261"/>
      <c r="Y29" s="2261"/>
      <c r="Z29" s="2261"/>
      <c r="AA29" s="2261"/>
      <c r="AB29" s="2261"/>
      <c r="AC29" s="336"/>
      <c r="AD29" s="2261" t="str">
        <f>IF(TITLE_NAME_OR_PR_CHANGE="",IF(TITLE_NAME_OR_PR="","",TITLE_NAME_OR_PR),TITLE_NAME_OR_PR_CHANGE)</f>
        <v/>
      </c>
      <c r="AE29" s="2261"/>
      <c r="AF29" s="2261"/>
      <c r="AG29" s="2261"/>
      <c r="AH29" s="2261"/>
      <c r="AI29" s="2261"/>
      <c r="AJ29" s="2261"/>
      <c r="AK29" s="336"/>
      <c r="AL29" s="336"/>
      <c r="AM29" s="290"/>
      <c r="AN29" s="378"/>
      <c r="AO29" s="378"/>
      <c r="AP29" s="378"/>
      <c r="AQ29" s="378"/>
      <c r="AR29" s="378"/>
      <c r="AS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445</v>
      </c>
      <c r="T30" s="2260"/>
      <c r="U30" s="1382"/>
      <c r="V30" s="2274" t="str">
        <f>IF(TITLE_DATE_PR_CHANGE="",IF(TITLE_DATE_PR="","",TITLE_DATE_PR),TITLE_DATE_PR_CHANGE)</f>
        <v/>
      </c>
      <c r="W30" s="2274"/>
      <c r="X30" s="2274"/>
      <c r="Y30" s="2274"/>
      <c r="Z30" s="2274"/>
      <c r="AA30" s="2274"/>
      <c r="AB30" s="2274"/>
      <c r="AC30" s="336"/>
      <c r="AD30" s="2274" t="str">
        <f>IF(TITLE_DATE_PR_CHANGE="",IF(TITLE_DATE_PR="","",TITLE_DATE_PR),TITLE_DATE_PR_CHANGE)</f>
        <v/>
      </c>
      <c r="AE30" s="2274"/>
      <c r="AF30" s="2274"/>
      <c r="AG30" s="2274"/>
      <c r="AH30" s="2274"/>
      <c r="AI30" s="2274"/>
      <c r="AJ30" s="2274"/>
      <c r="AK30" s="336"/>
      <c r="AL30" s="336"/>
      <c r="AM30" s="290"/>
      <c r="AN30" s="378"/>
      <c r="AO30" s="378"/>
      <c r="AP30" s="378"/>
      <c r="AQ30" s="378"/>
      <c r="AR30" s="378"/>
      <c r="AS30" s="428">
        <v>0</v>
      </c>
    </row>
    <row s="1863" customFormat="1" customHeight="1" ht="18.75" hidden="1">
      <c r="A31" s="1378"/>
      <c r="B31" s="1378"/>
      <c r="C31" s="1378"/>
      <c r="D31" s="1378"/>
      <c r="E31" s="1378"/>
      <c r="F31" s="1378"/>
      <c r="G31" s="1378"/>
      <c r="H31" s="1378"/>
      <c r="I31" s="1378"/>
      <c r="J31" s="1378"/>
      <c r="K31" s="1378"/>
      <c r="L31" s="1379"/>
      <c r="M31" s="1378"/>
      <c r="N31" s="1378"/>
      <c r="O31" s="1378"/>
      <c r="S31" s="2260" t="s">
        <v>446</v>
      </c>
      <c r="T31" s="2260"/>
      <c r="U31" s="1382"/>
      <c r="V31" s="2261" t="str">
        <f>IF(TITLE_NUMBER_PR_CHANGE="",IF(TITLE_NUMBER_PR="","",TITLE_NUMBER_PR),TITLE_NUMBER_PR_CHANGE)</f>
        <v/>
      </c>
      <c r="W31" s="2261"/>
      <c r="X31" s="2261"/>
      <c r="Y31" s="2261"/>
      <c r="Z31" s="2261"/>
      <c r="AA31" s="2261"/>
      <c r="AB31" s="2261"/>
      <c r="AC31" s="336"/>
      <c r="AD31" s="2261" t="str">
        <f>IF(TITLE_NUMBER_PR_CHANGE="",IF(TITLE_NUMBER_PR="","",TITLE_NUMBER_PR),TITLE_NUMBER_PR_CHANGE)</f>
        <v/>
      </c>
      <c r="AE31" s="2261"/>
      <c r="AF31" s="2261"/>
      <c r="AG31" s="2261"/>
      <c r="AH31" s="2261"/>
      <c r="AI31" s="2261"/>
      <c r="AJ31" s="2261"/>
      <c r="AK31" s="336"/>
      <c r="AL31" s="336"/>
      <c r="AM31" s="290"/>
      <c r="AN31" s="378"/>
      <c r="AO31" s="378"/>
      <c r="AP31" s="378"/>
      <c r="AQ31" s="378"/>
      <c r="AR31" s="378"/>
      <c r="AS31" s="428">
        <v>0</v>
      </c>
    </row>
    <row s="1863" customFormat="1" customHeight="1" ht="18.75" hidden="1">
      <c r="A32" s="1378"/>
      <c r="B32" s="1378"/>
      <c r="C32" s="1378"/>
      <c r="D32" s="1378"/>
      <c r="E32" s="1378"/>
      <c r="F32" s="1378"/>
      <c r="G32" s="1378"/>
      <c r="H32" s="1378"/>
      <c r="I32" s="1378"/>
      <c r="J32" s="1378"/>
      <c r="K32" s="1378"/>
      <c r="L32" s="1379"/>
      <c r="M32" s="1378"/>
      <c r="N32" s="1378"/>
      <c r="O32" s="1378"/>
      <c r="S32" s="2260" t="s">
        <v>43</v>
      </c>
      <c r="T32" s="2260"/>
      <c r="U32" s="1382"/>
      <c r="V32" s="2261" t="str">
        <f>IF(TITLE_IST_PUB_CHANGE="",IF(TITLE_IST_PUB="","",TITLE_IST_PUB),TITLE_IST_PUB_CHANGE)</f>
        <v/>
      </c>
      <c r="W32" s="2261"/>
      <c r="X32" s="2261"/>
      <c r="Y32" s="2261"/>
      <c r="Z32" s="2261"/>
      <c r="AA32" s="2261"/>
      <c r="AB32" s="2261"/>
      <c r="AC32" s="336"/>
      <c r="AD32" s="2261" t="str">
        <f>IF(TITLE_IST_PUB_CHANGE="",IF(TITLE_IST_PUB="","",TITLE_IST_PUB),TITLE_IST_PUB_CHANGE)</f>
        <v/>
      </c>
      <c r="AE32" s="2261"/>
      <c r="AF32" s="2261"/>
      <c r="AG32" s="2261"/>
      <c r="AH32" s="2261"/>
      <c r="AI32" s="2261"/>
      <c r="AJ32" s="2261"/>
      <c r="AK32" s="336"/>
      <c r="AL32" s="336"/>
      <c r="AM32" s="290"/>
      <c r="AN32" s="378"/>
      <c r="AO32" s="378"/>
      <c r="AP32" s="378"/>
      <c r="AQ32" s="378"/>
      <c r="AR32" s="378"/>
      <c r="AS32" s="428">
        <v>0</v>
      </c>
    </row>
    <row customHeight="1" ht="14.25" hidden="1">
      <c r="P33" s="1338"/>
      <c r="Q33" s="386"/>
      <c r="R33" s="386"/>
      <c r="S33" s="1285"/>
      <c r="T33" s="373"/>
      <c r="U33" s="373"/>
      <c r="V33" s="332"/>
      <c r="W33" s="332"/>
      <c r="X33" s="332"/>
      <c r="Y33" s="332"/>
      <c r="Z33" s="332"/>
      <c r="AA33" s="332"/>
      <c r="AB33" s="332"/>
      <c r="AC33" s="332"/>
      <c r="AD33" s="332"/>
      <c r="AE33" s="332"/>
      <c r="AF33" s="332"/>
      <c r="AG33" s="332"/>
      <c r="AH33" s="332"/>
      <c r="AI33" s="332"/>
      <c r="AJ33" s="332"/>
      <c r="AK33" s="332"/>
      <c r="AL33" s="519"/>
      <c r="AS33" s="1165">
        <v>0</v>
      </c>
    </row>
    <row s="1863" customFormat="1" customHeight="1" ht="18.75" hidden="1">
      <c r="A34" s="1378"/>
      <c r="B34" s="1378"/>
      <c r="C34" s="1378"/>
      <c r="D34" s="1378"/>
      <c r="E34" s="1378"/>
      <c r="F34" s="1378"/>
      <c r="G34" s="1378"/>
      <c r="H34" s="1378"/>
      <c r="I34" s="1378"/>
      <c r="J34" s="1378"/>
      <c r="K34" s="1378"/>
      <c r="L34" s="1379"/>
      <c r="M34" s="1378"/>
      <c r="N34" s="1378"/>
      <c r="O34" s="1378"/>
      <c r="S34" s="2260" t="s">
        <v>447</v>
      </c>
      <c r="T34" s="2260"/>
      <c r="U34" s="1382"/>
      <c r="V34" s="2274" t="str">
        <f>IF(TITLE_DATE_PR_CHANGE="",IF(TITLE_DATE_PR="","",TITLE_DATE_PR),TITLE_DATE_PR_CHANGE)</f>
        <v/>
      </c>
      <c r="W34" s="2274"/>
      <c r="X34" s="2274"/>
      <c r="Y34" s="2274"/>
      <c r="Z34" s="2274"/>
      <c r="AA34" s="2274"/>
      <c r="AB34" s="2274"/>
      <c r="AC34" s="336"/>
      <c r="AD34" s="2274" t="str">
        <f>IF(TITLE_DATE_PR_CHANGE="",IF(TITLE_DATE_PR="","",TITLE_DATE_PR),TITLE_DATE_PR_CHANGE)</f>
        <v/>
      </c>
      <c r="AE34" s="2274"/>
      <c r="AF34" s="2274"/>
      <c r="AG34" s="2274"/>
      <c r="AH34" s="2274"/>
      <c r="AI34" s="2274"/>
      <c r="AJ34" s="2274"/>
      <c r="AK34" s="336"/>
      <c r="AL34" s="336"/>
      <c r="AM34" s="290"/>
      <c r="AN34" s="378"/>
      <c r="AO34" s="378"/>
      <c r="AP34" s="378"/>
      <c r="AQ34" s="378"/>
      <c r="AR34" s="378"/>
      <c r="AS34" s="428">
        <v>0</v>
      </c>
    </row>
    <row s="1863" customFormat="1" customHeight="1" ht="18.75" hidden="1">
      <c r="A35" s="1378"/>
      <c r="B35" s="1378"/>
      <c r="C35" s="1378"/>
      <c r="D35" s="1378"/>
      <c r="E35" s="1378"/>
      <c r="F35" s="1378"/>
      <c r="G35" s="1378"/>
      <c r="H35" s="1378"/>
      <c r="I35" s="1378"/>
      <c r="J35" s="1378"/>
      <c r="K35" s="1378"/>
      <c r="L35" s="1379"/>
      <c r="M35" s="1378"/>
      <c r="N35" s="1378"/>
      <c r="O35" s="1378"/>
      <c r="S35" s="2260" t="s">
        <v>448</v>
      </c>
      <c r="T35" s="2260"/>
      <c r="U35" s="1382"/>
      <c r="V35" s="2261" t="str">
        <f>IF(TITLE_NUMBER_PR_CHANGE="",IF(TITLE_NUMBER_PR="","",TITLE_NUMBER_PR),TITLE_NUMBER_PR_CHANGE)</f>
        <v/>
      </c>
      <c r="W35" s="2261"/>
      <c r="X35" s="2261"/>
      <c r="Y35" s="2261"/>
      <c r="Z35" s="2261"/>
      <c r="AA35" s="2261"/>
      <c r="AB35" s="2261"/>
      <c r="AC35" s="336"/>
      <c r="AD35" s="2261" t="str">
        <f>IF(TITLE_NUMBER_PR_CHANGE="",IF(TITLE_NUMBER_PR="","",TITLE_NUMBER_PR),TITLE_NUMBER_PR_CHANGE)</f>
        <v/>
      </c>
      <c r="AE35" s="2261"/>
      <c r="AF35" s="2261"/>
      <c r="AG35" s="2261"/>
      <c r="AH35" s="2261"/>
      <c r="AI35" s="2261"/>
      <c r="AJ35" s="2261"/>
      <c r="AK35" s="336"/>
      <c r="AL35" s="336"/>
      <c r="AM35" s="290"/>
      <c r="AN35" s="378"/>
      <c r="AO35" s="378"/>
      <c r="AP35" s="378"/>
      <c r="AQ35" s="378"/>
      <c r="AR35" s="378"/>
      <c r="AS35" s="428">
        <v>0</v>
      </c>
    </row>
    <row s="1863" customFormat="1" customHeight="1" ht="0">
      <c r="A36" s="1378"/>
      <c r="B36" s="1378"/>
      <c r="C36" s="1378"/>
      <c r="D36" s="1378"/>
      <c r="E36" s="1378"/>
      <c r="F36" s="1378"/>
      <c r="G36" s="1378"/>
      <c r="H36" s="1378"/>
      <c r="I36" s="1378"/>
      <c r="J36" s="1378"/>
      <c r="K36" s="1378"/>
      <c r="L36" s="1379"/>
      <c r="M36" s="1378"/>
      <c r="N36" s="1378"/>
      <c r="O36" s="1378"/>
      <c r="S36" s="333"/>
      <c r="T36" s="333"/>
      <c r="U36" s="1229"/>
      <c r="V36" s="336"/>
      <c r="W36" s="336"/>
      <c r="X36" s="336"/>
      <c r="Y36" s="336"/>
      <c r="Z36" s="336"/>
      <c r="AA36" s="336"/>
      <c r="AB36" s="336"/>
      <c r="AC36" s="288" t="s">
        <v>449</v>
      </c>
      <c r="AD36" s="336"/>
      <c r="AE36" s="336"/>
      <c r="AF36" s="336"/>
      <c r="AG36" s="336"/>
      <c r="AH36" s="336"/>
      <c r="AI36" s="336"/>
      <c r="AJ36" s="336"/>
      <c r="AK36" s="288" t="s">
        <v>449</v>
      </c>
      <c r="AN36" s="378"/>
      <c r="AO36" s="378"/>
      <c r="AP36" s="378"/>
      <c r="AQ36" s="378"/>
      <c r="AR36" s="378"/>
      <c r="AS36" s="428">
        <v>0</v>
      </c>
    </row>
    <row customHeight="1" ht="14.699999999999998">
      <c r="Q37" s="386"/>
      <c r="R37" s="386"/>
      <c r="S37" s="1285"/>
      <c r="T37" s="373"/>
      <c r="U37" s="1254"/>
      <c r="V37" s="2262"/>
      <c r="W37" s="2262"/>
      <c r="X37" s="2262"/>
      <c r="Y37" s="2262"/>
      <c r="Z37" s="2262"/>
      <c r="AA37" s="2262"/>
      <c r="AB37" s="2262"/>
      <c r="AC37" s="2262"/>
      <c r="AD37" s="2262"/>
      <c r="AE37" s="2262"/>
      <c r="AF37" s="2262"/>
      <c r="AG37" s="2262"/>
      <c r="AH37" s="2262"/>
      <c r="AI37" s="2262"/>
      <c r="AJ37" s="2262"/>
      <c r="AK37" s="2262"/>
      <c r="AS37" s="1165">
        <v>14</v>
      </c>
    </row>
    <row customHeight="1" ht="14.699999999999998">
      <c r="Q38" s="386"/>
      <c r="R38" s="386"/>
      <c r="S38" s="2137" t="s">
        <v>322</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323</v>
      </c>
      <c r="AS38" s="1165">
        <v>14</v>
      </c>
    </row>
    <row customHeight="1" ht="14.699999999999998">
      <c r="Q39" s="386"/>
      <c r="R39" s="386"/>
      <c r="S39" s="2283" t="s">
        <v>88</v>
      </c>
      <c r="T39" s="2219" t="s">
        <v>450</v>
      </c>
      <c r="U39" s="311"/>
      <c r="V39" s="2284" t="s">
        <v>451</v>
      </c>
      <c r="W39" s="2285"/>
      <c r="X39" s="2285"/>
      <c r="Y39" s="2285"/>
      <c r="Z39" s="2285"/>
      <c r="AA39" s="2285"/>
      <c r="AB39" s="2286"/>
      <c r="AC39" s="2287" t="s">
        <v>452</v>
      </c>
      <c r="AD39" s="2284" t="s">
        <v>451</v>
      </c>
      <c r="AE39" s="2285"/>
      <c r="AF39" s="2285"/>
      <c r="AG39" s="2285"/>
      <c r="AH39" s="2285"/>
      <c r="AI39" s="2285"/>
      <c r="AJ39" s="2286"/>
      <c r="AK39" s="2287" t="s">
        <v>453</v>
      </c>
      <c r="AL39" s="2290" t="s">
        <v>454</v>
      </c>
      <c r="AM39" s="2137"/>
      <c r="AS39" s="1165">
        <v>14</v>
      </c>
    </row>
    <row customHeight="1" ht="35.699999999999996">
      <c r="Q40" s="386"/>
      <c r="R40" s="386"/>
      <c r="S40" s="2283"/>
      <c r="T40" s="2219"/>
      <c r="U40" s="1041"/>
      <c r="V40" s="2270" t="s">
        <v>455</v>
      </c>
      <c r="W40" s="2620" t="s">
        <v>456</v>
      </c>
      <c r="X40" s="2272" t="s">
        <v>457</v>
      </c>
      <c r="Y40" s="2273"/>
      <c r="Z40" s="2272" t="s">
        <v>458</v>
      </c>
      <c r="AA40" s="2279"/>
      <c r="AB40" s="2273"/>
      <c r="AC40" s="2288"/>
      <c r="AD40" s="2270" t="s">
        <v>455</v>
      </c>
      <c r="AE40" s="2293" t="s">
        <v>456</v>
      </c>
      <c r="AF40" s="2272" t="s">
        <v>457</v>
      </c>
      <c r="AG40" s="2273"/>
      <c r="AH40" s="2272" t="s">
        <v>458</v>
      </c>
      <c r="AI40" s="2279"/>
      <c r="AJ40" s="2273"/>
      <c r="AK40" s="2288"/>
      <c r="AL40" s="2291"/>
      <c r="AM40" s="2137"/>
      <c r="AS40" s="1165">
        <v>34</v>
      </c>
    </row>
    <row customHeight="1" ht="35.699999999999996">
      <c r="A41" s="1380"/>
      <c r="B41" s="1380" t="s">
        <v>159</v>
      </c>
      <c r="C41" s="1380" t="s">
        <v>160</v>
      </c>
      <c r="D41" s="1380" t="s">
        <v>161</v>
      </c>
      <c r="E41" s="1374" t="s">
        <v>459</v>
      </c>
      <c r="F41" s="1374" t="s">
        <v>460</v>
      </c>
      <c r="G41" s="1374" t="s">
        <v>461</v>
      </c>
      <c r="H41" s="1374" t="s">
        <v>462</v>
      </c>
      <c r="I41" s="1374" t="s">
        <v>463</v>
      </c>
      <c r="J41" s="1374" t="s">
        <v>464</v>
      </c>
      <c r="K41" s="1374" t="s">
        <v>465</v>
      </c>
      <c r="L41" s="1374" t="s">
        <v>440</v>
      </c>
      <c r="Q41" s="386"/>
      <c r="R41" s="386"/>
      <c r="S41" s="2283"/>
      <c r="T41" s="2219"/>
      <c r="U41" s="312"/>
      <c r="V41" s="2271"/>
      <c r="W41" s="2294"/>
      <c r="X41" s="1232" t="s">
        <v>466</v>
      </c>
      <c r="Y41" s="1232" t="s">
        <v>467</v>
      </c>
      <c r="Z41" s="1231" t="s">
        <v>468</v>
      </c>
      <c r="AA41" s="2280" t="s">
        <v>469</v>
      </c>
      <c r="AB41" s="2281"/>
      <c r="AC41" s="2289"/>
      <c r="AD41" s="2271"/>
      <c r="AE41" s="2294"/>
      <c r="AF41" s="1232" t="s">
        <v>466</v>
      </c>
      <c r="AG41" s="1232" t="s">
        <v>467</v>
      </c>
      <c r="AH41" s="1323" t="s">
        <v>468</v>
      </c>
      <c r="AI41" s="2280" t="s">
        <v>469</v>
      </c>
      <c r="AJ41" s="2281"/>
      <c r="AK41" s="2289"/>
      <c r="AL41" s="2292"/>
      <c r="AM41" s="2137"/>
      <c r="AS41" s="1165">
        <v>34</v>
      </c>
    </row>
    <row s="1651" customFormat="1" customHeight="1" ht="11.25" hidden="1">
      <c r="A42" s="1380"/>
      <c r="B42" s="1380"/>
      <c r="C42" s="1380"/>
      <c r="D42" s="1380"/>
      <c r="E42" s="1380"/>
      <c r="F42" s="1380"/>
      <c r="G42" s="1380"/>
      <c r="H42" s="1380"/>
      <c r="I42" s="1380"/>
      <c r="J42" s="1380"/>
      <c r="K42" s="1380"/>
      <c r="L42" s="1374"/>
      <c r="M42" s="1372"/>
      <c r="N42" s="1372"/>
      <c r="O42" s="1372"/>
      <c r="P42" s="1256"/>
      <c r="Q42" s="1257"/>
      <c r="R42" s="1264">
        <v>1</v>
      </c>
      <c r="S42" s="1287" t="s">
        <v>124</v>
      </c>
      <c r="T42" s="1265" t="s">
        <v>104</v>
      </c>
      <c r="U42" s="1255" t="str">
        <f>OFFSET(U42,0,-1)</f>
        <v>2</v>
      </c>
      <c r="V42" s="1266">
        <f>OFFSET(V42,0,-1)+1</f>
        <v>3</v>
      </c>
      <c r="W42" s="1266"/>
      <c r="X42" s="1266">
        <f>OFFSET(X42,0,-1)+1</f>
        <v>1</v>
      </c>
      <c r="Y42" s="1266">
        <f>OFFSET(Y42,0,-1)+1</f>
        <v>2</v>
      </c>
      <c r="Z42" s="1266">
        <f>OFFSET(Z42,0,-1)+1</f>
        <v>3</v>
      </c>
      <c r="AA42" s="2282">
        <f>OFFSET(AA42,0,-1)+1</f>
        <v>4</v>
      </c>
      <c r="AB42" s="2282"/>
      <c r="AC42" s="1266">
        <f>OFFSET(AC42,0,-2)+1</f>
        <v>5</v>
      </c>
      <c r="AD42" s="1322">
        <f>OFFSET(AD42,0,-1)+1</f>
        <v>6</v>
      </c>
      <c r="AE42" s="1322"/>
      <c r="AF42" s="1322">
        <f>OFFSET(AF42,0,-1)+1</f>
        <v>1</v>
      </c>
      <c r="AG42" s="1322">
        <f>OFFSET(AG42,0,-1)+1</f>
        <v>2</v>
      </c>
      <c r="AH42" s="1322">
        <f>OFFSET(AH42,0,-1)+1</f>
        <v>3</v>
      </c>
      <c r="AI42" s="2282">
        <f>OFFSET(AI42,0,-1)+1</f>
        <v>4</v>
      </c>
      <c r="AJ42" s="2282"/>
      <c r="AK42" s="1322">
        <f>OFFSET(AK42,0,-2)+1</f>
        <v>5</v>
      </c>
      <c r="AL42" s="1255">
        <f>OFFSET(AL42,0,-1)</f>
        <v>5</v>
      </c>
      <c r="AM42" s="1266">
        <f>OFFSET(AM42,0,-1)+1</f>
        <v>6</v>
      </c>
      <c r="AN42" s="521"/>
      <c r="AO42" s="521"/>
      <c r="AP42" s="521"/>
      <c r="AQ42" s="521"/>
      <c r="AR42" s="521"/>
      <c r="AS42" s="506">
        <v>0</v>
      </c>
    </row>
    <row customHeight="1" ht="24">
      <c r="A43" s="1373" t="s">
        <v>180</v>
      </c>
      <c r="B43" s="1373"/>
      <c r="C43" s="1373"/>
      <c r="D43" s="1373"/>
      <c r="E43" s="2268">
        <v>1</v>
      </c>
      <c r="F43" s="1373"/>
      <c r="G43" s="1373"/>
      <c r="H43" s="1373"/>
      <c r="I43" s="1373"/>
      <c r="J43" s="1373"/>
      <c r="K43" s="1373"/>
      <c r="L43" s="1374"/>
      <c r="M43" s="1375"/>
      <c r="N43" s="1375"/>
      <c r="O43" s="1375"/>
      <c r="P43" s="371"/>
      <c r="Q43" s="370"/>
      <c r="R43" s="365"/>
      <c r="S43" s="1234">
        <f>INDEX(PT_DIFFERENTIATION_NUM_NTAR,MATCH(A43,PT_DIFFERENTIATION_NTAR_ID,0))</f>
        <v>0</v>
      </c>
      <c r="T43" s="308" t="s">
        <v>147</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0"/>
      <c r="AP43" s="510" t="str">
        <f>IF(T43="","",T43)</f>
        <v>Наименование тарифа</v>
      </c>
      <c r="AQ43" s="510"/>
      <c r="AR43" s="510"/>
      <c r="AS43" s="1165">
        <v>23</v>
      </c>
    </row>
    <row customHeight="1" ht="24">
      <c r="A44" s="1373" t="s">
        <v>180</v>
      </c>
      <c r="B44" s="1373" t="s">
        <v>181</v>
      </c>
      <c r="C44" s="1373"/>
      <c r="D44" s="1373"/>
      <c r="E44" s="2269"/>
      <c r="F44" s="2268">
        <v>1</v>
      </c>
      <c r="G44" s="1373"/>
      <c r="H44" s="1373"/>
      <c r="I44" s="1373"/>
      <c r="J44" s="1373"/>
      <c r="K44" s="1373"/>
      <c r="L44" s="1374"/>
      <c r="M44" s="1375"/>
      <c r="N44" s="1375"/>
      <c r="O44" s="1375"/>
      <c r="P44" s="532"/>
      <c r="Q44" s="362"/>
      <c r="R44" s="363"/>
      <c r="S44" s="1234" t="str">
        <f>INDEX(PT_DIFFERENTIATION_NUM_TER,MATCH(B44,PT_DIFFERENTIATION_TER_ID,0))</f>
        <v>.</v>
      </c>
      <c r="T44" s="318" t="s">
        <v>419</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420</v>
      </c>
      <c r="AO44" s="510"/>
      <c r="AP44" s="510" t="str">
        <f>IF(T44="","",T44)</f>
        <v>Территория действия тарифа</v>
      </c>
      <c r="AQ44" s="510"/>
      <c r="AR44" s="510"/>
      <c r="AS44" s="1165">
        <v>23</v>
      </c>
    </row>
    <row customHeight="1" ht="24">
      <c r="A45" s="1373" t="s">
        <v>180</v>
      </c>
      <c r="B45" s="1373" t="s">
        <v>181</v>
      </c>
      <c r="C45" s="1373" t="s">
        <v>182</v>
      </c>
      <c r="D45" s="1373"/>
      <c r="E45" s="2269"/>
      <c r="F45" s="2269"/>
      <c r="G45" s="2268">
        <v>1</v>
      </c>
      <c r="H45" s="1373"/>
      <c r="I45" s="1373"/>
      <c r="J45" s="1373"/>
      <c r="K45" s="1373"/>
      <c r="L45" s="1374"/>
      <c r="M45" s="1375"/>
      <c r="N45" s="1375"/>
      <c r="O45" s="1375"/>
      <c r="P45" s="364"/>
      <c r="Q45" s="362"/>
      <c r="R45" s="363"/>
      <c r="S45" s="1234" t="str">
        <f>INDEX(PT_DIFFERENTIATION_NUM_CS,MATCH(C45,PT_DIFFERENTIATION_CS_ID,0))</f>
        <v>..</v>
      </c>
      <c r="T45" s="319" t="s">
        <v>421</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422</v>
      </c>
      <c r="AO45" s="510"/>
      <c r="AP45" s="510" t="str">
        <f>IF(T45="","",T45)</f>
        <v>Наименование системы теплоснабжения </v>
      </c>
      <c r="AQ45" s="510"/>
      <c r="AR45" s="510"/>
      <c r="AS45" s="1165">
        <v>23</v>
      </c>
    </row>
    <row customHeight="1" ht="24">
      <c r="A46" s="1373" t="s">
        <v>180</v>
      </c>
      <c r="B46" s="1373" t="s">
        <v>181</v>
      </c>
      <c r="C46" s="1373" t="s">
        <v>182</v>
      </c>
      <c r="D46" s="1373" t="s">
        <v>183</v>
      </c>
      <c r="E46" s="2269"/>
      <c r="F46" s="2269"/>
      <c r="G46" s="2269"/>
      <c r="H46" s="2268">
        <v>1</v>
      </c>
      <c r="I46" s="1373"/>
      <c r="J46" s="1373"/>
      <c r="K46" s="1373"/>
      <c r="L46" s="1374"/>
      <c r="M46" s="1375"/>
      <c r="N46" s="1375"/>
      <c r="O46" s="1375"/>
      <c r="P46" s="364"/>
      <c r="Q46" s="362"/>
      <c r="R46" s="363"/>
      <c r="S46" s="1234" t="str">
        <f>INDEX(PT_DIFFERENTIATION_NUM_IST_TE,MATCH(D46,PT_DIFFERENTIATION_IST_TE_ID,0))</f>
        <v>...</v>
      </c>
      <c r="T46" s="320" t="s">
        <v>423</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424</v>
      </c>
      <c r="AO46" s="510"/>
      <c r="AP46" s="510" t="str">
        <f>IF(T46="","",T46)</f>
        <v>Источник тепловой энергии  </v>
      </c>
      <c r="AQ46" s="510"/>
      <c r="AR46" s="510"/>
      <c r="AS46" s="1165">
        <v>23</v>
      </c>
    </row>
    <row customHeight="1" ht="49.5">
      <c r="A47" s="1373" t="s">
        <v>180</v>
      </c>
      <c r="B47" s="1373" t="s">
        <v>181</v>
      </c>
      <c r="C47" s="1373" t="s">
        <v>182</v>
      </c>
      <c r="D47" s="1373" t="s">
        <v>183</v>
      </c>
      <c r="E47" s="2269"/>
      <c r="F47" s="2269"/>
      <c r="G47" s="2269"/>
      <c r="H47" s="2269"/>
      <c r="I47" s="2266" t="str">
        <f>S46&amp;".1"</f>
        <v>....1</v>
      </c>
      <c r="J47" s="1373"/>
      <c r="K47" s="1373"/>
      <c r="L47" s="1374" t="s">
        <v>425</v>
      </c>
      <c r="P47" s="2267">
        <v>1</v>
      </c>
      <c r="Q47" s="1230"/>
      <c r="R47" s="366"/>
      <c r="S47" s="1234" t="str">
        <f>$I47</f>
        <v>....1</v>
      </c>
      <c r="T47" s="295" t="s">
        <v>426</v>
      </c>
      <c r="U47" s="310"/>
      <c r="V47" s="2255"/>
      <c r="W47" s="2256"/>
      <c r="X47" s="2256"/>
      <c r="Y47" s="2256"/>
      <c r="Z47" s="2256"/>
      <c r="AA47" s="2256"/>
      <c r="AB47" s="2256"/>
      <c r="AC47" s="2257"/>
      <c r="AD47" s="2255"/>
      <c r="AE47" s="2256"/>
      <c r="AF47" s="2256"/>
      <c r="AG47" s="2256"/>
      <c r="AH47" s="2256"/>
      <c r="AI47" s="2256"/>
      <c r="AJ47" s="2256"/>
      <c r="AK47" s="2256"/>
      <c r="AL47" s="2257"/>
      <c r="AM47" s="1268" t="s">
        <v>427</v>
      </c>
      <c r="AO47" s="510"/>
      <c r="AP47" s="510" t="str">
        <f>IF(T47="","",T47)</f>
        <v>Схема подключения теплопотребляющей установки к коллектору источника тепловой энергии</v>
      </c>
      <c r="AQ47" s="510"/>
      <c r="AR47" s="510"/>
      <c r="AS47" s="1165">
        <v>47</v>
      </c>
    </row>
    <row customHeight="1" ht="24">
      <c r="A48" s="1373" t="s">
        <v>180</v>
      </c>
      <c r="B48" s="1373" t="s">
        <v>181</v>
      </c>
      <c r="C48" s="1373" t="s">
        <v>182</v>
      </c>
      <c r="D48" s="1373" t="s">
        <v>183</v>
      </c>
      <c r="E48" s="2269"/>
      <c r="F48" s="2269"/>
      <c r="G48" s="2269"/>
      <c r="H48" s="2269"/>
      <c r="I48" s="2296"/>
      <c r="J48" s="2266" t="str">
        <f>I47&amp;".1"</f>
        <v>....1.1</v>
      </c>
      <c r="K48" s="1373"/>
      <c r="L48" s="1374" t="s">
        <v>428</v>
      </c>
      <c r="P48" s="2267"/>
      <c r="Q48" s="2267">
        <v>1</v>
      </c>
      <c r="R48" s="367"/>
      <c r="S48" s="1234" t="str">
        <f>$J48</f>
        <v>....1.1</v>
      </c>
      <c r="T48" s="296" t="s">
        <v>429</v>
      </c>
      <c r="U48" s="310"/>
      <c r="V48" s="2255"/>
      <c r="W48" s="2256"/>
      <c r="X48" s="2256"/>
      <c r="Y48" s="2256"/>
      <c r="Z48" s="2256"/>
      <c r="AA48" s="2256"/>
      <c r="AB48" s="2256"/>
      <c r="AC48" s="2257"/>
      <c r="AD48" s="2255"/>
      <c r="AE48" s="2256"/>
      <c r="AF48" s="2256"/>
      <c r="AG48" s="2256"/>
      <c r="AH48" s="2256"/>
      <c r="AI48" s="2256"/>
      <c r="AJ48" s="2256"/>
      <c r="AK48" s="2256"/>
      <c r="AL48" s="2257"/>
      <c r="AM48" s="1268" t="s">
        <v>430</v>
      </c>
      <c r="AO48" s="510"/>
      <c r="AP48" s="510" t="str">
        <f>IF(T48="","",T48)</f>
        <v>Группа потребителей</v>
      </c>
      <c r="AQ48" s="510"/>
      <c r="AR48" s="510"/>
      <c r="AS48" s="1165">
        <v>23</v>
      </c>
    </row>
    <row customHeight="1" ht="24">
      <c r="A49" s="1373" t="s">
        <v>180</v>
      </c>
      <c r="B49" s="1373" t="s">
        <v>181</v>
      </c>
      <c r="C49" s="1373" t="s">
        <v>182</v>
      </c>
      <c r="D49" s="1373" t="s">
        <v>183</v>
      </c>
      <c r="E49" s="2269"/>
      <c r="F49" s="2269"/>
      <c r="G49" s="2269"/>
      <c r="H49" s="2269"/>
      <c r="I49" s="2296"/>
      <c r="J49" s="2296"/>
      <c r="K49" s="2266" t="str">
        <f>J48&amp;".1"</f>
        <v>....1.1.1</v>
      </c>
      <c r="L49" s="1374" t="s">
        <v>431</v>
      </c>
      <c r="P49" s="2267"/>
      <c r="Q49" s="2267"/>
      <c r="R49" s="367">
        <v>1</v>
      </c>
      <c r="S49" s="1234" t="str">
        <f>$K49</f>
        <v>....1.1.1</v>
      </c>
      <c r="T49" s="1357"/>
      <c r="U49" s="310"/>
      <c r="V49" s="761"/>
      <c r="W49" s="335"/>
      <c r="X49" s="761"/>
      <c r="Y49" s="1267"/>
      <c r="Z49" s="2275"/>
      <c r="AA49" s="2117" t="s">
        <v>66</v>
      </c>
      <c r="AB49" s="2275"/>
      <c r="AC49" s="2117" t="s">
        <v>66</v>
      </c>
      <c r="AD49" s="761"/>
      <c r="AE49" s="335"/>
      <c r="AF49" s="761"/>
      <c r="AG49" s="1267"/>
      <c r="AH49" s="2275"/>
      <c r="AI49" s="2117" t="s">
        <v>66</v>
      </c>
      <c r="AJ49" s="2297"/>
      <c r="AK49" s="2117" t="s">
        <v>66</v>
      </c>
      <c r="AL49" s="1358"/>
      <c r="AM49" s="2263" t="s">
        <v>432</v>
      </c>
      <c r="AN49" s="521">
        <f>STRCHECKDATE(V50:AL50)</f>
      </c>
      <c r="AO49" s="510"/>
      <c r="AP49" s="510" t="str">
        <f>IF(T49="","",T49)</f>
        <v/>
      </c>
      <c r="AQ49" s="510"/>
      <c r="AR49" s="510"/>
      <c r="AS49" s="1165">
        <v>23</v>
      </c>
    </row>
    <row customHeight="1" ht="1.05">
      <c r="A50" s="1373" t="s">
        <v>180</v>
      </c>
      <c r="B50" s="1373" t="s">
        <v>181</v>
      </c>
      <c r="C50" s="1373" t="s">
        <v>182</v>
      </c>
      <c r="D50" s="1373" t="s">
        <v>183</v>
      </c>
      <c r="E50" s="2269"/>
      <c r="F50" s="2269"/>
      <c r="G50" s="2269"/>
      <c r="H50" s="2269"/>
      <c r="I50" s="2296"/>
      <c r="J50" s="2296"/>
      <c r="K50" s="2266"/>
      <c r="L50" s="1374"/>
      <c r="P50" s="2267"/>
      <c r="Q50" s="2267"/>
      <c r="R50" s="367"/>
      <c r="S50" s="1233"/>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510"/>
      <c r="AP50" s="510" t="str">
        <f>IF(T50="","",T50)</f>
        <v/>
      </c>
      <c r="AQ50" s="510"/>
      <c r="AR50" s="510"/>
      <c r="AS50" s="1165">
        <v>1</v>
      </c>
    </row>
    <row customHeight="1" ht="11.549999999999999">
      <c r="A51" s="1373" t="s">
        <v>180</v>
      </c>
      <c r="B51" s="1373" t="s">
        <v>181</v>
      </c>
      <c r="C51" s="1373" t="s">
        <v>182</v>
      </c>
      <c r="D51" s="1373" t="s">
        <v>183</v>
      </c>
      <c r="E51" s="2269"/>
      <c r="F51" s="2269"/>
      <c r="G51" s="2269"/>
      <c r="H51" s="2269"/>
      <c r="I51" s="2296"/>
      <c r="J51" s="2266"/>
      <c r="K51" s="1373"/>
      <c r="L51" s="1374"/>
      <c r="P51" s="2267"/>
      <c r="Q51" s="2267"/>
      <c r="R51" s="366"/>
      <c r="S51" s="1288"/>
      <c r="T51" s="298" t="s">
        <v>433</v>
      </c>
      <c r="U51" s="377"/>
      <c r="V51" s="377"/>
      <c r="W51" s="377"/>
      <c r="X51" s="377"/>
      <c r="Y51" s="377"/>
      <c r="Z51" s="377"/>
      <c r="AA51" s="377"/>
      <c r="AB51" s="377"/>
      <c r="AC51" s="377"/>
      <c r="AD51" s="377"/>
      <c r="AE51" s="377"/>
      <c r="AF51" s="377"/>
      <c r="AG51" s="377"/>
      <c r="AH51" s="377"/>
      <c r="AI51" s="377"/>
      <c r="AJ51" s="377"/>
      <c r="AK51" s="377"/>
      <c r="AL51" s="334"/>
      <c r="AM51" s="2265"/>
      <c r="AO51" s="510"/>
      <c r="AP51" s="510" t="str">
        <f>IF(T51="","",T51)</f>
        <v>Добавить вид теплоносителя (параметры теплоносителя)</v>
      </c>
      <c r="AQ51" s="510"/>
      <c r="AR51" s="510"/>
      <c r="AS51" s="1165">
        <v>11</v>
      </c>
    </row>
    <row customHeight="1" ht="11.549999999999999">
      <c r="A52" s="1373" t="s">
        <v>180</v>
      </c>
      <c r="B52" s="1373" t="s">
        <v>181</v>
      </c>
      <c r="C52" s="1373" t="s">
        <v>182</v>
      </c>
      <c r="D52" s="1373" t="s">
        <v>183</v>
      </c>
      <c r="E52" s="2269"/>
      <c r="F52" s="2269"/>
      <c r="G52" s="2269"/>
      <c r="H52" s="2269"/>
      <c r="I52" s="2266"/>
      <c r="J52" s="1373"/>
      <c r="K52" s="1373"/>
      <c r="L52" s="1374"/>
      <c r="P52" s="2267"/>
      <c r="Q52" s="1230"/>
      <c r="R52" s="366"/>
      <c r="S52" s="1288"/>
      <c r="T52" s="297" t="s">
        <v>434</v>
      </c>
      <c r="U52" s="377"/>
      <c r="V52" s="377"/>
      <c r="W52" s="377"/>
      <c r="X52" s="377"/>
      <c r="Y52" s="377"/>
      <c r="Z52" s="377"/>
      <c r="AA52" s="377"/>
      <c r="AB52" s="377"/>
      <c r="AC52" s="376"/>
      <c r="AD52" s="377"/>
      <c r="AE52" s="377"/>
      <c r="AF52" s="377"/>
      <c r="AG52" s="377"/>
      <c r="AH52" s="377"/>
      <c r="AI52" s="377"/>
      <c r="AJ52" s="377"/>
      <c r="AK52" s="376"/>
      <c r="AL52" s="377"/>
      <c r="AM52" s="313"/>
      <c r="AO52" s="510"/>
      <c r="AP52" s="510" t="str">
        <f>IF(T52="","",T52)</f>
        <v>Добавить группу потребителей</v>
      </c>
      <c r="AQ52" s="510"/>
      <c r="AR52" s="510"/>
      <c r="AS52" s="1165">
        <v>11</v>
      </c>
    </row>
    <row customHeight="1" ht="14.699999999999998">
      <c r="A53" s="1373" t="s">
        <v>180</v>
      </c>
      <c r="B53" s="1373" t="s">
        <v>181</v>
      </c>
      <c r="C53" s="1373" t="s">
        <v>182</v>
      </c>
      <c r="D53" s="1373" t="s">
        <v>183</v>
      </c>
      <c r="E53" s="2269"/>
      <c r="F53" s="2269"/>
      <c r="G53" s="2269"/>
      <c r="H53" s="2268"/>
      <c r="I53" s="1373"/>
      <c r="J53" s="1373"/>
      <c r="K53" s="1373"/>
      <c r="L53" s="1374"/>
      <c r="M53" s="1375"/>
      <c r="N53" s="1375"/>
      <c r="O53" s="547"/>
      <c r="P53" s="370"/>
      <c r="Q53" s="385"/>
      <c r="R53" s="365"/>
      <c r="S53" s="1288"/>
      <c r="T53" s="375" t="s">
        <v>435</v>
      </c>
      <c r="U53" s="377"/>
      <c r="V53" s="377"/>
      <c r="W53" s="377"/>
      <c r="X53" s="377"/>
      <c r="Y53" s="377"/>
      <c r="Z53" s="377"/>
      <c r="AA53" s="377"/>
      <c r="AB53" s="377"/>
      <c r="AC53" s="376"/>
      <c r="AD53" s="377"/>
      <c r="AE53" s="377"/>
      <c r="AF53" s="377"/>
      <c r="AG53" s="377"/>
      <c r="AH53" s="377"/>
      <c r="AI53" s="377"/>
      <c r="AJ53" s="377"/>
      <c r="AK53" s="376"/>
      <c r="AL53" s="377"/>
      <c r="AM53" s="313"/>
      <c r="AO53" s="510"/>
      <c r="AP53" s="510" t="str">
        <f>IF(T53="","",T53)</f>
        <v>Добавить схему подключения</v>
      </c>
      <c r="AQ53" s="510"/>
      <c r="AR53" s="510"/>
      <c r="AS53" s="1165">
        <v>14</v>
      </c>
    </row>
    <row s="1652" customFormat="1" customHeight="1" ht="1.05">
      <c r="A54" s="1353" t="s">
        <v>180</v>
      </c>
      <c r="B54" s="1353" t="s">
        <v>181</v>
      </c>
      <c r="C54" s="1353" t="s">
        <v>182</v>
      </c>
      <c r="D54" s="1324"/>
      <c r="E54" s="2269"/>
      <c r="F54" s="2269"/>
      <c r="G54" s="2268"/>
      <c r="H54" s="1324"/>
      <c r="I54" s="1324"/>
      <c r="J54" s="1324"/>
      <c r="K54" s="1324"/>
      <c r="L54" s="1349"/>
      <c r="M54" s="1325"/>
      <c r="N54" s="1325"/>
      <c r="P54" s="1326"/>
      <c r="Q54" s="1327"/>
      <c r="R54" s="1326"/>
      <c r="S54" s="1332"/>
      <c r="T54" s="1335" t="s">
        <v>436</v>
      </c>
      <c r="U54" s="1334"/>
      <c r="V54" s="1334"/>
      <c r="W54" s="1334"/>
      <c r="X54" s="1334"/>
      <c r="Y54" s="1334"/>
      <c r="Z54" s="1334"/>
      <c r="AA54" s="1334"/>
      <c r="AB54" s="1334"/>
      <c r="AC54" s="1334"/>
      <c r="AD54" s="1334"/>
      <c r="AE54" s="1334"/>
      <c r="AF54" s="1334"/>
      <c r="AG54" s="1334"/>
      <c r="AH54" s="1334"/>
      <c r="AI54" s="1334"/>
      <c r="AJ54" s="1334"/>
      <c r="AK54" s="1334"/>
      <c r="AL54" s="1334"/>
      <c r="AM54" s="1334"/>
      <c r="AO54" s="799"/>
      <c r="AP54" s="799" t="str">
        <f>IF(T54="","",T54)</f>
        <v>Добавить источник для дифференциации</v>
      </c>
      <c r="AQ54" s="799"/>
      <c r="AR54" s="799"/>
      <c r="AS54" s="528">
        <v>1</v>
      </c>
    </row>
    <row s="1652" customFormat="1" customHeight="1" ht="1.05">
      <c r="A55" s="1353" t="s">
        <v>180</v>
      </c>
      <c r="B55" s="1353" t="s">
        <v>181</v>
      </c>
      <c r="C55" s="1324"/>
      <c r="D55" s="1324"/>
      <c r="E55" s="2269"/>
      <c r="F55" s="2268"/>
      <c r="G55" s="1324"/>
      <c r="H55" s="1324"/>
      <c r="I55" s="1324"/>
      <c r="J55" s="1324"/>
      <c r="K55" s="1324"/>
      <c r="L55" s="1349"/>
      <c r="M55" s="1331"/>
      <c r="N55" s="1331"/>
      <c r="P55" s="1326"/>
      <c r="Q55" s="1327"/>
      <c r="R55" s="1326"/>
      <c r="S55" s="1332"/>
      <c r="T55" s="1335" t="s">
        <v>437</v>
      </c>
      <c r="U55" s="1334"/>
      <c r="V55" s="1334"/>
      <c r="W55" s="1334"/>
      <c r="X55" s="1334"/>
      <c r="Y55" s="1334"/>
      <c r="Z55" s="1334"/>
      <c r="AA55" s="1334"/>
      <c r="AB55" s="1334"/>
      <c r="AC55" s="1334"/>
      <c r="AD55" s="1334"/>
      <c r="AE55" s="1334"/>
      <c r="AF55" s="1334"/>
      <c r="AG55" s="1334"/>
      <c r="AH55" s="1334"/>
      <c r="AI55" s="1334"/>
      <c r="AJ55" s="1334"/>
      <c r="AK55" s="1334"/>
      <c r="AL55" s="1334"/>
      <c r="AM55" s="1334"/>
      <c r="AO55" s="799"/>
      <c r="AP55" s="799" t="str">
        <f>IF(T55="","",T55)</f>
        <v>Добавить централизованную систему для дифференциации</v>
      </c>
      <c r="AQ55" s="799"/>
      <c r="AR55" s="799"/>
      <c r="AS55" s="528">
        <v>1</v>
      </c>
    </row>
    <row s="1652" customFormat="1" customHeight="1" ht="1.05">
      <c r="A56" s="1353" t="s">
        <v>180</v>
      </c>
      <c r="B56" s="1353"/>
      <c r="C56" s="1353"/>
      <c r="D56" s="1353"/>
      <c r="E56" s="2268"/>
      <c r="F56" s="1353"/>
      <c r="G56" s="1353"/>
      <c r="H56" s="1353"/>
      <c r="I56" s="1353"/>
      <c r="J56" s="1353"/>
      <c r="K56" s="1353"/>
      <c r="L56" s="1356"/>
      <c r="M56" s="1331"/>
      <c r="N56" s="1331"/>
      <c r="O56" s="528"/>
      <c r="P56" s="390"/>
      <c r="Q56" s="1354"/>
      <c r="R56" s="390"/>
      <c r="S56" s="1332"/>
      <c r="T56" s="1335" t="s">
        <v>438</v>
      </c>
      <c r="U56" s="1334"/>
      <c r="V56" s="1334"/>
      <c r="W56" s="1334"/>
      <c r="X56" s="1334"/>
      <c r="Y56" s="1334"/>
      <c r="Z56" s="1334"/>
      <c r="AA56" s="1334"/>
      <c r="AB56" s="1334"/>
      <c r="AC56" s="1334"/>
      <c r="AD56" s="1334"/>
      <c r="AE56" s="1334"/>
      <c r="AF56" s="1334"/>
      <c r="AG56" s="1334"/>
      <c r="AH56" s="1334"/>
      <c r="AI56" s="1334"/>
      <c r="AJ56" s="1334"/>
      <c r="AK56" s="1334"/>
      <c r="AL56" s="1334"/>
      <c r="AM56" s="1334"/>
      <c r="AO56" s="510"/>
      <c r="AP56" s="510" t="str">
        <f>IF(T56="","",T56)</f>
        <v>Добавить территорию для дифференциации</v>
      </c>
      <c r="AQ56" s="510"/>
      <c r="AR56" s="510"/>
      <c r="AS56" s="521">
        <v>1</v>
      </c>
    </row>
    <row s="1652" customFormat="1" customHeight="1" ht="1.05">
      <c r="A57" s="1324"/>
      <c r="B57" s="1324"/>
      <c r="C57" s="1324"/>
      <c r="D57" s="1324"/>
      <c r="E57" s="1353"/>
      <c r="F57" s="1324"/>
      <c r="G57" s="1324"/>
      <c r="H57" s="1324"/>
      <c r="I57" s="1324"/>
      <c r="J57" s="1324"/>
      <c r="K57" s="1324"/>
      <c r="L57" s="1349"/>
      <c r="M57" s="1331"/>
      <c r="N57" s="1331"/>
      <c r="P57" s="1326"/>
      <c r="Q57" s="1327"/>
      <c r="R57" s="1326"/>
      <c r="S57" s="1332"/>
      <c r="T57" s="1335" t="s">
        <v>470</v>
      </c>
      <c r="U57" s="1334"/>
      <c r="V57" s="1334"/>
      <c r="W57" s="1334"/>
      <c r="X57" s="1334"/>
      <c r="Y57" s="1334"/>
      <c r="Z57" s="1334"/>
      <c r="AA57" s="1334"/>
      <c r="AB57" s="1334"/>
      <c r="AC57" s="1334"/>
      <c r="AD57" s="1334"/>
      <c r="AE57" s="1334"/>
      <c r="AF57" s="1334"/>
      <c r="AG57" s="1334"/>
      <c r="AH57" s="1334"/>
      <c r="AI57" s="1334"/>
      <c r="AJ57" s="1334"/>
      <c r="AK57" s="1334"/>
      <c r="AL57" s="1334"/>
      <c r="AM57" s="1334"/>
      <c r="AO57" s="799"/>
      <c r="AP57" s="799" t="str">
        <f>IF(T57="","",T57)</f>
        <v>Добавить наименование тарифа</v>
      </c>
      <c r="AQ57" s="799"/>
      <c r="AR57" s="799"/>
      <c r="AS57" s="528">
        <v>1</v>
      </c>
    </row>
    <row customHeight="1" ht="11.549999999999999">
      <c r="M58" s="1170"/>
      <c r="N58" s="1170"/>
      <c r="O58" s="547"/>
      <c r="P58" s="1165"/>
      <c r="Q58" s="1165"/>
      <c r="R58" s="1165"/>
      <c r="S58" s="1165"/>
      <c r="AN58" s="1165"/>
      <c r="AO58" s="1165"/>
      <c r="AP58" s="1165"/>
      <c r="AQ58" s="1165"/>
      <c r="AR58" s="1165"/>
      <c r="AS58" s="1165">
        <v>11</v>
      </c>
    </row>
    <row customHeight="1" ht="28.5">
      <c r="O59" s="547"/>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165">
        <v>27</v>
      </c>
    </row>
    <row customHeight="1" ht="67.2">
      <c r="O60" s="547"/>
      <c r="P60" s="1313"/>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165">
        <v>64</v>
      </c>
    </row>
    <row customHeight="1" ht="14.699999999999998">
      <c r="O61" s="547"/>
      <c r="AS61" s="1165">
        <v>14</v>
      </c>
    </row>
    <row customHeight="1" ht="18.75">
      <c r="O62" s="547"/>
      <c r="P62" s="1338"/>
      <c r="S62" s="1263"/>
      <c r="T62" s="2295"/>
      <c r="U62" s="2295"/>
      <c r="V62" s="2295"/>
      <c r="W62" s="2295"/>
      <c r="X62" s="2295"/>
      <c r="Y62" s="2295"/>
      <c r="Z62" s="2295"/>
      <c r="AA62" s="2295"/>
      <c r="AB62" s="2295"/>
      <c r="AC62" s="2295"/>
      <c r="AD62" s="2295"/>
      <c r="AE62" s="2295"/>
      <c r="AF62" s="2295"/>
      <c r="AG62" s="2295"/>
      <c r="AH62" s="2295"/>
      <c r="AI62" s="2295"/>
      <c r="AJ62" s="2295"/>
      <c r="AK62" s="2295"/>
      <c r="AL62" s="2295"/>
      <c r="AM62" s="2295"/>
      <c r="AS62" s="1165">
        <v>18</v>
      </c>
    </row>
    <row customHeight="1" ht="18.75">
      <c r="O63" s="547"/>
      <c r="P63" s="1338"/>
      <c r="T63" s="2295"/>
      <c r="U63" s="2295"/>
      <c r="V63" s="2295"/>
      <c r="W63" s="2295"/>
      <c r="X63" s="2295"/>
      <c r="Y63" s="2295"/>
      <c r="Z63" s="2295"/>
      <c r="AA63" s="2295"/>
      <c r="AB63" s="2295"/>
      <c r="AC63" s="2295"/>
      <c r="AD63" s="2295"/>
      <c r="AE63" s="2295"/>
      <c r="AF63" s="2295"/>
      <c r="AG63" s="2295"/>
      <c r="AH63" s="2295"/>
      <c r="AI63" s="2295"/>
      <c r="AJ63" s="2295"/>
      <c r="AK63" s="2295"/>
      <c r="AL63" s="2295"/>
      <c r="AM63" s="2295"/>
      <c r="AS63" s="1165">
        <v>18</v>
      </c>
    </row>
    <row customHeight="1" ht="29.25">
      <c r="O64" s="547"/>
      <c r="P64" s="1338"/>
      <c r="S64" s="1263"/>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165">
        <v>28</v>
      </c>
    </row>
    <row customHeight="1" ht="22.5" hidden="1">
      <c r="A65" s="1170" t="s">
        <v>82</v>
      </c>
      <c r="B65" s="1170">
        <v>0</v>
      </c>
      <c r="C65" s="1170">
        <v>0</v>
      </c>
      <c r="D65" s="1170">
        <v>0</v>
      </c>
      <c r="E65" s="1170">
        <v>0</v>
      </c>
      <c r="F65" s="1170">
        <v>0</v>
      </c>
      <c r="G65" s="1170">
        <v>0</v>
      </c>
      <c r="H65" s="1170">
        <v>0</v>
      </c>
      <c r="I65" s="1170">
        <v>0</v>
      </c>
      <c r="J65" s="1170">
        <v>0</v>
      </c>
      <c r="K65" s="1170">
        <v>0</v>
      </c>
      <c r="L65" s="1339">
        <v>0</v>
      </c>
      <c r="M65" s="1372">
        <v>0</v>
      </c>
      <c r="N65" s="1372">
        <v>0</v>
      </c>
      <c r="O65" s="1372">
        <v>0</v>
      </c>
      <c r="P65" s="1228">
        <v>3</v>
      </c>
      <c r="Q65" s="354">
        <v>3</v>
      </c>
      <c r="R65" s="354">
        <v>3</v>
      </c>
      <c r="S65" s="591">
        <v>12</v>
      </c>
      <c r="T65" s="1165">
        <v>35</v>
      </c>
      <c r="U65" s="1165">
        <v>0</v>
      </c>
      <c r="V65" s="1165">
        <v>0</v>
      </c>
      <c r="W65" s="1165">
        <v>0</v>
      </c>
      <c r="X65" s="1165">
        <v>0</v>
      </c>
      <c r="Y65" s="1165">
        <v>0</v>
      </c>
      <c r="Z65" s="1165">
        <v>0</v>
      </c>
      <c r="AA65" s="1165">
        <v>0</v>
      </c>
      <c r="AB65" s="1165">
        <v>0</v>
      </c>
      <c r="AC65" s="1165">
        <v>0</v>
      </c>
      <c r="AD65" s="1165">
        <v>24</v>
      </c>
      <c r="AE65" s="1165">
        <v>0</v>
      </c>
      <c r="AF65" s="1165">
        <v>24</v>
      </c>
      <c r="AG65" s="1165">
        <v>24</v>
      </c>
      <c r="AH65" s="1165">
        <v>11</v>
      </c>
      <c r="AI65" s="1165">
        <v>3</v>
      </c>
      <c r="AJ65" s="1165">
        <v>11</v>
      </c>
      <c r="AK65" s="1165">
        <v>0</v>
      </c>
      <c r="AL65" s="1165">
        <v>4</v>
      </c>
      <c r="AM65" s="1165">
        <v>115</v>
      </c>
      <c r="AN65" s="521">
        <v>10</v>
      </c>
      <c r="AO65" s="521">
        <v>10</v>
      </c>
      <c r="AP65" s="521">
        <v>10</v>
      </c>
      <c r="AQ65" s="521">
        <v>10</v>
      </c>
      <c r="AR65" s="521">
        <v>10</v>
      </c>
      <c r="AS65" s="1165">
        <v>23</v>
      </c>
    </row>
  </sheetData>
  <sheetProtection sheet="1" formatColumns="0" formatRows="0" autoFilter="0" sort="1" insertRows="1" insertColumns="1" deleteRows="1" deleteColumns="1"/>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47129C-7E49-FE35-4AB3-0.246052DA}"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1.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Y1" s="337"/>
      <c r="Z1" s="337"/>
      <c r="AG1" s="337"/>
      <c r="AH1" s="337"/>
      <c r="AS1" s="1165" t="s">
        <v>14</v>
      </c>
    </row>
    <row customHeight="1" ht="21" hidden="1">
      <c r="A2" s="1373"/>
      <c r="B2" s="1373"/>
      <c r="C2" s="1373"/>
      <c r="D2" s="1373"/>
      <c r="E2" s="2268">
        <v>1</v>
      </c>
      <c r="F2" s="1373"/>
      <c r="G2" s="1373"/>
      <c r="H2" s="1373"/>
      <c r="I2" s="1373"/>
      <c r="J2" s="1373"/>
      <c r="K2" s="1373"/>
      <c r="L2" s="1374"/>
      <c r="M2" s="1375"/>
      <c r="N2" s="1375"/>
      <c r="O2" s="1375"/>
      <c r="P2" s="371"/>
      <c r="Q2" s="370"/>
      <c r="R2" s="365"/>
      <c r="S2" s="1346">
        <f>INDEX(PT_DIFFERENTIATION_NUM_NTAR,MATCH(A2,PT_DIFFERENTIATION_NTAR_ID,0))</f>
      </c>
      <c r="T2" s="308" t="s">
        <v>147</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418</v>
      </c>
      <c r="AO2" s="510"/>
      <c r="AP2" s="510" t="str">
        <f>IF(T2="","",T2)</f>
        <v>Наименование тарифа</v>
      </c>
      <c r="AQ2" s="510"/>
      <c r="AR2" s="510"/>
      <c r="AS2" s="1165">
        <v>0</v>
      </c>
    </row>
    <row customHeight="1" ht="21" hidden="1">
      <c r="A3" s="1373"/>
      <c r="B3" s="1373"/>
      <c r="C3" s="1373"/>
      <c r="D3" s="1373"/>
      <c r="E3" s="2269"/>
      <c r="F3" s="2268">
        <v>1</v>
      </c>
      <c r="G3" s="1373"/>
      <c r="H3" s="1373"/>
      <c r="I3" s="1373"/>
      <c r="J3" s="1373"/>
      <c r="K3" s="1373"/>
      <c r="L3" s="1374"/>
      <c r="M3" s="1375"/>
      <c r="N3" s="1375"/>
      <c r="O3" s="1375"/>
      <c r="P3" s="1342"/>
      <c r="Q3" s="362"/>
      <c r="R3" s="363"/>
      <c r="S3" s="1346">
        <f>INDEX(PT_DIFFERENTIATION_NUM_TER,MATCH(B3,PT_DIFFERENTIATION_TER_ID,0))</f>
      </c>
      <c r="T3" s="318" t="s">
        <v>419</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420</v>
      </c>
      <c r="AO3" s="510"/>
      <c r="AP3" s="510" t="str">
        <f>IF(T3="","",T3)</f>
        <v>Территория действия тарифа</v>
      </c>
      <c r="AQ3" s="510"/>
      <c r="AR3" s="510"/>
      <c r="AS3" s="1165">
        <v>0</v>
      </c>
    </row>
    <row customHeight="1" ht="23.25" hidden="1">
      <c r="A4" s="1373"/>
      <c r="B4" s="1373"/>
      <c r="C4" s="1373"/>
      <c r="D4" s="1373"/>
      <c r="E4" s="2269"/>
      <c r="F4" s="2269"/>
      <c r="G4" s="2268">
        <v>1</v>
      </c>
      <c r="H4" s="1373"/>
      <c r="I4" s="1373"/>
      <c r="J4" s="1373"/>
      <c r="K4" s="1373"/>
      <c r="L4" s="1374"/>
      <c r="M4" s="1375"/>
      <c r="N4" s="1375"/>
      <c r="O4" s="1375"/>
      <c r="P4" s="364"/>
      <c r="Q4" s="362"/>
      <c r="R4" s="363"/>
      <c r="S4" s="1346">
        <f>INDEX(PT_DIFFERENTIATION_NUM_CS,MATCH(C4,PT_DIFFERENTIATION_CS_ID,0))</f>
      </c>
      <c r="T4" s="319" t="s">
        <v>421</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422</v>
      </c>
      <c r="AO4" s="510"/>
      <c r="AP4" s="510" t="str">
        <f>IF(T4="","",T4)</f>
        <v>Наименование системы теплоснабжения </v>
      </c>
      <c r="AQ4" s="510"/>
      <c r="AR4" s="510"/>
      <c r="AS4" s="1165">
        <v>0</v>
      </c>
    </row>
    <row customHeight="1" ht="21" hidden="1">
      <c r="A5" s="1373"/>
      <c r="B5" s="1373"/>
      <c r="C5" s="1373"/>
      <c r="D5" s="1373"/>
      <c r="E5" s="2269"/>
      <c r="F5" s="2269"/>
      <c r="G5" s="2269"/>
      <c r="H5" s="2268">
        <v>1</v>
      </c>
      <c r="I5" s="1373"/>
      <c r="J5" s="1373"/>
      <c r="K5" s="1373"/>
      <c r="L5" s="1374"/>
      <c r="M5" s="1375"/>
      <c r="N5" s="1375"/>
      <c r="O5" s="1375"/>
      <c r="P5" s="364"/>
      <c r="Q5" s="362"/>
      <c r="R5" s="363"/>
      <c r="S5" s="1346">
        <f>INDEX(PT_DIFFERENTIATION_NUM_IST_TE,MATCH(D5,PT_DIFFERENTIATION_IST_TE_ID,0))</f>
      </c>
      <c r="T5" s="320" t="s">
        <v>423</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424</v>
      </c>
      <c r="AO5" s="510"/>
      <c r="AP5" s="510" t="str">
        <f>IF(T5="","",T5)</f>
        <v>Источник тепловой энергии  </v>
      </c>
      <c r="AQ5" s="510"/>
      <c r="AR5" s="510"/>
      <c r="AS5" s="1165">
        <v>0</v>
      </c>
    </row>
    <row customHeight="1" ht="47.25" hidden="1">
      <c r="A6" s="1373"/>
      <c r="B6" s="1373"/>
      <c r="C6" s="1373"/>
      <c r="D6" s="1373"/>
      <c r="E6" s="2269"/>
      <c r="F6" s="2269"/>
      <c r="G6" s="2269"/>
      <c r="H6" s="2269"/>
      <c r="I6" s="2266">
        <f>S5&amp;".1"</f>
      </c>
      <c r="J6" s="1373"/>
      <c r="K6" s="1373"/>
      <c r="L6" s="1374" t="s">
        <v>425</v>
      </c>
      <c r="M6" s="547"/>
      <c r="P6" s="2267">
        <v>1</v>
      </c>
      <c r="Q6" s="1341"/>
      <c r="R6" s="366"/>
      <c r="S6" s="1346">
        <f>$I6</f>
      </c>
      <c r="T6" s="295" t="s">
        <v>426</v>
      </c>
      <c r="U6" s="310"/>
      <c r="V6" s="2255"/>
      <c r="W6" s="2256"/>
      <c r="X6" s="2256"/>
      <c r="Y6" s="2256"/>
      <c r="Z6" s="2256"/>
      <c r="AA6" s="2256"/>
      <c r="AB6" s="2256"/>
      <c r="AC6" s="2257"/>
      <c r="AD6" s="2255"/>
      <c r="AE6" s="2256"/>
      <c r="AF6" s="2256"/>
      <c r="AG6" s="2256"/>
      <c r="AH6" s="2256"/>
      <c r="AI6" s="2256"/>
      <c r="AJ6" s="2256"/>
      <c r="AK6" s="2256"/>
      <c r="AL6" s="2257"/>
      <c r="AM6" s="1268" t="s">
        <v>427</v>
      </c>
      <c r="AO6" s="510"/>
      <c r="AP6" s="510" t="str">
        <f>IF(T6="","",T6)</f>
        <v>Схема подключения теплопотребляющей установки к коллектору источника тепловой энергии</v>
      </c>
      <c r="AQ6" s="510"/>
      <c r="AR6" s="510"/>
      <c r="AS6" s="1165">
        <v>0</v>
      </c>
    </row>
    <row customHeight="1" ht="21" hidden="1">
      <c r="A7" s="1373"/>
      <c r="B7" s="1373"/>
      <c r="C7" s="1373"/>
      <c r="D7" s="1373"/>
      <c r="E7" s="2269"/>
      <c r="F7" s="2269"/>
      <c r="G7" s="2269"/>
      <c r="H7" s="2269"/>
      <c r="I7" s="2296"/>
      <c r="J7" s="2266">
        <f>I6&amp;".1"</f>
      </c>
      <c r="K7" s="1373"/>
      <c r="L7" s="1374" t="s">
        <v>428</v>
      </c>
      <c r="M7" s="547"/>
      <c r="N7" s="1376"/>
      <c r="P7" s="2267"/>
      <c r="Q7" s="2267">
        <v>1</v>
      </c>
      <c r="R7" s="367"/>
      <c r="S7" s="1346">
        <f>$J7</f>
      </c>
      <c r="T7" s="296" t="s">
        <v>429</v>
      </c>
      <c r="U7" s="310"/>
      <c r="V7" s="2255"/>
      <c r="W7" s="2256"/>
      <c r="X7" s="2256"/>
      <c r="Y7" s="2256"/>
      <c r="Z7" s="2256"/>
      <c r="AA7" s="2256"/>
      <c r="AB7" s="2256"/>
      <c r="AC7" s="2257"/>
      <c r="AD7" s="2255"/>
      <c r="AE7" s="2256"/>
      <c r="AF7" s="2256"/>
      <c r="AG7" s="2256"/>
      <c r="AH7" s="2256"/>
      <c r="AI7" s="2256"/>
      <c r="AJ7" s="2256"/>
      <c r="AK7" s="2256"/>
      <c r="AL7" s="2257"/>
      <c r="AM7" s="1268" t="s">
        <v>430</v>
      </c>
      <c r="AO7" s="510"/>
      <c r="AP7" s="510" t="str">
        <f>IF(T7="","",T7)</f>
        <v>Группа потребителей</v>
      </c>
      <c r="AQ7" s="510"/>
      <c r="AR7" s="510"/>
      <c r="AS7" s="1165">
        <v>0</v>
      </c>
    </row>
    <row customHeight="1" ht="21" hidden="1">
      <c r="A8" s="1373"/>
      <c r="B8" s="1373"/>
      <c r="C8" s="1373"/>
      <c r="D8" s="1373"/>
      <c r="E8" s="2269"/>
      <c r="F8" s="2269"/>
      <c r="G8" s="2269"/>
      <c r="H8" s="2269"/>
      <c r="I8" s="2296"/>
      <c r="J8" s="2296"/>
      <c r="K8" s="2266">
        <f>J7&amp;".1"</f>
      </c>
      <c r="L8" s="1374" t="s">
        <v>431</v>
      </c>
      <c r="M8" s="547"/>
      <c r="N8" s="1376"/>
      <c r="O8" s="1376"/>
      <c r="P8" s="2267"/>
      <c r="Q8" s="2267"/>
      <c r="R8" s="367">
        <v>1</v>
      </c>
      <c r="S8" s="1346">
        <f>$K8</f>
      </c>
      <c r="T8" s="1357"/>
      <c r="U8" s="310"/>
      <c r="V8" s="761"/>
      <c r="W8" s="335"/>
      <c r="X8" s="761"/>
      <c r="Y8" s="1267"/>
      <c r="Z8" s="2275"/>
      <c r="AA8" s="2117" t="s">
        <v>66</v>
      </c>
      <c r="AB8" s="2275"/>
      <c r="AC8" s="2117" t="s">
        <v>66</v>
      </c>
      <c r="AD8" s="761"/>
      <c r="AE8" s="335"/>
      <c r="AF8" s="761"/>
      <c r="AG8" s="1267"/>
      <c r="AH8" s="2275"/>
      <c r="AI8" s="2117" t="s">
        <v>66</v>
      </c>
      <c r="AJ8" s="2275"/>
      <c r="AK8" s="2117" t="s">
        <v>66</v>
      </c>
      <c r="AL8" s="335"/>
      <c r="AM8" s="2263" t="s">
        <v>432</v>
      </c>
      <c r="AN8" s="521">
        <f>STRCHECKDATE(V9:AL9)</f>
      </c>
      <c r="AO8" s="510"/>
      <c r="AP8" s="510" t="str">
        <f>IF(T8="","",T8)</f>
        <v/>
      </c>
      <c r="AQ8" s="510"/>
      <c r="AR8" s="510"/>
      <c r="AS8" s="1165">
        <v>0</v>
      </c>
    </row>
    <row customHeight="1" ht="0.75" hidden="1">
      <c r="A9" s="1373"/>
      <c r="B9" s="1373"/>
      <c r="C9" s="1373"/>
      <c r="D9" s="1373"/>
      <c r="E9" s="2269"/>
      <c r="F9" s="2269"/>
      <c r="G9" s="2269"/>
      <c r="H9" s="2269"/>
      <c r="I9" s="2296"/>
      <c r="J9" s="2296"/>
      <c r="K9" s="2266"/>
      <c r="L9" s="1374"/>
      <c r="M9" s="547"/>
      <c r="N9" s="1376"/>
      <c r="O9" s="1376"/>
      <c r="P9" s="2267"/>
      <c r="Q9" s="2267"/>
      <c r="R9" s="367"/>
      <c r="S9" s="1352"/>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510"/>
      <c r="AP9" s="510" t="str">
        <f>IF(T9="","",T9)</f>
        <v/>
      </c>
      <c r="AQ9" s="510"/>
      <c r="AR9" s="510"/>
      <c r="AS9" s="1165">
        <v>0</v>
      </c>
    </row>
    <row customHeight="1" ht="15" hidden="1">
      <c r="A10" s="1373"/>
      <c r="B10" s="1373"/>
      <c r="C10" s="1373"/>
      <c r="D10" s="1373"/>
      <c r="E10" s="2269"/>
      <c r="F10" s="2269"/>
      <c r="G10" s="2269"/>
      <c r="H10" s="2269"/>
      <c r="I10" s="2296"/>
      <c r="J10" s="2266"/>
      <c r="K10" s="1373"/>
      <c r="L10" s="1374"/>
      <c r="M10" s="547"/>
      <c r="N10" s="1376"/>
      <c r="P10" s="2267"/>
      <c r="Q10" s="2267"/>
      <c r="R10" s="366"/>
      <c r="S10" s="1288"/>
      <c r="T10" s="298" t="s">
        <v>433</v>
      </c>
      <c r="U10" s="377"/>
      <c r="V10" s="377"/>
      <c r="W10" s="377"/>
      <c r="X10" s="377"/>
      <c r="Y10" s="377"/>
      <c r="Z10" s="377"/>
      <c r="AA10" s="377"/>
      <c r="AB10" s="377"/>
      <c r="AC10" s="377"/>
      <c r="AD10" s="377"/>
      <c r="AE10" s="377"/>
      <c r="AF10" s="377"/>
      <c r="AG10" s="377"/>
      <c r="AH10" s="377"/>
      <c r="AI10" s="377"/>
      <c r="AJ10" s="377"/>
      <c r="AK10" s="377"/>
      <c r="AL10" s="334"/>
      <c r="AM10" s="2265"/>
      <c r="AO10" s="510"/>
      <c r="AP10" s="510" t="str">
        <f>IF(T10="","",T10)</f>
        <v>Добавить вид теплоносителя (параметры теплоносителя)</v>
      </c>
      <c r="AQ10" s="510"/>
      <c r="AR10" s="510"/>
      <c r="AS10" s="1165">
        <v>0</v>
      </c>
    </row>
    <row customHeight="1" ht="15" hidden="1">
      <c r="A11" s="1373"/>
      <c r="B11" s="1373"/>
      <c r="C11" s="1373"/>
      <c r="D11" s="1373"/>
      <c r="E11" s="2269"/>
      <c r="F11" s="2269"/>
      <c r="G11" s="2269"/>
      <c r="H11" s="2269"/>
      <c r="I11" s="2266"/>
      <c r="J11" s="1373"/>
      <c r="K11" s="1373"/>
      <c r="L11" s="1374"/>
      <c r="M11" s="547"/>
      <c r="P11" s="2267"/>
      <c r="Q11" s="1341"/>
      <c r="R11" s="366"/>
      <c r="S11" s="1288"/>
      <c r="T11" s="297" t="s">
        <v>434</v>
      </c>
      <c r="U11" s="377"/>
      <c r="V11" s="377"/>
      <c r="W11" s="377"/>
      <c r="X11" s="377"/>
      <c r="Y11" s="377"/>
      <c r="Z11" s="377"/>
      <c r="AA11" s="377"/>
      <c r="AB11" s="377"/>
      <c r="AC11" s="376"/>
      <c r="AD11" s="377"/>
      <c r="AE11" s="377"/>
      <c r="AF11" s="377"/>
      <c r="AG11" s="377"/>
      <c r="AH11" s="377"/>
      <c r="AI11" s="377"/>
      <c r="AJ11" s="377"/>
      <c r="AK11" s="376"/>
      <c r="AL11" s="377"/>
      <c r="AM11" s="313"/>
      <c r="AO11" s="510"/>
      <c r="AP11" s="510" t="str">
        <f>IF(T11="","",T11)</f>
        <v>Добавить группу потребителей</v>
      </c>
      <c r="AQ11" s="510"/>
      <c r="AR11" s="510"/>
      <c r="AS11" s="1165">
        <v>0</v>
      </c>
    </row>
    <row customHeight="1" ht="14.25" hidden="1">
      <c r="A12" s="1373"/>
      <c r="B12" s="1373"/>
      <c r="C12" s="1373"/>
      <c r="D12" s="1373"/>
      <c r="E12" s="2269"/>
      <c r="F12" s="2269"/>
      <c r="G12" s="2269"/>
      <c r="H12" s="2268"/>
      <c r="I12" s="1373"/>
      <c r="J12" s="1373"/>
      <c r="K12" s="1373"/>
      <c r="L12" s="1374"/>
      <c r="M12" s="1375"/>
      <c r="N12" s="1375"/>
      <c r="O12" s="547"/>
      <c r="P12" s="370"/>
      <c r="Q12" s="385"/>
      <c r="R12" s="365"/>
      <c r="S12" s="1288"/>
      <c r="T12" s="375" t="s">
        <v>435</v>
      </c>
      <c r="U12" s="377"/>
      <c r="V12" s="377"/>
      <c r="W12" s="377"/>
      <c r="X12" s="377"/>
      <c r="Y12" s="377"/>
      <c r="Z12" s="377"/>
      <c r="AA12" s="377"/>
      <c r="AB12" s="377"/>
      <c r="AC12" s="376"/>
      <c r="AD12" s="377"/>
      <c r="AE12" s="377"/>
      <c r="AF12" s="377"/>
      <c r="AG12" s="377"/>
      <c r="AH12" s="377"/>
      <c r="AI12" s="377"/>
      <c r="AJ12" s="377"/>
      <c r="AK12" s="376"/>
      <c r="AL12" s="377"/>
      <c r="AM12" s="313"/>
      <c r="AO12" s="510"/>
      <c r="AP12" s="510" t="str">
        <f>IF(T12="","",T12)</f>
        <v>Добавить схему подключения</v>
      </c>
      <c r="AQ12" s="510"/>
      <c r="AR12" s="510"/>
      <c r="AS12" s="1165">
        <v>0</v>
      </c>
    </row>
    <row s="1652" customFormat="1" customHeight="1" ht="0.75" hidden="1">
      <c r="A13" s="1324"/>
      <c r="B13" s="1324"/>
      <c r="C13" s="1324"/>
      <c r="D13" s="1324"/>
      <c r="E13" s="2269"/>
      <c r="F13" s="2269"/>
      <c r="G13" s="2268"/>
      <c r="H13" s="1324"/>
      <c r="I13" s="1324"/>
      <c r="J13" s="1324"/>
      <c r="K13" s="1324"/>
      <c r="L13" s="1349"/>
      <c r="M13" s="1325"/>
      <c r="N13" s="1325"/>
      <c r="P13" s="1326"/>
      <c r="Q13" s="1327"/>
      <c r="R13" s="1326"/>
      <c r="S13" s="1328"/>
      <c r="T13" s="1329" t="s">
        <v>436</v>
      </c>
      <c r="U13" s="1330"/>
      <c r="V13" s="1330"/>
      <c r="W13" s="1330"/>
      <c r="X13" s="1330"/>
      <c r="Y13" s="1330"/>
      <c r="Z13" s="1330"/>
      <c r="AA13" s="1330"/>
      <c r="AB13" s="1330"/>
      <c r="AC13" s="1330"/>
      <c r="AD13" s="1330"/>
      <c r="AE13" s="1330"/>
      <c r="AF13" s="1330"/>
      <c r="AG13" s="1330"/>
      <c r="AH13" s="1330"/>
      <c r="AI13" s="1330"/>
      <c r="AJ13" s="1330"/>
      <c r="AK13" s="1330"/>
      <c r="AL13" s="1330"/>
      <c r="AM13" s="1330"/>
      <c r="AO13" s="799"/>
      <c r="AP13" s="799" t="str">
        <f>IF(T13="","",T13)</f>
        <v>Добавить источник для дифференциации</v>
      </c>
      <c r="AQ13" s="799"/>
      <c r="AR13" s="799"/>
      <c r="AS13" s="528">
        <v>0</v>
      </c>
    </row>
    <row s="1652" customFormat="1" customHeight="1" ht="0.75" hidden="1">
      <c r="A14" s="1324"/>
      <c r="B14" s="1324"/>
      <c r="C14" s="1324"/>
      <c r="D14" s="1324"/>
      <c r="E14" s="2269"/>
      <c r="F14" s="2268"/>
      <c r="G14" s="1324"/>
      <c r="H14" s="1324"/>
      <c r="I14" s="1324"/>
      <c r="J14" s="1324"/>
      <c r="K14" s="1324"/>
      <c r="L14" s="1349"/>
      <c r="M14" s="1331"/>
      <c r="N14" s="1331"/>
      <c r="P14" s="1326"/>
      <c r="Q14" s="1327"/>
      <c r="R14" s="1326"/>
      <c r="S14" s="1332"/>
      <c r="T14" s="1333" t="s">
        <v>437</v>
      </c>
      <c r="U14" s="1334"/>
      <c r="V14" s="1334"/>
      <c r="W14" s="1334"/>
      <c r="X14" s="1334"/>
      <c r="Y14" s="1334"/>
      <c r="Z14" s="1334"/>
      <c r="AA14" s="1334"/>
      <c r="AB14" s="1334"/>
      <c r="AC14" s="1334"/>
      <c r="AD14" s="1334"/>
      <c r="AE14" s="1334"/>
      <c r="AF14" s="1334"/>
      <c r="AG14" s="1334"/>
      <c r="AH14" s="1334"/>
      <c r="AI14" s="1334"/>
      <c r="AJ14" s="1334"/>
      <c r="AK14" s="1334"/>
      <c r="AL14" s="1334"/>
      <c r="AM14" s="1334"/>
      <c r="AO14" s="799"/>
      <c r="AP14" s="799" t="str">
        <f>IF(T14="","",T14)</f>
        <v>Добавить централизованную систему для дифференциации</v>
      </c>
      <c r="AQ14" s="799"/>
      <c r="AR14" s="799"/>
      <c r="AS14" s="528">
        <v>0</v>
      </c>
    </row>
    <row s="1652" customFormat="1" customHeight="1" ht="0.75" hidden="1">
      <c r="A15" s="1324"/>
      <c r="B15" s="1324"/>
      <c r="C15" s="1324"/>
      <c r="D15" s="1324"/>
      <c r="E15" s="2268"/>
      <c r="F15" s="1324"/>
      <c r="G15" s="1324"/>
      <c r="H15" s="1324"/>
      <c r="I15" s="1324"/>
      <c r="J15" s="1324"/>
      <c r="K15" s="1324"/>
      <c r="L15" s="1349"/>
      <c r="M15" s="1331"/>
      <c r="N15" s="1331"/>
      <c r="P15" s="1326"/>
      <c r="Q15" s="1327"/>
      <c r="R15" s="1326"/>
      <c r="S15" s="1332"/>
      <c r="T15" s="1335" t="s">
        <v>438</v>
      </c>
      <c r="U15" s="1334"/>
      <c r="V15" s="1334"/>
      <c r="W15" s="1334"/>
      <c r="X15" s="1334"/>
      <c r="Y15" s="1334"/>
      <c r="Z15" s="1334"/>
      <c r="AA15" s="1334"/>
      <c r="AB15" s="1334"/>
      <c r="AC15" s="1334"/>
      <c r="AD15" s="1334"/>
      <c r="AE15" s="1334"/>
      <c r="AF15" s="1334"/>
      <c r="AG15" s="1334"/>
      <c r="AH15" s="1334"/>
      <c r="AI15" s="1334"/>
      <c r="AJ15" s="1334"/>
      <c r="AK15" s="1334"/>
      <c r="AL15" s="1334"/>
      <c r="AM15" s="1334"/>
      <c r="AO15" s="799"/>
      <c r="AP15" s="799" t="str">
        <f>IF(T15="","",T15)</f>
        <v>Добавить территорию для дифференциации</v>
      </c>
      <c r="AQ15" s="799"/>
      <c r="AR15" s="799"/>
      <c r="AS15" s="528">
        <v>0</v>
      </c>
    </row>
    <row customHeight="1" ht="14.25" hidden="1">
      <c r="AC16" s="337"/>
      <c r="AK16" s="337"/>
      <c r="AS16" s="1165">
        <v>0</v>
      </c>
    </row>
    <row customHeight="1" ht="14.25" hidden="1">
      <c r="AD17" s="1370"/>
      <c r="AE17" s="1370"/>
      <c r="AF17" s="1370"/>
      <c r="AG17" s="1371"/>
      <c r="AH17" s="2277"/>
      <c r="AI17" s="2278" t="s">
        <v>66</v>
      </c>
      <c r="AJ17" s="2277"/>
      <c r="AK17" s="2278" t="s">
        <v>66</v>
      </c>
      <c r="AS17" s="1165">
        <v>0</v>
      </c>
    </row>
    <row customHeight="1" ht="14.25" hidden="1">
      <c r="AD18" s="1370"/>
      <c r="AE18" s="1370"/>
      <c r="AF18" s="1370"/>
      <c r="AG18" s="338" t="str">
        <f>AH17&amp;"-"&amp;AJ17</f>
        <v>-</v>
      </c>
      <c r="AH18" s="2278"/>
      <c r="AI18" s="2278"/>
      <c r="AJ18" s="2278"/>
      <c r="AK18" s="2278"/>
      <c r="AS18" s="1165">
        <v>0</v>
      </c>
    </row>
    <row customHeight="1" ht="14.25" hidden="1">
      <c r="AK19" s="337"/>
      <c r="AS19" s="1165">
        <v>0</v>
      </c>
    </row>
    <row s="1376" customFormat="1" customHeight="1" ht="22.5" hidden="1">
      <c r="L20" s="1339"/>
      <c r="M20" s="1372"/>
      <c r="N20" s="1372"/>
      <c r="O20" s="1377" t="s">
        <v>439</v>
      </c>
      <c r="P20" s="1372"/>
      <c r="Q20" s="1381"/>
      <c r="R20" s="1381"/>
      <c r="S20" s="739"/>
      <c r="Z20" s="1377"/>
      <c r="AB20" s="1377"/>
      <c r="AC20" s="1376"/>
      <c r="AH20" s="1377"/>
      <c r="AJ20" s="1377"/>
      <c r="AK20" s="1376"/>
      <c r="AN20" s="521"/>
      <c r="AO20" s="521"/>
      <c r="AP20" s="521"/>
      <c r="AQ20" s="521"/>
      <c r="AR20" s="521"/>
      <c r="AS20" s="1170">
        <v>0</v>
      </c>
    </row>
    <row s="1376" customFormat="1" customHeight="1" ht="14.25" hidden="1">
      <c r="L21" s="1339"/>
      <c r="M21" s="1372"/>
      <c r="N21" s="1372"/>
      <c r="O21" s="1372"/>
      <c r="P21" s="1372"/>
      <c r="Q21" s="1381"/>
      <c r="R21" s="1381"/>
      <c r="S21" s="739"/>
      <c r="AC21" s="1376"/>
      <c r="AK21" s="1376"/>
      <c r="AN21" s="521"/>
      <c r="AO21" s="521"/>
      <c r="AP21" s="521"/>
      <c r="AQ21" s="521"/>
      <c r="AR21" s="521"/>
      <c r="AS21" s="1170">
        <v>0</v>
      </c>
    </row>
    <row s="1376" customFormat="1" customHeight="1" ht="14.25" hidden="1">
      <c r="L22" s="1339"/>
      <c r="M22" s="1372"/>
      <c r="N22" s="1372"/>
      <c r="O22" s="1374" t="s">
        <v>440</v>
      </c>
      <c r="P22" s="1372"/>
      <c r="Q22" s="1381"/>
      <c r="R22" s="1381"/>
      <c r="S22" s="739"/>
      <c r="T22" s="1170" t="s">
        <v>441</v>
      </c>
      <c r="AA22" s="196" t="s">
        <v>442</v>
      </c>
      <c r="AC22" s="196" t="s">
        <v>443</v>
      </c>
      <c r="AD22" s="1170" t="s">
        <v>441</v>
      </c>
      <c r="AI22" s="196" t="s">
        <v>444</v>
      </c>
      <c r="AK22" s="196" t="s">
        <v>443</v>
      </c>
      <c r="AN22" s="521"/>
      <c r="AO22" s="521"/>
      <c r="AP22" s="521"/>
      <c r="AQ22" s="521"/>
      <c r="AR22" s="521"/>
      <c r="AS22" s="1170">
        <v>0</v>
      </c>
    </row>
    <row customHeight="1" ht="14.25" hidden="1">
      <c r="O23" s="1374"/>
      <c r="AS23" s="1165">
        <v>0</v>
      </c>
    </row>
    <row customHeight="1" ht="14.25" hidden="1">
      <c r="O24" s="1374"/>
      <c r="AS24" s="1165">
        <v>0</v>
      </c>
    </row>
    <row customHeight="1" ht="14.699999999999998">
      <c r="Q25" s="386"/>
      <c r="R25" s="386"/>
      <c r="S25" s="1285"/>
      <c r="T25" s="373"/>
      <c r="U25" s="373"/>
      <c r="V25" s="519"/>
      <c r="W25" s="519"/>
      <c r="X25" s="519"/>
      <c r="Y25" s="519"/>
      <c r="Z25" s="519"/>
      <c r="AA25" s="519"/>
      <c r="AB25" s="519"/>
      <c r="AC25" s="519"/>
      <c r="AD25" s="519"/>
      <c r="AE25" s="519"/>
      <c r="AF25" s="519"/>
      <c r="AG25" s="519"/>
      <c r="AH25" s="519"/>
      <c r="AI25" s="519"/>
      <c r="AJ25" s="519"/>
      <c r="AK25" s="519"/>
      <c r="AS25" s="1165">
        <v>14</v>
      </c>
    </row>
    <row customHeight="1" ht="14.699999999999998">
      <c r="Q26" s="386"/>
      <c r="R26" s="386"/>
      <c r="S26" s="225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8"/>
      <c r="U26" s="2258"/>
      <c r="V26" s="2258"/>
      <c r="W26" s="2258"/>
      <c r="X26" s="2258"/>
      <c r="Y26" s="2258"/>
      <c r="Z26" s="2258"/>
      <c r="AA26" s="2258"/>
      <c r="AB26" s="2258"/>
      <c r="AC26" s="2258"/>
      <c r="AD26" s="2258"/>
      <c r="AE26" s="2258"/>
      <c r="AF26" s="2258"/>
      <c r="AG26" s="2258"/>
      <c r="AH26" s="2258"/>
      <c r="AI26" s="2258"/>
      <c r="AJ26" s="2258"/>
      <c r="AK26" s="1253"/>
      <c r="AS26" s="1165">
        <v>14</v>
      </c>
    </row>
    <row customHeight="1" ht="14.699999999999998">
      <c r="Q27" s="386"/>
      <c r="R27" s="386"/>
      <c r="S27" s="2259" t="str">
        <f>IF(org=0,"Не определено",org)</f>
        <v>АО «ДГК» СП «Нерюнгринская ГРЭС»</v>
      </c>
      <c r="T27" s="2259"/>
      <c r="U27" s="2259"/>
      <c r="V27" s="2259"/>
      <c r="W27" s="2259"/>
      <c r="X27" s="2259"/>
      <c r="Y27" s="2259"/>
      <c r="Z27" s="2259"/>
      <c r="AA27" s="2259"/>
      <c r="AB27" s="2259"/>
      <c r="AC27" s="2259"/>
      <c r="AD27" s="2259"/>
      <c r="AE27" s="2259"/>
      <c r="AF27" s="2259"/>
      <c r="AG27" s="2259"/>
      <c r="AH27" s="2259"/>
      <c r="AI27" s="2259"/>
      <c r="AJ27" s="2259"/>
      <c r="AK27" s="1253"/>
      <c r="AS27" s="1165">
        <v>14</v>
      </c>
    </row>
    <row customHeight="1" ht="14.25" hidden="1">
      <c r="Q28" s="386"/>
      <c r="R28" s="386"/>
      <c r="S28" s="1285"/>
      <c r="T28" s="373"/>
      <c r="U28" s="373"/>
      <c r="V28" s="332"/>
      <c r="W28" s="332"/>
      <c r="X28" s="332"/>
      <c r="Y28" s="332"/>
      <c r="Z28" s="332"/>
      <c r="AA28" s="332"/>
      <c r="AB28" s="332"/>
      <c r="AC28" s="332"/>
      <c r="AD28" s="332"/>
      <c r="AE28" s="332"/>
      <c r="AF28" s="332"/>
      <c r="AG28" s="332"/>
      <c r="AH28" s="332"/>
      <c r="AI28" s="332"/>
      <c r="AJ28" s="332"/>
      <c r="AK28" s="332"/>
      <c r="AL28" s="519"/>
      <c r="AS28" s="1165">
        <v>0</v>
      </c>
    </row>
    <row s="1863" customFormat="1" customHeight="1" ht="25.5" hidden="1">
      <c r="A29" s="1378"/>
      <c r="B29" s="1378"/>
      <c r="C29" s="1378"/>
      <c r="D29" s="1378"/>
      <c r="E29" s="1378"/>
      <c r="F29" s="1378"/>
      <c r="G29" s="1378"/>
      <c r="H29" s="1378"/>
      <c r="I29" s="1378"/>
      <c r="J29" s="1378"/>
      <c r="K29" s="1378"/>
      <c r="L29" s="1379"/>
      <c r="M29" s="1378"/>
      <c r="N29" s="1378"/>
      <c r="O29" s="1378"/>
      <c r="S29" s="2260" t="s">
        <v>42</v>
      </c>
      <c r="T29" s="2260"/>
      <c r="U29" s="1382"/>
      <c r="V29" s="2261" t="str">
        <f>IF(TITLE_NAME_OR_PR_CHANGE="",IF(TITLE_NAME_OR_PR="","",TITLE_NAME_OR_PR),TITLE_NAME_OR_PR_CHANGE)</f>
        <v/>
      </c>
      <c r="W29" s="2261"/>
      <c r="X29" s="2261"/>
      <c r="Y29" s="2261"/>
      <c r="Z29" s="2261"/>
      <c r="AA29" s="2261"/>
      <c r="AB29" s="2261"/>
      <c r="AC29" s="336"/>
      <c r="AD29" s="2261" t="str">
        <f>IF(TITLE_NAME_OR_PR_CHANGE="",IF(TITLE_NAME_OR_PR="","",TITLE_NAME_OR_PR),TITLE_NAME_OR_PR_CHANGE)</f>
        <v/>
      </c>
      <c r="AE29" s="2261"/>
      <c r="AF29" s="2261"/>
      <c r="AG29" s="2261"/>
      <c r="AH29" s="2261"/>
      <c r="AI29" s="2261"/>
      <c r="AJ29" s="2261"/>
      <c r="AK29" s="336"/>
      <c r="AL29" s="336"/>
      <c r="AM29" s="290"/>
      <c r="AN29" s="378"/>
      <c r="AO29" s="378"/>
      <c r="AP29" s="378"/>
      <c r="AQ29" s="378"/>
      <c r="AR29" s="378"/>
      <c r="AS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445</v>
      </c>
      <c r="T30" s="2260"/>
      <c r="U30" s="1382"/>
      <c r="V30" s="2274" t="str">
        <f>IF(TITLE_DATE_PR_CHANGE="",IF(TITLE_DATE_PR="","",TITLE_DATE_PR),TITLE_DATE_PR_CHANGE)</f>
        <v/>
      </c>
      <c r="W30" s="2274"/>
      <c r="X30" s="2274"/>
      <c r="Y30" s="2274"/>
      <c r="Z30" s="2274"/>
      <c r="AA30" s="2274"/>
      <c r="AB30" s="2274"/>
      <c r="AC30" s="336"/>
      <c r="AD30" s="2274" t="str">
        <f>IF(TITLE_DATE_PR_CHANGE="",IF(TITLE_DATE_PR="","",TITLE_DATE_PR),TITLE_DATE_PR_CHANGE)</f>
        <v/>
      </c>
      <c r="AE30" s="2274"/>
      <c r="AF30" s="2274"/>
      <c r="AG30" s="2274"/>
      <c r="AH30" s="2274"/>
      <c r="AI30" s="2274"/>
      <c r="AJ30" s="2274"/>
      <c r="AK30" s="336"/>
      <c r="AL30" s="336"/>
      <c r="AM30" s="290"/>
      <c r="AN30" s="378"/>
      <c r="AO30" s="378"/>
      <c r="AP30" s="378"/>
      <c r="AQ30" s="378"/>
      <c r="AR30" s="378"/>
      <c r="AS30" s="428">
        <v>0</v>
      </c>
    </row>
    <row s="1863" customFormat="1" customHeight="1" ht="18.75" hidden="1">
      <c r="A31" s="1378"/>
      <c r="B31" s="1378"/>
      <c r="C31" s="1378"/>
      <c r="D31" s="1378"/>
      <c r="E31" s="1378"/>
      <c r="F31" s="1378"/>
      <c r="G31" s="1378"/>
      <c r="H31" s="1378"/>
      <c r="I31" s="1378"/>
      <c r="J31" s="1378"/>
      <c r="K31" s="1378"/>
      <c r="L31" s="1379"/>
      <c r="M31" s="1378"/>
      <c r="N31" s="1378"/>
      <c r="O31" s="1378"/>
      <c r="S31" s="2260" t="s">
        <v>446</v>
      </c>
      <c r="T31" s="2260"/>
      <c r="U31" s="1382"/>
      <c r="V31" s="2261" t="str">
        <f>IF(TITLE_NUMBER_PR_CHANGE="",IF(TITLE_NUMBER_PR="","",TITLE_NUMBER_PR),TITLE_NUMBER_PR_CHANGE)</f>
        <v/>
      </c>
      <c r="W31" s="2261"/>
      <c r="X31" s="2261"/>
      <c r="Y31" s="2261"/>
      <c r="Z31" s="2261"/>
      <c r="AA31" s="2261"/>
      <c r="AB31" s="2261"/>
      <c r="AC31" s="336"/>
      <c r="AD31" s="2261" t="str">
        <f>IF(TITLE_NUMBER_PR_CHANGE="",IF(TITLE_NUMBER_PR="","",TITLE_NUMBER_PR),TITLE_NUMBER_PR_CHANGE)</f>
        <v/>
      </c>
      <c r="AE31" s="2261"/>
      <c r="AF31" s="2261"/>
      <c r="AG31" s="2261"/>
      <c r="AH31" s="2261"/>
      <c r="AI31" s="2261"/>
      <c r="AJ31" s="2261"/>
      <c r="AK31" s="336"/>
      <c r="AL31" s="336"/>
      <c r="AM31" s="290"/>
      <c r="AN31" s="378"/>
      <c r="AO31" s="378"/>
      <c r="AP31" s="378"/>
      <c r="AQ31" s="378"/>
      <c r="AR31" s="378"/>
      <c r="AS31" s="428">
        <v>0</v>
      </c>
    </row>
    <row s="1863" customFormat="1" customHeight="1" ht="18.75" hidden="1">
      <c r="A32" s="1378"/>
      <c r="B32" s="1378"/>
      <c r="C32" s="1378"/>
      <c r="D32" s="1378"/>
      <c r="E32" s="1378"/>
      <c r="F32" s="1378"/>
      <c r="G32" s="1378"/>
      <c r="H32" s="1378"/>
      <c r="I32" s="1378"/>
      <c r="J32" s="1378"/>
      <c r="K32" s="1378"/>
      <c r="L32" s="1379"/>
      <c r="M32" s="1378"/>
      <c r="N32" s="1378"/>
      <c r="O32" s="1378"/>
      <c r="S32" s="2260" t="s">
        <v>43</v>
      </c>
      <c r="T32" s="2260"/>
      <c r="U32" s="1382"/>
      <c r="V32" s="2261" t="str">
        <f>IF(TITLE_IST_PUB_CHANGE="",IF(TITLE_IST_PUB="","",TITLE_IST_PUB),TITLE_IST_PUB_CHANGE)</f>
        <v/>
      </c>
      <c r="W32" s="2261"/>
      <c r="X32" s="2261"/>
      <c r="Y32" s="2261"/>
      <c r="Z32" s="2261"/>
      <c r="AA32" s="2261"/>
      <c r="AB32" s="2261"/>
      <c r="AC32" s="336"/>
      <c r="AD32" s="2261" t="str">
        <f>IF(TITLE_IST_PUB_CHANGE="",IF(TITLE_IST_PUB="","",TITLE_IST_PUB),TITLE_IST_PUB_CHANGE)</f>
        <v/>
      </c>
      <c r="AE32" s="2261"/>
      <c r="AF32" s="2261"/>
      <c r="AG32" s="2261"/>
      <c r="AH32" s="2261"/>
      <c r="AI32" s="2261"/>
      <c r="AJ32" s="2261"/>
      <c r="AK32" s="336"/>
      <c r="AL32" s="336"/>
      <c r="AM32" s="290"/>
      <c r="AN32" s="378"/>
      <c r="AO32" s="378"/>
      <c r="AP32" s="378"/>
      <c r="AQ32" s="378"/>
      <c r="AR32" s="378"/>
      <c r="AS32" s="428">
        <v>0</v>
      </c>
    </row>
    <row customHeight="1" ht="14.25" hidden="1">
      <c r="Q33" s="386"/>
      <c r="R33" s="386"/>
      <c r="S33" s="1285"/>
      <c r="T33" s="373"/>
      <c r="U33" s="373"/>
      <c r="V33" s="332"/>
      <c r="W33" s="332"/>
      <c r="X33" s="332"/>
      <c r="Y33" s="332"/>
      <c r="Z33" s="332"/>
      <c r="AA33" s="332"/>
      <c r="AB33" s="332"/>
      <c r="AC33" s="332"/>
      <c r="AD33" s="332"/>
      <c r="AE33" s="332"/>
      <c r="AF33" s="332"/>
      <c r="AG33" s="332"/>
      <c r="AH33" s="332"/>
      <c r="AI33" s="332"/>
      <c r="AJ33" s="332"/>
      <c r="AK33" s="332"/>
      <c r="AL33" s="519"/>
      <c r="AS33" s="1165">
        <v>0</v>
      </c>
    </row>
    <row s="1863" customFormat="1" customHeight="1" ht="18.75" hidden="1">
      <c r="A34" s="1378"/>
      <c r="B34" s="1378"/>
      <c r="C34" s="1378"/>
      <c r="D34" s="1378"/>
      <c r="E34" s="1378"/>
      <c r="F34" s="1378"/>
      <c r="G34" s="1378"/>
      <c r="H34" s="1378"/>
      <c r="I34" s="1378"/>
      <c r="J34" s="1378"/>
      <c r="K34" s="1378"/>
      <c r="L34" s="1379"/>
      <c r="M34" s="1378"/>
      <c r="N34" s="1378"/>
      <c r="O34" s="1378"/>
      <c r="S34" s="2260" t="s">
        <v>447</v>
      </c>
      <c r="T34" s="2260"/>
      <c r="U34" s="1382"/>
      <c r="V34" s="2274" t="str">
        <f>IF(TITLE_DATE_PR_CHANGE="",IF(TITLE_DATE_PR="","",TITLE_DATE_PR),TITLE_DATE_PR_CHANGE)</f>
        <v/>
      </c>
      <c r="W34" s="2274"/>
      <c r="X34" s="2274"/>
      <c r="Y34" s="2274"/>
      <c r="Z34" s="2274"/>
      <c r="AA34" s="2274"/>
      <c r="AB34" s="2274"/>
      <c r="AC34" s="336"/>
      <c r="AD34" s="2274" t="str">
        <f>IF(TITLE_DATE_PR_CHANGE="",IF(TITLE_DATE_PR="","",TITLE_DATE_PR),TITLE_DATE_PR_CHANGE)</f>
        <v/>
      </c>
      <c r="AE34" s="2274"/>
      <c r="AF34" s="2274"/>
      <c r="AG34" s="2274"/>
      <c r="AH34" s="2274"/>
      <c r="AI34" s="2274"/>
      <c r="AJ34" s="2274"/>
      <c r="AK34" s="336"/>
      <c r="AL34" s="336"/>
      <c r="AM34" s="290"/>
      <c r="AN34" s="378"/>
      <c r="AO34" s="378"/>
      <c r="AP34" s="378"/>
      <c r="AQ34" s="378"/>
      <c r="AR34" s="378"/>
      <c r="AS34" s="428">
        <v>0</v>
      </c>
    </row>
    <row s="1863" customFormat="1" customHeight="1" ht="18.75" hidden="1">
      <c r="A35" s="1378"/>
      <c r="B35" s="1378"/>
      <c r="C35" s="1378"/>
      <c r="D35" s="1378"/>
      <c r="E35" s="1378"/>
      <c r="F35" s="1378"/>
      <c r="G35" s="1378"/>
      <c r="H35" s="1378"/>
      <c r="I35" s="1378"/>
      <c r="J35" s="1378"/>
      <c r="K35" s="1378"/>
      <c r="L35" s="1379"/>
      <c r="M35" s="1378"/>
      <c r="N35" s="1378"/>
      <c r="O35" s="1378"/>
      <c r="S35" s="2260" t="s">
        <v>448</v>
      </c>
      <c r="T35" s="2260"/>
      <c r="U35" s="1382"/>
      <c r="V35" s="2261" t="str">
        <f>IF(TITLE_NUMBER_PR_CHANGE="",IF(TITLE_NUMBER_PR="","",TITLE_NUMBER_PR),TITLE_NUMBER_PR_CHANGE)</f>
        <v/>
      </c>
      <c r="W35" s="2261"/>
      <c r="X35" s="2261"/>
      <c r="Y35" s="2261"/>
      <c r="Z35" s="2261"/>
      <c r="AA35" s="2261"/>
      <c r="AB35" s="2261"/>
      <c r="AC35" s="336"/>
      <c r="AD35" s="2261" t="str">
        <f>IF(TITLE_NUMBER_PR_CHANGE="",IF(TITLE_NUMBER_PR="","",TITLE_NUMBER_PR),TITLE_NUMBER_PR_CHANGE)</f>
        <v/>
      </c>
      <c r="AE35" s="2261"/>
      <c r="AF35" s="2261"/>
      <c r="AG35" s="2261"/>
      <c r="AH35" s="2261"/>
      <c r="AI35" s="2261"/>
      <c r="AJ35" s="2261"/>
      <c r="AK35" s="336"/>
      <c r="AL35" s="336"/>
      <c r="AM35" s="290"/>
      <c r="AN35" s="378"/>
      <c r="AO35" s="378"/>
      <c r="AP35" s="378"/>
      <c r="AQ35" s="378"/>
      <c r="AR35" s="378"/>
      <c r="AS35" s="428">
        <v>0</v>
      </c>
    </row>
    <row s="1863" customFormat="1" customHeight="1" ht="0">
      <c r="A36" s="1378"/>
      <c r="B36" s="1378"/>
      <c r="C36" s="1378"/>
      <c r="D36" s="1378"/>
      <c r="E36" s="1378"/>
      <c r="F36" s="1378"/>
      <c r="G36" s="1378"/>
      <c r="H36" s="1378"/>
      <c r="I36" s="1378"/>
      <c r="J36" s="1378"/>
      <c r="K36" s="1378"/>
      <c r="L36" s="1379"/>
      <c r="M36" s="1378"/>
      <c r="N36" s="1378"/>
      <c r="O36" s="1378"/>
      <c r="S36" s="333"/>
      <c r="T36" s="333"/>
      <c r="U36" s="1350"/>
      <c r="V36" s="336"/>
      <c r="W36" s="336"/>
      <c r="X36" s="336"/>
      <c r="Y36" s="336"/>
      <c r="Z36" s="336"/>
      <c r="AA36" s="336"/>
      <c r="AB36" s="336"/>
      <c r="AC36" s="288" t="s">
        <v>449</v>
      </c>
      <c r="AD36" s="336"/>
      <c r="AE36" s="336"/>
      <c r="AF36" s="336"/>
      <c r="AG36" s="336"/>
      <c r="AH36" s="336"/>
      <c r="AI36" s="336"/>
      <c r="AJ36" s="336"/>
      <c r="AK36" s="288" t="s">
        <v>449</v>
      </c>
      <c r="AN36" s="378"/>
      <c r="AO36" s="378"/>
      <c r="AP36" s="378"/>
      <c r="AQ36" s="378"/>
      <c r="AR36" s="378"/>
      <c r="AS36" s="428">
        <v>0</v>
      </c>
    </row>
    <row customHeight="1" ht="14.699999999999998">
      <c r="Q37" s="386"/>
      <c r="R37" s="386"/>
      <c r="S37" s="1285"/>
      <c r="T37" s="373"/>
      <c r="U37" s="1254"/>
      <c r="V37" s="2262"/>
      <c r="W37" s="2262"/>
      <c r="X37" s="2262"/>
      <c r="Y37" s="2262"/>
      <c r="Z37" s="2262"/>
      <c r="AA37" s="2262"/>
      <c r="AB37" s="2262"/>
      <c r="AC37" s="2262"/>
      <c r="AD37" s="2262"/>
      <c r="AE37" s="2262"/>
      <c r="AF37" s="2262"/>
      <c r="AG37" s="2262"/>
      <c r="AH37" s="2262"/>
      <c r="AI37" s="2262"/>
      <c r="AJ37" s="2262"/>
      <c r="AK37" s="2262"/>
      <c r="AS37" s="1165">
        <v>14</v>
      </c>
    </row>
    <row customHeight="1" ht="14.699999999999998">
      <c r="Q38" s="386"/>
      <c r="R38" s="386"/>
      <c r="S38" s="2137" t="s">
        <v>322</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323</v>
      </c>
      <c r="AS38" s="1165">
        <v>14</v>
      </c>
    </row>
    <row customHeight="1" ht="14.699999999999998">
      <c r="Q39" s="386"/>
      <c r="R39" s="386"/>
      <c r="S39" s="2283" t="s">
        <v>88</v>
      </c>
      <c r="T39" s="2219" t="s">
        <v>450</v>
      </c>
      <c r="U39" s="311"/>
      <c r="V39" s="2284" t="s">
        <v>451</v>
      </c>
      <c r="W39" s="2285"/>
      <c r="X39" s="2285"/>
      <c r="Y39" s="2285"/>
      <c r="Z39" s="2285"/>
      <c r="AA39" s="2285"/>
      <c r="AB39" s="2286"/>
      <c r="AC39" s="2287" t="s">
        <v>452</v>
      </c>
      <c r="AD39" s="2284" t="s">
        <v>451</v>
      </c>
      <c r="AE39" s="2285"/>
      <c r="AF39" s="2285"/>
      <c r="AG39" s="2285"/>
      <c r="AH39" s="2285"/>
      <c r="AI39" s="2285"/>
      <c r="AJ39" s="2286"/>
      <c r="AK39" s="2287" t="s">
        <v>453</v>
      </c>
      <c r="AL39" s="2290" t="s">
        <v>454</v>
      </c>
      <c r="AM39" s="2137"/>
      <c r="AS39" s="1165">
        <v>14</v>
      </c>
    </row>
    <row customHeight="1" ht="35.699999999999996">
      <c r="Q40" s="386"/>
      <c r="R40" s="386"/>
      <c r="S40" s="2283"/>
      <c r="T40" s="2219"/>
      <c r="U40" s="1041"/>
      <c r="V40" s="2270" t="s">
        <v>455</v>
      </c>
      <c r="W40" s="2293" t="s">
        <v>456</v>
      </c>
      <c r="X40" s="2272" t="s">
        <v>457</v>
      </c>
      <c r="Y40" s="2273"/>
      <c r="Z40" s="2272" t="s">
        <v>471</v>
      </c>
      <c r="AA40" s="2279"/>
      <c r="AB40" s="2273"/>
      <c r="AC40" s="2288"/>
      <c r="AD40" s="2270" t="s">
        <v>455</v>
      </c>
      <c r="AE40" s="2293" t="s">
        <v>456</v>
      </c>
      <c r="AF40" s="2272" t="s">
        <v>457</v>
      </c>
      <c r="AG40" s="2273"/>
      <c r="AH40" s="2272" t="s">
        <v>458</v>
      </c>
      <c r="AI40" s="2279"/>
      <c r="AJ40" s="2273"/>
      <c r="AK40" s="2288"/>
      <c r="AL40" s="2291"/>
      <c r="AM40" s="2137"/>
      <c r="AS40" s="1165">
        <v>34</v>
      </c>
    </row>
    <row customHeight="1" ht="35.699999999999996">
      <c r="A41" s="1380"/>
      <c r="B41" s="1380" t="s">
        <v>159</v>
      </c>
      <c r="C41" s="1380" t="s">
        <v>160</v>
      </c>
      <c r="D41" s="1380" t="s">
        <v>161</v>
      </c>
      <c r="E41" s="1374" t="s">
        <v>459</v>
      </c>
      <c r="F41" s="1374" t="s">
        <v>460</v>
      </c>
      <c r="G41" s="1374" t="s">
        <v>461</v>
      </c>
      <c r="H41" s="1374" t="s">
        <v>462</v>
      </c>
      <c r="I41" s="1374" t="s">
        <v>463</v>
      </c>
      <c r="J41" s="1374" t="s">
        <v>464</v>
      </c>
      <c r="K41" s="1374" t="s">
        <v>465</v>
      </c>
      <c r="L41" s="1374" t="s">
        <v>440</v>
      </c>
      <c r="Q41" s="386"/>
      <c r="R41" s="386"/>
      <c r="S41" s="2283"/>
      <c r="T41" s="2219"/>
      <c r="U41" s="312"/>
      <c r="V41" s="2271"/>
      <c r="W41" s="2294"/>
      <c r="X41" s="1232" t="s">
        <v>466</v>
      </c>
      <c r="Y41" s="1232" t="s">
        <v>467</v>
      </c>
      <c r="Z41" s="1348" t="s">
        <v>468</v>
      </c>
      <c r="AA41" s="2280" t="s">
        <v>469</v>
      </c>
      <c r="AB41" s="2281"/>
      <c r="AC41" s="2289"/>
      <c r="AD41" s="2271"/>
      <c r="AE41" s="2294"/>
      <c r="AF41" s="1232" t="s">
        <v>466</v>
      </c>
      <c r="AG41" s="1232" t="s">
        <v>467</v>
      </c>
      <c r="AH41" s="1348" t="s">
        <v>468</v>
      </c>
      <c r="AI41" s="2280" t="s">
        <v>469</v>
      </c>
      <c r="AJ41" s="2281"/>
      <c r="AK41" s="2289"/>
      <c r="AL41" s="2292"/>
      <c r="AM41" s="2137"/>
      <c r="AS41" s="1165">
        <v>34</v>
      </c>
    </row>
    <row s="1651" customFormat="1" customHeight="1" ht="11.25" hidden="1">
      <c r="A42" s="1380"/>
      <c r="B42" s="1380"/>
      <c r="C42" s="1380"/>
      <c r="D42" s="1380"/>
      <c r="E42" s="1380"/>
      <c r="F42" s="1380"/>
      <c r="G42" s="1380"/>
      <c r="H42" s="1380"/>
      <c r="I42" s="1380"/>
      <c r="J42" s="1380"/>
      <c r="K42" s="1380"/>
      <c r="L42" s="1374"/>
      <c r="M42" s="1372"/>
      <c r="N42" s="1372"/>
      <c r="O42" s="1372"/>
      <c r="P42" s="1256"/>
      <c r="Q42" s="1257"/>
      <c r="R42" s="1264">
        <v>1</v>
      </c>
      <c r="S42" s="1287" t="s">
        <v>124</v>
      </c>
      <c r="T42" s="1265" t="s">
        <v>104</v>
      </c>
      <c r="U42" s="1255" t="str">
        <f>OFFSET(U42,0,-1)</f>
        <v>2</v>
      </c>
      <c r="V42" s="1345">
        <f>OFFSET(V42,0,-1)+1</f>
        <v>3</v>
      </c>
      <c r="W42" s="1345"/>
      <c r="X42" s="1345">
        <f>OFFSET(X42,0,-1)+1</f>
        <v>1</v>
      </c>
      <c r="Y42" s="1345">
        <f>OFFSET(Y42,0,-1)+1</f>
        <v>2</v>
      </c>
      <c r="Z42" s="1345">
        <f>OFFSET(Z42,0,-1)+1</f>
        <v>3</v>
      </c>
      <c r="AA42" s="2282">
        <f>OFFSET(AA42,0,-1)+1</f>
        <v>4</v>
      </c>
      <c r="AB42" s="2282"/>
      <c r="AC42" s="1345">
        <f>OFFSET(AC42,0,-2)+1</f>
        <v>5</v>
      </c>
      <c r="AD42" s="1345">
        <f>OFFSET(AD42,0,-1)+1</f>
        <v>6</v>
      </c>
      <c r="AE42" s="1345"/>
      <c r="AF42" s="1345">
        <f>OFFSET(AF42,0,-1)+1</f>
        <v>1</v>
      </c>
      <c r="AG42" s="1345">
        <f>OFFSET(AG42,0,-1)+1</f>
        <v>2</v>
      </c>
      <c r="AH42" s="1345">
        <f>OFFSET(AH42,0,-1)+1</f>
        <v>3</v>
      </c>
      <c r="AI42" s="2282">
        <f>OFFSET(AI42,0,-1)+1</f>
        <v>4</v>
      </c>
      <c r="AJ42" s="2282"/>
      <c r="AK42" s="1345">
        <f>OFFSET(AK42,0,-2)+1</f>
        <v>5</v>
      </c>
      <c r="AL42" s="1255">
        <f>OFFSET(AL42,0,-1)</f>
        <v>5</v>
      </c>
      <c r="AM42" s="1345">
        <f>OFFSET(AM42,0,-1)+1</f>
        <v>6</v>
      </c>
      <c r="AN42" s="521"/>
      <c r="AO42" s="521"/>
      <c r="AP42" s="521"/>
      <c r="AQ42" s="521"/>
      <c r="AR42" s="521"/>
      <c r="AS42" s="506">
        <v>0</v>
      </c>
    </row>
    <row customHeight="1" ht="22.049999999999997">
      <c r="A43" s="1373" t="s">
        <v>185</v>
      </c>
      <c r="B43" s="1373"/>
      <c r="C43" s="1373"/>
      <c r="D43" s="1373"/>
      <c r="E43" s="2268">
        <v>1</v>
      </c>
      <c r="F43" s="1373"/>
      <c r="G43" s="1373"/>
      <c r="H43" s="1373"/>
      <c r="I43" s="1373"/>
      <c r="J43" s="1373"/>
      <c r="K43" s="1373"/>
      <c r="L43" s="1374"/>
      <c r="M43" s="1375"/>
      <c r="N43" s="1375"/>
      <c r="O43" s="1375"/>
      <c r="P43" s="371"/>
      <c r="Q43" s="370"/>
      <c r="R43" s="365"/>
      <c r="S43" s="1346">
        <f>INDEX(PT_DIFFERENTIATION_NUM_NTAR,MATCH(A43,PT_DIFFERENTIATION_NTAR_ID,0))</f>
        <v>0</v>
      </c>
      <c r="T43" s="308" t="s">
        <v>147</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0"/>
      <c r="AP43" s="510" t="str">
        <f>IF(T43="","",T43)</f>
        <v>Наименование тарифа</v>
      </c>
      <c r="AQ43" s="510"/>
      <c r="AR43" s="510"/>
      <c r="AS43" s="1165">
        <v>21</v>
      </c>
    </row>
    <row customHeight="1" ht="22.049999999999997">
      <c r="A44" s="1373" t="s">
        <v>185</v>
      </c>
      <c r="B44" s="1373" t="s">
        <v>186</v>
      </c>
      <c r="C44" s="1373"/>
      <c r="D44" s="1373"/>
      <c r="E44" s="2269"/>
      <c r="F44" s="2268">
        <v>1</v>
      </c>
      <c r="G44" s="1373"/>
      <c r="H44" s="1373"/>
      <c r="I44" s="1373"/>
      <c r="J44" s="1373"/>
      <c r="K44" s="1373"/>
      <c r="L44" s="1374"/>
      <c r="M44" s="1375"/>
      <c r="N44" s="1375"/>
      <c r="O44" s="1375"/>
      <c r="P44" s="1342"/>
      <c r="Q44" s="362"/>
      <c r="R44" s="363"/>
      <c r="S44" s="1346" t="str">
        <f>INDEX(PT_DIFFERENTIATION_NUM_TER,MATCH(B44,PT_DIFFERENTIATION_TER_ID,0))</f>
        <v>.</v>
      </c>
      <c r="T44" s="318" t="s">
        <v>419</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420</v>
      </c>
      <c r="AO44" s="510"/>
      <c r="AP44" s="510" t="str">
        <f>IF(T44="","",T44)</f>
        <v>Территория действия тарифа</v>
      </c>
      <c r="AQ44" s="510"/>
      <c r="AR44" s="510"/>
      <c r="AS44" s="1165">
        <v>21</v>
      </c>
    </row>
    <row customHeight="1" ht="24">
      <c r="A45" s="1373" t="s">
        <v>185</v>
      </c>
      <c r="B45" s="1373" t="s">
        <v>186</v>
      </c>
      <c r="C45" s="1373" t="s">
        <v>187</v>
      </c>
      <c r="D45" s="1373"/>
      <c r="E45" s="2269"/>
      <c r="F45" s="2269"/>
      <c r="G45" s="2268">
        <v>1</v>
      </c>
      <c r="H45" s="1373"/>
      <c r="I45" s="1373"/>
      <c r="J45" s="1373"/>
      <c r="K45" s="1373"/>
      <c r="L45" s="1374"/>
      <c r="M45" s="1375"/>
      <c r="N45" s="1375"/>
      <c r="O45" s="1375"/>
      <c r="P45" s="364"/>
      <c r="Q45" s="362"/>
      <c r="R45" s="363"/>
      <c r="S45" s="1346" t="str">
        <f>INDEX(PT_DIFFERENTIATION_NUM_CS,MATCH(C45,PT_DIFFERENTIATION_CS_ID,0))</f>
        <v>..</v>
      </c>
      <c r="T45" s="319" t="s">
        <v>421</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422</v>
      </c>
      <c r="AO45" s="510"/>
      <c r="AP45" s="510" t="str">
        <f>IF(T45="","",T45)</f>
        <v>Наименование системы теплоснабжения </v>
      </c>
      <c r="AQ45" s="510"/>
      <c r="AR45" s="510"/>
      <c r="AS45" s="1165">
        <v>23</v>
      </c>
    </row>
    <row customHeight="1" ht="22.049999999999997">
      <c r="A46" s="1373" t="s">
        <v>185</v>
      </c>
      <c r="B46" s="1373" t="s">
        <v>186</v>
      </c>
      <c r="C46" s="1373" t="s">
        <v>187</v>
      </c>
      <c r="D46" s="1373" t="s">
        <v>188</v>
      </c>
      <c r="E46" s="2269"/>
      <c r="F46" s="2269"/>
      <c r="G46" s="2269"/>
      <c r="H46" s="2268">
        <v>1</v>
      </c>
      <c r="I46" s="1373"/>
      <c r="J46" s="1373"/>
      <c r="K46" s="1373"/>
      <c r="L46" s="1374"/>
      <c r="M46" s="1375"/>
      <c r="N46" s="1375"/>
      <c r="O46" s="1375"/>
      <c r="P46" s="364"/>
      <c r="Q46" s="362"/>
      <c r="R46" s="363"/>
      <c r="S46" s="1346" t="str">
        <f>INDEX(PT_DIFFERENTIATION_NUM_IST_TE,MATCH(D46,PT_DIFFERENTIATION_IST_TE_ID,0))</f>
        <v>...</v>
      </c>
      <c r="T46" s="320" t="s">
        <v>423</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424</v>
      </c>
      <c r="AO46" s="510"/>
      <c r="AP46" s="510" t="str">
        <f>IF(T46="","",T46)</f>
        <v>Источник тепловой энергии  </v>
      </c>
      <c r="AQ46" s="510"/>
      <c r="AR46" s="510"/>
      <c r="AS46" s="1165">
        <v>21</v>
      </c>
    </row>
    <row customHeight="1" ht="49.5">
      <c r="A47" s="1373" t="s">
        <v>185</v>
      </c>
      <c r="B47" s="1373" t="s">
        <v>186</v>
      </c>
      <c r="C47" s="1373" t="s">
        <v>187</v>
      </c>
      <c r="D47" s="1373" t="s">
        <v>188</v>
      </c>
      <c r="E47" s="2269"/>
      <c r="F47" s="2269"/>
      <c r="G47" s="2269"/>
      <c r="H47" s="2269"/>
      <c r="I47" s="2266" t="str">
        <f>S46&amp;".1"</f>
        <v>....1</v>
      </c>
      <c r="J47" s="1373"/>
      <c r="K47" s="1373"/>
      <c r="L47" s="1374" t="s">
        <v>425</v>
      </c>
      <c r="P47" s="2267">
        <v>1</v>
      </c>
      <c r="Q47" s="1341"/>
      <c r="R47" s="366"/>
      <c r="S47" s="1346" t="str">
        <f>$I47</f>
        <v>....1</v>
      </c>
      <c r="T47" s="295" t="s">
        <v>426</v>
      </c>
      <c r="U47" s="310"/>
      <c r="V47" s="2255"/>
      <c r="W47" s="2256"/>
      <c r="X47" s="2256"/>
      <c r="Y47" s="2256"/>
      <c r="Z47" s="2256"/>
      <c r="AA47" s="2256"/>
      <c r="AB47" s="2256"/>
      <c r="AC47" s="2257"/>
      <c r="AD47" s="2255"/>
      <c r="AE47" s="2256"/>
      <c r="AF47" s="2256"/>
      <c r="AG47" s="2256"/>
      <c r="AH47" s="2256"/>
      <c r="AI47" s="2256"/>
      <c r="AJ47" s="2256"/>
      <c r="AK47" s="2256"/>
      <c r="AL47" s="2257"/>
      <c r="AM47" s="1268" t="s">
        <v>427</v>
      </c>
      <c r="AO47" s="510"/>
      <c r="AP47" s="510" t="str">
        <f>IF(T47="","",T47)</f>
        <v>Схема подключения теплопотребляющей установки к коллектору источника тепловой энергии</v>
      </c>
      <c r="AQ47" s="510"/>
      <c r="AR47" s="510"/>
      <c r="AS47" s="1165">
        <v>47</v>
      </c>
    </row>
    <row customHeight="1" ht="22.049999999999997">
      <c r="A48" s="1373" t="s">
        <v>185</v>
      </c>
      <c r="B48" s="1373" t="s">
        <v>186</v>
      </c>
      <c r="C48" s="1373" t="s">
        <v>187</v>
      </c>
      <c r="D48" s="1373" t="s">
        <v>188</v>
      </c>
      <c r="E48" s="2269"/>
      <c r="F48" s="2269"/>
      <c r="G48" s="2269"/>
      <c r="H48" s="2269"/>
      <c r="I48" s="2296"/>
      <c r="J48" s="2266" t="str">
        <f>I47&amp;".1"</f>
        <v>....1.1</v>
      </c>
      <c r="K48" s="1373"/>
      <c r="L48" s="1374" t="s">
        <v>428</v>
      </c>
      <c r="P48" s="2267"/>
      <c r="Q48" s="2267">
        <v>1</v>
      </c>
      <c r="R48" s="367"/>
      <c r="S48" s="1346" t="str">
        <f>$J48</f>
        <v>....1.1</v>
      </c>
      <c r="T48" s="296" t="s">
        <v>429</v>
      </c>
      <c r="U48" s="310"/>
      <c r="V48" s="2255"/>
      <c r="W48" s="2256"/>
      <c r="X48" s="2256"/>
      <c r="Y48" s="2256"/>
      <c r="Z48" s="2256"/>
      <c r="AA48" s="2256"/>
      <c r="AB48" s="2256"/>
      <c r="AC48" s="2257"/>
      <c r="AD48" s="2255"/>
      <c r="AE48" s="2256"/>
      <c r="AF48" s="2256"/>
      <c r="AG48" s="2256"/>
      <c r="AH48" s="2256"/>
      <c r="AI48" s="2256"/>
      <c r="AJ48" s="2256"/>
      <c r="AK48" s="2256"/>
      <c r="AL48" s="2257"/>
      <c r="AM48" s="1268" t="s">
        <v>430</v>
      </c>
      <c r="AO48" s="510"/>
      <c r="AP48" s="510" t="str">
        <f>IF(T48="","",T48)</f>
        <v>Группа потребителей</v>
      </c>
      <c r="AQ48" s="510"/>
      <c r="AR48" s="510"/>
      <c r="AS48" s="1165">
        <v>21</v>
      </c>
    </row>
    <row customHeight="1" ht="22.049999999999997">
      <c r="A49" s="1373" t="s">
        <v>185</v>
      </c>
      <c r="B49" s="1373" t="s">
        <v>186</v>
      </c>
      <c r="C49" s="1373" t="s">
        <v>187</v>
      </c>
      <c r="D49" s="1373" t="s">
        <v>188</v>
      </c>
      <c r="E49" s="2269"/>
      <c r="F49" s="2269"/>
      <c r="G49" s="2269"/>
      <c r="H49" s="2269"/>
      <c r="I49" s="2296"/>
      <c r="J49" s="2296"/>
      <c r="K49" s="2266" t="str">
        <f>J48&amp;".1"</f>
        <v>....1.1.1</v>
      </c>
      <c r="L49" s="1374" t="s">
        <v>431</v>
      </c>
      <c r="P49" s="2267"/>
      <c r="Q49" s="2267"/>
      <c r="R49" s="367">
        <v>1</v>
      </c>
      <c r="S49" s="1346" t="str">
        <f>$K49</f>
        <v>....1.1.1</v>
      </c>
      <c r="T49" s="1357"/>
      <c r="U49" s="310"/>
      <c r="V49" s="761"/>
      <c r="W49" s="335"/>
      <c r="X49" s="761"/>
      <c r="Y49" s="1267"/>
      <c r="Z49" s="2275"/>
      <c r="AA49" s="2117" t="s">
        <v>66</v>
      </c>
      <c r="AB49" s="2275"/>
      <c r="AC49" s="2117" t="s">
        <v>66</v>
      </c>
      <c r="AD49" s="761"/>
      <c r="AE49" s="335"/>
      <c r="AF49" s="761"/>
      <c r="AG49" s="1267"/>
      <c r="AH49" s="2275"/>
      <c r="AI49" s="2117" t="s">
        <v>66</v>
      </c>
      <c r="AJ49" s="2297"/>
      <c r="AK49" s="2117" t="s">
        <v>66</v>
      </c>
      <c r="AL49" s="1358"/>
      <c r="AM49" s="2263" t="s">
        <v>432</v>
      </c>
      <c r="AN49" s="521">
        <f>STRCHECKDATE(V50:AL50)</f>
      </c>
      <c r="AO49" s="510"/>
      <c r="AP49" s="510" t="str">
        <f>IF(T49="","",T49)</f>
        <v/>
      </c>
      <c r="AQ49" s="510"/>
      <c r="AR49" s="510"/>
      <c r="AS49" s="1165">
        <v>21</v>
      </c>
    </row>
    <row customHeight="1" ht="1.05">
      <c r="A50" s="1373" t="s">
        <v>185</v>
      </c>
      <c r="B50" s="1373" t="s">
        <v>186</v>
      </c>
      <c r="C50" s="1373" t="s">
        <v>187</v>
      </c>
      <c r="D50" s="1373" t="s">
        <v>188</v>
      </c>
      <c r="E50" s="2269"/>
      <c r="F50" s="2269"/>
      <c r="G50" s="2269"/>
      <c r="H50" s="2269"/>
      <c r="I50" s="2296"/>
      <c r="J50" s="2296"/>
      <c r="K50" s="2266"/>
      <c r="L50" s="1374"/>
      <c r="P50" s="2267"/>
      <c r="Q50" s="2267"/>
      <c r="R50" s="367"/>
      <c r="S50" s="1352"/>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510"/>
      <c r="AP50" s="510" t="str">
        <f>IF(T50="","",T50)</f>
        <v/>
      </c>
      <c r="AQ50" s="510"/>
      <c r="AR50" s="510"/>
      <c r="AS50" s="1165">
        <v>1</v>
      </c>
    </row>
    <row customHeight="1" ht="11.549999999999999">
      <c r="A51" s="1373" t="s">
        <v>185</v>
      </c>
      <c r="B51" s="1373" t="s">
        <v>186</v>
      </c>
      <c r="C51" s="1373" t="s">
        <v>187</v>
      </c>
      <c r="D51" s="1373" t="s">
        <v>188</v>
      </c>
      <c r="E51" s="2269"/>
      <c r="F51" s="2269"/>
      <c r="G51" s="2269"/>
      <c r="H51" s="2269"/>
      <c r="I51" s="2296"/>
      <c r="J51" s="2266"/>
      <c r="K51" s="1373"/>
      <c r="L51" s="1374"/>
      <c r="P51" s="2267"/>
      <c r="Q51" s="2267"/>
      <c r="R51" s="366"/>
      <c r="S51" s="1288"/>
      <c r="T51" s="298" t="s">
        <v>433</v>
      </c>
      <c r="U51" s="377"/>
      <c r="V51" s="377"/>
      <c r="W51" s="377"/>
      <c r="X51" s="377"/>
      <c r="Y51" s="377"/>
      <c r="Z51" s="377"/>
      <c r="AA51" s="377"/>
      <c r="AB51" s="377"/>
      <c r="AC51" s="377"/>
      <c r="AD51" s="377"/>
      <c r="AE51" s="377"/>
      <c r="AF51" s="377"/>
      <c r="AG51" s="377"/>
      <c r="AH51" s="377"/>
      <c r="AI51" s="377"/>
      <c r="AJ51" s="377"/>
      <c r="AK51" s="377"/>
      <c r="AL51" s="334"/>
      <c r="AM51" s="2265"/>
      <c r="AO51" s="510"/>
      <c r="AP51" s="510" t="str">
        <f>IF(T51="","",T51)</f>
        <v>Добавить вид теплоносителя (параметры теплоносителя)</v>
      </c>
      <c r="AQ51" s="510"/>
      <c r="AR51" s="510"/>
      <c r="AS51" s="1165">
        <v>11</v>
      </c>
    </row>
    <row customHeight="1" ht="11.549999999999999">
      <c r="A52" s="1373" t="s">
        <v>185</v>
      </c>
      <c r="B52" s="1373" t="s">
        <v>186</v>
      </c>
      <c r="C52" s="1373" t="s">
        <v>187</v>
      </c>
      <c r="D52" s="1373" t="s">
        <v>188</v>
      </c>
      <c r="E52" s="2269"/>
      <c r="F52" s="2269"/>
      <c r="G52" s="2269"/>
      <c r="H52" s="2269"/>
      <c r="I52" s="2266"/>
      <c r="J52" s="1373"/>
      <c r="K52" s="1373"/>
      <c r="L52" s="1374"/>
      <c r="P52" s="2267"/>
      <c r="Q52" s="1341"/>
      <c r="R52" s="366"/>
      <c r="S52" s="1288"/>
      <c r="T52" s="297" t="s">
        <v>434</v>
      </c>
      <c r="U52" s="377"/>
      <c r="V52" s="377"/>
      <c r="W52" s="377"/>
      <c r="X52" s="377"/>
      <c r="Y52" s="377"/>
      <c r="Z52" s="377"/>
      <c r="AA52" s="377"/>
      <c r="AB52" s="377"/>
      <c r="AC52" s="376"/>
      <c r="AD52" s="377"/>
      <c r="AE52" s="377"/>
      <c r="AF52" s="377"/>
      <c r="AG52" s="377"/>
      <c r="AH52" s="377"/>
      <c r="AI52" s="377"/>
      <c r="AJ52" s="377"/>
      <c r="AK52" s="376"/>
      <c r="AL52" s="377"/>
      <c r="AM52" s="313"/>
      <c r="AO52" s="510"/>
      <c r="AP52" s="510" t="str">
        <f>IF(T52="","",T52)</f>
        <v>Добавить группу потребителей</v>
      </c>
      <c r="AQ52" s="510"/>
      <c r="AR52" s="510"/>
      <c r="AS52" s="1165">
        <v>11</v>
      </c>
    </row>
    <row customHeight="1" ht="14.699999999999998">
      <c r="A53" s="1373" t="s">
        <v>185</v>
      </c>
      <c r="B53" s="1373" t="s">
        <v>186</v>
      </c>
      <c r="C53" s="1373" t="s">
        <v>187</v>
      </c>
      <c r="D53" s="1373" t="s">
        <v>188</v>
      </c>
      <c r="E53" s="2269"/>
      <c r="F53" s="2269"/>
      <c r="G53" s="2269"/>
      <c r="H53" s="2268"/>
      <c r="I53" s="1373"/>
      <c r="J53" s="1373"/>
      <c r="K53" s="1373"/>
      <c r="L53" s="1374"/>
      <c r="M53" s="1375"/>
      <c r="N53" s="1375"/>
      <c r="O53" s="547"/>
      <c r="P53" s="370"/>
      <c r="Q53" s="385"/>
      <c r="R53" s="365"/>
      <c r="S53" s="1288"/>
      <c r="T53" s="375" t="s">
        <v>435</v>
      </c>
      <c r="U53" s="377"/>
      <c r="V53" s="377"/>
      <c r="W53" s="377"/>
      <c r="X53" s="377"/>
      <c r="Y53" s="377"/>
      <c r="Z53" s="377"/>
      <c r="AA53" s="377"/>
      <c r="AB53" s="377"/>
      <c r="AC53" s="376"/>
      <c r="AD53" s="377"/>
      <c r="AE53" s="377"/>
      <c r="AF53" s="377"/>
      <c r="AG53" s="377"/>
      <c r="AH53" s="377"/>
      <c r="AI53" s="377"/>
      <c r="AJ53" s="377"/>
      <c r="AK53" s="376"/>
      <c r="AL53" s="377"/>
      <c r="AM53" s="313"/>
      <c r="AO53" s="510"/>
      <c r="AP53" s="510" t="str">
        <f>IF(T53="","",T53)</f>
        <v>Добавить схему подключения</v>
      </c>
      <c r="AQ53" s="510"/>
      <c r="AR53" s="510"/>
      <c r="AS53" s="1165">
        <v>14</v>
      </c>
    </row>
    <row s="1652" customFormat="1" customHeight="1" ht="1.05">
      <c r="A54" s="1353" t="s">
        <v>185</v>
      </c>
      <c r="B54" s="1353" t="s">
        <v>186</v>
      </c>
      <c r="C54" s="1353" t="s">
        <v>187</v>
      </c>
      <c r="D54" s="1324"/>
      <c r="E54" s="2269"/>
      <c r="F54" s="2269"/>
      <c r="G54" s="2268"/>
      <c r="H54" s="1324"/>
      <c r="I54" s="1324"/>
      <c r="J54" s="1324"/>
      <c r="K54" s="1324"/>
      <c r="L54" s="1349"/>
      <c r="M54" s="1325"/>
      <c r="N54" s="1325"/>
      <c r="P54" s="1326"/>
      <c r="Q54" s="1327"/>
      <c r="R54" s="1326"/>
      <c r="S54" s="1332"/>
      <c r="T54" s="1335" t="s">
        <v>436</v>
      </c>
      <c r="U54" s="1334"/>
      <c r="V54" s="1334"/>
      <c r="W54" s="1334"/>
      <c r="X54" s="1334"/>
      <c r="Y54" s="1334"/>
      <c r="Z54" s="1334"/>
      <c r="AA54" s="1334"/>
      <c r="AB54" s="1334"/>
      <c r="AC54" s="1334"/>
      <c r="AD54" s="1334"/>
      <c r="AE54" s="1334"/>
      <c r="AF54" s="1334"/>
      <c r="AG54" s="1334"/>
      <c r="AH54" s="1334"/>
      <c r="AI54" s="1334"/>
      <c r="AJ54" s="1334"/>
      <c r="AK54" s="1334"/>
      <c r="AL54" s="1334"/>
      <c r="AM54" s="1334"/>
      <c r="AO54" s="799"/>
      <c r="AP54" s="799" t="str">
        <f>IF(T54="","",T54)</f>
        <v>Добавить источник для дифференциации</v>
      </c>
      <c r="AQ54" s="799"/>
      <c r="AR54" s="799"/>
      <c r="AS54" s="528">
        <v>1</v>
      </c>
    </row>
    <row s="1652" customFormat="1" customHeight="1" ht="1.05">
      <c r="A55" s="1353" t="s">
        <v>185</v>
      </c>
      <c r="B55" s="1353" t="s">
        <v>186</v>
      </c>
      <c r="C55" s="1324"/>
      <c r="D55" s="1324"/>
      <c r="E55" s="2269"/>
      <c r="F55" s="2268"/>
      <c r="G55" s="1324"/>
      <c r="H55" s="1324"/>
      <c r="I55" s="1324"/>
      <c r="J55" s="1324"/>
      <c r="K55" s="1324"/>
      <c r="L55" s="1349"/>
      <c r="M55" s="1331"/>
      <c r="N55" s="1331"/>
      <c r="P55" s="1326"/>
      <c r="Q55" s="1327"/>
      <c r="R55" s="1326"/>
      <c r="S55" s="1332"/>
      <c r="T55" s="1335" t="s">
        <v>437</v>
      </c>
      <c r="U55" s="1334"/>
      <c r="V55" s="1334"/>
      <c r="W55" s="1334"/>
      <c r="X55" s="1334"/>
      <c r="Y55" s="1334"/>
      <c r="Z55" s="1334"/>
      <c r="AA55" s="1334"/>
      <c r="AB55" s="1334"/>
      <c r="AC55" s="1334"/>
      <c r="AD55" s="1334"/>
      <c r="AE55" s="1334"/>
      <c r="AF55" s="1334"/>
      <c r="AG55" s="1334"/>
      <c r="AH55" s="1334"/>
      <c r="AI55" s="1334"/>
      <c r="AJ55" s="1334"/>
      <c r="AK55" s="1334"/>
      <c r="AL55" s="1334"/>
      <c r="AM55" s="1334"/>
      <c r="AO55" s="799"/>
      <c r="AP55" s="799" t="str">
        <f>IF(T55="","",T55)</f>
        <v>Добавить централизованную систему для дифференциации</v>
      </c>
      <c r="AQ55" s="799"/>
      <c r="AR55" s="799"/>
      <c r="AS55" s="528">
        <v>1</v>
      </c>
    </row>
    <row s="1652" customFormat="1" customHeight="1" ht="1.05">
      <c r="A56" s="1353" t="s">
        <v>185</v>
      </c>
      <c r="B56" s="1353"/>
      <c r="C56" s="1353"/>
      <c r="D56" s="1353"/>
      <c r="E56" s="2268"/>
      <c r="F56" s="1353"/>
      <c r="G56" s="1353"/>
      <c r="H56" s="1353"/>
      <c r="I56" s="1353"/>
      <c r="J56" s="1353"/>
      <c r="K56" s="1353"/>
      <c r="L56" s="1356"/>
      <c r="M56" s="1331"/>
      <c r="N56" s="1331"/>
      <c r="O56" s="528"/>
      <c r="P56" s="390"/>
      <c r="Q56" s="1354"/>
      <c r="R56" s="390"/>
      <c r="S56" s="1332"/>
      <c r="T56" s="1335" t="s">
        <v>438</v>
      </c>
      <c r="U56" s="1334"/>
      <c r="V56" s="1334"/>
      <c r="W56" s="1334"/>
      <c r="X56" s="1334"/>
      <c r="Y56" s="1334"/>
      <c r="Z56" s="1334"/>
      <c r="AA56" s="1334"/>
      <c r="AB56" s="1334"/>
      <c r="AC56" s="1334"/>
      <c r="AD56" s="1334"/>
      <c r="AE56" s="1334"/>
      <c r="AF56" s="1334"/>
      <c r="AG56" s="1334"/>
      <c r="AH56" s="1334"/>
      <c r="AI56" s="1334"/>
      <c r="AJ56" s="1334"/>
      <c r="AK56" s="1334"/>
      <c r="AL56" s="1334"/>
      <c r="AM56" s="1334"/>
      <c r="AO56" s="510"/>
      <c r="AP56" s="510" t="str">
        <f>IF(T56="","",T56)</f>
        <v>Добавить территорию для дифференциации</v>
      </c>
      <c r="AQ56" s="510"/>
      <c r="AR56" s="510"/>
      <c r="AS56" s="521">
        <v>1</v>
      </c>
    </row>
    <row s="1652" customFormat="1" customHeight="1" ht="1.05">
      <c r="A57" s="1324"/>
      <c r="B57" s="1324"/>
      <c r="C57" s="1324"/>
      <c r="D57" s="1324"/>
      <c r="E57" s="1353"/>
      <c r="F57" s="1324"/>
      <c r="G57" s="1324"/>
      <c r="H57" s="1324"/>
      <c r="I57" s="1324"/>
      <c r="J57" s="1324"/>
      <c r="K57" s="1324"/>
      <c r="L57" s="1349"/>
      <c r="M57" s="1331"/>
      <c r="N57" s="1331"/>
      <c r="P57" s="1326"/>
      <c r="Q57" s="1327"/>
      <c r="R57" s="1326"/>
      <c r="S57" s="1332"/>
      <c r="T57" s="1335" t="s">
        <v>470</v>
      </c>
      <c r="U57" s="1334"/>
      <c r="V57" s="1334"/>
      <c r="W57" s="1334"/>
      <c r="X57" s="1334"/>
      <c r="Y57" s="1334"/>
      <c r="Z57" s="1334"/>
      <c r="AA57" s="1334"/>
      <c r="AB57" s="1334"/>
      <c r="AC57" s="1334"/>
      <c r="AD57" s="1334"/>
      <c r="AE57" s="1334"/>
      <c r="AF57" s="1334"/>
      <c r="AG57" s="1334"/>
      <c r="AH57" s="1334"/>
      <c r="AI57" s="1334"/>
      <c r="AJ57" s="1334"/>
      <c r="AK57" s="1334"/>
      <c r="AL57" s="1334"/>
      <c r="AM57" s="1334"/>
      <c r="AO57" s="799"/>
      <c r="AP57" s="799" t="str">
        <f>IF(T57="","",T57)</f>
        <v>Добавить наименование тарифа</v>
      </c>
      <c r="AQ57" s="799"/>
      <c r="AR57" s="799"/>
      <c r="AS57" s="528">
        <v>1</v>
      </c>
    </row>
    <row customHeight="1" ht="11.549999999999999">
      <c r="M58" s="1170"/>
      <c r="N58" s="1170"/>
      <c r="O58" s="547"/>
      <c r="P58" s="1165"/>
      <c r="Q58" s="1165"/>
      <c r="R58" s="1165"/>
      <c r="S58" s="1165"/>
      <c r="AN58" s="1165"/>
      <c r="AO58" s="1165"/>
      <c r="AP58" s="1165"/>
      <c r="AQ58" s="1165"/>
      <c r="AR58" s="1165"/>
      <c r="AS58" s="1165">
        <v>11</v>
      </c>
    </row>
    <row customHeight="1" ht="28.5">
      <c r="O59" s="547"/>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165">
        <v>27</v>
      </c>
    </row>
    <row customHeight="1" ht="65.25">
      <c r="O60" s="547"/>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165">
        <v>62</v>
      </c>
    </row>
    <row customHeight="1" ht="14.699999999999998">
      <c r="O61" s="547"/>
      <c r="AS61" s="1165">
        <v>14</v>
      </c>
    </row>
    <row customHeight="1" ht="18.75">
      <c r="O62" s="547"/>
      <c r="S62" s="1263"/>
      <c r="T62" s="2295"/>
      <c r="U62" s="2295"/>
      <c r="V62" s="2295"/>
      <c r="W62" s="2295"/>
      <c r="X62" s="2295"/>
      <c r="Y62" s="2295"/>
      <c r="Z62" s="2295"/>
      <c r="AA62" s="2295"/>
      <c r="AB62" s="2295"/>
      <c r="AC62" s="2295"/>
      <c r="AD62" s="2295"/>
      <c r="AE62" s="2295"/>
      <c r="AF62" s="2295"/>
      <c r="AG62" s="2295"/>
      <c r="AH62" s="2295"/>
      <c r="AI62" s="2295"/>
      <c r="AJ62" s="2295"/>
      <c r="AK62" s="2295"/>
      <c r="AL62" s="2295"/>
      <c r="AM62" s="2295"/>
      <c r="AS62" s="1165">
        <v>18</v>
      </c>
    </row>
    <row customHeight="1" ht="18.75">
      <c r="O63" s="547"/>
      <c r="T63" s="2295"/>
      <c r="U63" s="2295"/>
      <c r="V63" s="2295"/>
      <c r="W63" s="2295"/>
      <c r="X63" s="2295"/>
      <c r="Y63" s="2295"/>
      <c r="Z63" s="2295"/>
      <c r="AA63" s="2295"/>
      <c r="AB63" s="2295"/>
      <c r="AC63" s="2295"/>
      <c r="AD63" s="2295"/>
      <c r="AE63" s="2295"/>
      <c r="AF63" s="2295"/>
      <c r="AG63" s="2295"/>
      <c r="AH63" s="2295"/>
      <c r="AI63" s="2295"/>
      <c r="AJ63" s="2295"/>
      <c r="AK63" s="2295"/>
      <c r="AL63" s="2295"/>
      <c r="AM63" s="2295"/>
      <c r="AS63" s="1165">
        <v>18</v>
      </c>
    </row>
    <row customHeight="1" ht="29.25">
      <c r="O64" s="547"/>
      <c r="S64" s="1263"/>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165">
        <v>28</v>
      </c>
    </row>
    <row customHeight="1" ht="22.5" hidden="1">
      <c r="A65" s="1170" t="s">
        <v>82</v>
      </c>
      <c r="B65" s="1170">
        <v>0</v>
      </c>
      <c r="C65" s="1170">
        <v>0</v>
      </c>
      <c r="D65" s="1170">
        <v>0</v>
      </c>
      <c r="E65" s="1170">
        <v>0</v>
      </c>
      <c r="F65" s="1170">
        <v>0</v>
      </c>
      <c r="G65" s="1170">
        <v>0</v>
      </c>
      <c r="H65" s="1170">
        <v>0</v>
      </c>
      <c r="I65" s="1170">
        <v>0</v>
      </c>
      <c r="J65" s="1170">
        <v>0</v>
      </c>
      <c r="K65" s="1170">
        <v>0</v>
      </c>
      <c r="L65" s="1339">
        <v>0</v>
      </c>
      <c r="M65" s="1372">
        <v>0</v>
      </c>
      <c r="N65" s="1372">
        <v>0</v>
      </c>
      <c r="O65" s="1372">
        <v>0</v>
      </c>
      <c r="P65" s="1338">
        <v>3</v>
      </c>
      <c r="Q65" s="354">
        <v>3</v>
      </c>
      <c r="R65" s="354">
        <v>3</v>
      </c>
      <c r="S65" s="591">
        <v>12</v>
      </c>
      <c r="T65" s="1165">
        <v>31</v>
      </c>
      <c r="U65" s="1165">
        <v>0</v>
      </c>
      <c r="V65" s="1165">
        <v>0</v>
      </c>
      <c r="W65" s="1165">
        <v>0</v>
      </c>
      <c r="X65" s="1165">
        <v>0</v>
      </c>
      <c r="Y65" s="1165">
        <v>0</v>
      </c>
      <c r="Z65" s="1165">
        <v>0</v>
      </c>
      <c r="AA65" s="1165">
        <v>0</v>
      </c>
      <c r="AB65" s="1165">
        <v>0</v>
      </c>
      <c r="AC65" s="1165">
        <v>0</v>
      </c>
      <c r="AD65" s="1165">
        <v>24</v>
      </c>
      <c r="AE65" s="1165">
        <v>0</v>
      </c>
      <c r="AF65" s="1165">
        <v>24</v>
      </c>
      <c r="AG65" s="1165">
        <v>24</v>
      </c>
      <c r="AH65" s="1165">
        <v>11</v>
      </c>
      <c r="AI65" s="1165">
        <v>3</v>
      </c>
      <c r="AJ65" s="1165">
        <v>11</v>
      </c>
      <c r="AK65" s="1165">
        <v>0</v>
      </c>
      <c r="AL65" s="1165">
        <v>4</v>
      </c>
      <c r="AM65" s="1165">
        <v>115</v>
      </c>
      <c r="AN65" s="521">
        <v>10</v>
      </c>
      <c r="AO65" s="521">
        <v>10</v>
      </c>
      <c r="AP65" s="521">
        <v>10</v>
      </c>
      <c r="AQ65" s="521">
        <v>10</v>
      </c>
      <c r="AR65" s="521">
        <v>10</v>
      </c>
      <c r="AS65" s="1165">
        <v>23</v>
      </c>
    </row>
  </sheetData>
  <sheetProtection sheet="1" formatColumns="0" formatRows="0" autoFilter="0" sort="1" insertRows="1" insertColumns="1" deleteRows="1" deleteColumns="1"/>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ABA3D5-E26B-B6AF-6BE8-0.9BBD121F}"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45" width="10.57421875" hidden="1"/>
    <col min="2" max="2" style="1645" width="11.00390625" hidden="1" customWidth="1"/>
    <col min="3" max="3" style="1645" width="10.57421875" hidden="1"/>
    <col min="4" max="4" style="1645" width="11.8515625" hidden="1" customWidth="1"/>
    <col min="5" max="5" style="1645" width="10.00390625" hidden="1" customWidth="1"/>
    <col min="6" max="6" style="1645" width="8.7109375" hidden="1" customWidth="1"/>
    <col min="7" max="7" style="1645" width="7.57421875" hidden="1" customWidth="1"/>
    <col min="8" max="8" style="1645" width="11.421875" hidden="1" customWidth="1"/>
    <col min="9" max="9" style="1645" width="12.00390625" hidden="1" customWidth="1"/>
    <col min="10" max="10" style="1645" width="9.8515625" hidden="1" customWidth="1"/>
    <col min="11" max="11" style="1645" width="11.421875" hidden="1" customWidth="1"/>
    <col min="12" max="12" style="2135" width="19.140625" hidden="1" customWidth="1"/>
    <col min="13" max="14" style="2407" width="12.28125" hidden="1" customWidth="1"/>
    <col min="15" max="15" style="2407" width="23.421875" hidden="1" customWidth="1"/>
    <col min="16" max="16" style="2407" width="3.00390625" customWidth="1"/>
    <col min="17" max="18" style="354" width="3.00390625" customWidth="1"/>
    <col min="19" max="19" style="2417" width="12.00390625" customWidth="1"/>
    <col min="20" max="20" style="1645" width="31.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AS1" s="1641" t="s">
        <v>14</v>
      </c>
    </row>
    <row customHeight="1" ht="21" hidden="1">
      <c r="A2" s="1277"/>
      <c r="B2" s="1277"/>
      <c r="C2" s="1277"/>
      <c r="D2" s="1277"/>
      <c r="E2" s="2299">
        <v>1</v>
      </c>
      <c r="F2" s="1277"/>
      <c r="G2" s="1277"/>
      <c r="H2" s="1277"/>
      <c r="I2" s="1277"/>
      <c r="J2" s="1277"/>
      <c r="K2" s="1277"/>
      <c r="L2" s="1320"/>
      <c r="M2" s="1620"/>
      <c r="N2" s="1620"/>
      <c r="O2" s="1620"/>
      <c r="P2" s="1600"/>
      <c r="Q2" s="370"/>
      <c r="R2" s="365"/>
      <c r="S2" s="1968">
        <f>INDEX(PT_DIFFERENTIATION_NUM_NTAR,MATCH(A2,PT_DIFFERENTIATION_NTAR_ID,0))</f>
      </c>
      <c r="T2" s="1535" t="s">
        <v>147</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418</v>
      </c>
      <c r="AO2" s="1634"/>
      <c r="AP2" s="1634" t="str">
        <f>IF(T2="","",T2)</f>
        <v>Наименование тарифа</v>
      </c>
      <c r="AQ2" s="1634"/>
      <c r="AR2" s="1634"/>
      <c r="AS2" s="1641">
        <v>0</v>
      </c>
    </row>
    <row customHeight="1" ht="21" hidden="1">
      <c r="A3" s="1277"/>
      <c r="B3" s="1277"/>
      <c r="C3" s="1277"/>
      <c r="D3" s="1277"/>
      <c r="E3" s="2300"/>
      <c r="F3" s="2299">
        <v>1</v>
      </c>
      <c r="G3" s="1277"/>
      <c r="H3" s="1277"/>
      <c r="I3" s="1277"/>
      <c r="J3" s="1277"/>
      <c r="K3" s="1277"/>
      <c r="L3" s="1320"/>
      <c r="M3" s="1620"/>
      <c r="N3" s="1620"/>
      <c r="O3" s="1620"/>
      <c r="P3" s="1950"/>
      <c r="Q3" s="362"/>
      <c r="R3" s="363"/>
      <c r="S3" s="1968">
        <f>INDEX(PT_DIFFERENTIATION_NUM_TER,MATCH(B3,PT_DIFFERENTIATION_TER_ID,0))</f>
      </c>
      <c r="T3" s="1532" t="s">
        <v>419</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420</v>
      </c>
      <c r="AO3" s="1634"/>
      <c r="AP3" s="1634" t="str">
        <f>IF(T3="","",T3)</f>
        <v>Территория действия тарифа</v>
      </c>
      <c r="AQ3" s="1634"/>
      <c r="AR3" s="1634"/>
      <c r="AS3" s="1641">
        <v>0</v>
      </c>
    </row>
    <row customHeight="1" ht="23.25" hidden="1">
      <c r="A4" s="1277"/>
      <c r="B4" s="1277"/>
      <c r="C4" s="1277"/>
      <c r="D4" s="1277"/>
      <c r="E4" s="2300"/>
      <c r="F4" s="2300"/>
      <c r="G4" s="2299">
        <v>1</v>
      </c>
      <c r="H4" s="1277"/>
      <c r="I4" s="1277"/>
      <c r="J4" s="1277"/>
      <c r="K4" s="1277"/>
      <c r="L4" s="1320"/>
      <c r="M4" s="1620"/>
      <c r="N4" s="1620"/>
      <c r="O4" s="1620"/>
      <c r="P4" s="364"/>
      <c r="Q4" s="362"/>
      <c r="R4" s="363"/>
      <c r="S4" s="1968">
        <f>INDEX(PT_DIFFERENTIATION_NUM_CS,MATCH(C4,PT_DIFFERENTIATION_CS_ID,0))</f>
      </c>
      <c r="T4" s="319" t="s">
        <v>421</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422</v>
      </c>
      <c r="AO4" s="1634"/>
      <c r="AP4" s="1634" t="str">
        <f>IF(T4="","",T4)</f>
        <v>Наименование системы теплоснабжения </v>
      </c>
      <c r="AQ4" s="1634"/>
      <c r="AR4" s="1634"/>
      <c r="AS4" s="1641">
        <v>0</v>
      </c>
    </row>
    <row customHeight="1" ht="21" hidden="1">
      <c r="A5" s="1277"/>
      <c r="B5" s="1277"/>
      <c r="C5" s="1277"/>
      <c r="D5" s="1277"/>
      <c r="E5" s="2300"/>
      <c r="F5" s="2300"/>
      <c r="G5" s="2300"/>
      <c r="H5" s="2299">
        <v>1</v>
      </c>
      <c r="I5" s="1277"/>
      <c r="J5" s="1277"/>
      <c r="K5" s="1277"/>
      <c r="L5" s="1320"/>
      <c r="M5" s="1620"/>
      <c r="N5" s="1620"/>
      <c r="O5" s="1620"/>
      <c r="P5" s="364"/>
      <c r="Q5" s="362"/>
      <c r="R5" s="363"/>
      <c r="S5" s="1968">
        <f>INDEX(PT_DIFFERENTIATION_NUM_IST_TE,MATCH(D5,PT_DIFFERENTIATION_IST_TE_ID,0))</f>
      </c>
      <c r="T5" s="320" t="s">
        <v>423</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424</v>
      </c>
      <c r="AO5" s="1634"/>
      <c r="AP5" s="1634" t="str">
        <f>IF(T5="","",T5)</f>
        <v>Источник тепловой энергии  </v>
      </c>
      <c r="AQ5" s="1634"/>
      <c r="AR5" s="1634"/>
      <c r="AS5" s="1641">
        <v>0</v>
      </c>
    </row>
    <row customHeight="1" ht="47.25" hidden="1">
      <c r="A6" s="1277"/>
      <c r="B6" s="1277"/>
      <c r="C6" s="1277"/>
      <c r="D6" s="1277"/>
      <c r="E6" s="2300"/>
      <c r="F6" s="2300"/>
      <c r="G6" s="2300"/>
      <c r="H6" s="2300"/>
      <c r="I6" s="2137">
        <f>S5&amp;".1"</f>
      </c>
      <c r="J6" s="1277"/>
      <c r="K6" s="1277"/>
      <c r="L6" s="1320" t="s">
        <v>425</v>
      </c>
      <c r="M6" s="1645"/>
      <c r="P6" s="2267">
        <v>1</v>
      </c>
      <c r="Q6" s="1964"/>
      <c r="R6" s="366"/>
      <c r="S6" s="1968">
        <f>$I6</f>
      </c>
      <c r="T6" s="295" t="s">
        <v>426</v>
      </c>
      <c r="U6" s="310"/>
      <c r="V6" s="2255"/>
      <c r="W6" s="2256"/>
      <c r="X6" s="2256"/>
      <c r="Y6" s="2256"/>
      <c r="Z6" s="2256"/>
      <c r="AA6" s="2256"/>
      <c r="AB6" s="2256"/>
      <c r="AC6" s="2257"/>
      <c r="AD6" s="2255"/>
      <c r="AE6" s="2256"/>
      <c r="AF6" s="2256"/>
      <c r="AG6" s="2256"/>
      <c r="AH6" s="2256"/>
      <c r="AI6" s="2256"/>
      <c r="AJ6" s="2256"/>
      <c r="AK6" s="2256"/>
      <c r="AL6" s="2257"/>
      <c r="AM6" s="1268" t="s">
        <v>427</v>
      </c>
      <c r="AO6" s="1634"/>
      <c r="AP6" s="1634" t="str">
        <f>IF(T6="","",T6)</f>
        <v>Схема подключения теплопотребляющей установки к коллектору источника тепловой энергии</v>
      </c>
      <c r="AQ6" s="1634"/>
      <c r="AR6" s="1634"/>
      <c r="AS6" s="1641">
        <v>0</v>
      </c>
    </row>
    <row customHeight="1" ht="21" hidden="1">
      <c r="A7" s="1277"/>
      <c r="B7" s="1277"/>
      <c r="C7" s="1277"/>
      <c r="D7" s="1277"/>
      <c r="E7" s="2300"/>
      <c r="F7" s="2300"/>
      <c r="G7" s="2300"/>
      <c r="H7" s="2300"/>
      <c r="I7" s="2111"/>
      <c r="J7" s="2137">
        <f>I6&amp;".1"</f>
      </c>
      <c r="K7" s="1277"/>
      <c r="L7" s="1320" t="s">
        <v>428</v>
      </c>
      <c r="M7" s="1645"/>
      <c r="N7" s="1641"/>
      <c r="P7" s="2267"/>
      <c r="Q7" s="2267">
        <v>1</v>
      </c>
      <c r="R7" s="367"/>
      <c r="S7" s="1968">
        <f>$J7</f>
      </c>
      <c r="T7" s="296" t="s">
        <v>429</v>
      </c>
      <c r="U7" s="310"/>
      <c r="V7" s="2255"/>
      <c r="W7" s="2256"/>
      <c r="X7" s="2256"/>
      <c r="Y7" s="2256"/>
      <c r="Z7" s="2256"/>
      <c r="AA7" s="2256"/>
      <c r="AB7" s="2256"/>
      <c r="AC7" s="2257"/>
      <c r="AD7" s="2255"/>
      <c r="AE7" s="2256"/>
      <c r="AF7" s="2256"/>
      <c r="AG7" s="2256"/>
      <c r="AH7" s="2256"/>
      <c r="AI7" s="2256"/>
      <c r="AJ7" s="2256"/>
      <c r="AK7" s="2256"/>
      <c r="AL7" s="2257"/>
      <c r="AM7" s="1268" t="s">
        <v>430</v>
      </c>
      <c r="AO7" s="1634"/>
      <c r="AP7" s="1634" t="str">
        <f>IF(T7="","",T7)</f>
        <v>Группа потребителей</v>
      </c>
      <c r="AQ7" s="1634"/>
      <c r="AR7" s="1634"/>
      <c r="AS7" s="1641">
        <v>0</v>
      </c>
    </row>
    <row customHeight="1" ht="21" hidden="1">
      <c r="A8" s="1277"/>
      <c r="B8" s="1277"/>
      <c r="C8" s="1277"/>
      <c r="D8" s="1277"/>
      <c r="E8" s="2300"/>
      <c r="F8" s="2300"/>
      <c r="G8" s="2300"/>
      <c r="H8" s="2300"/>
      <c r="I8" s="2111"/>
      <c r="J8" s="2111"/>
      <c r="K8" s="2137">
        <f>J7&amp;".1"</f>
      </c>
      <c r="L8" s="1320" t="s">
        <v>431</v>
      </c>
      <c r="M8" s="1645"/>
      <c r="N8" s="1641"/>
      <c r="O8" s="1641"/>
      <c r="P8" s="2267"/>
      <c r="Q8" s="2267"/>
      <c r="R8" s="367">
        <v>1</v>
      </c>
      <c r="S8" s="1968">
        <f>$K8</f>
      </c>
      <c r="T8" s="1357"/>
      <c r="U8" s="310"/>
      <c r="V8" s="761"/>
      <c r="W8" s="335"/>
      <c r="X8" s="761"/>
      <c r="Y8" s="1267"/>
      <c r="Z8" s="2275"/>
      <c r="AA8" s="2117" t="s">
        <v>66</v>
      </c>
      <c r="AB8" s="2275"/>
      <c r="AC8" s="2117" t="s">
        <v>66</v>
      </c>
      <c r="AD8" s="761"/>
      <c r="AE8" s="335"/>
      <c r="AF8" s="761"/>
      <c r="AG8" s="1267"/>
      <c r="AH8" s="2275"/>
      <c r="AI8" s="2117" t="s">
        <v>66</v>
      </c>
      <c r="AJ8" s="2275"/>
      <c r="AK8" s="2117" t="s">
        <v>66</v>
      </c>
      <c r="AL8" s="335"/>
      <c r="AM8" s="2263" t="s">
        <v>432</v>
      </c>
      <c r="AN8" s="1646">
        <f>STRCHECKDATE(V9:AL9)</f>
      </c>
      <c r="AO8" s="1634"/>
      <c r="AP8" s="1634" t="str">
        <f>IF(T8="","",T8)</f>
        <v/>
      </c>
      <c r="AQ8" s="1634"/>
      <c r="AR8" s="1634"/>
      <c r="AS8" s="1641">
        <v>0</v>
      </c>
    </row>
    <row customHeight="1" ht="0.75" hidden="1">
      <c r="A9" s="1277"/>
      <c r="B9" s="1277"/>
      <c r="C9" s="1277"/>
      <c r="D9" s="1277"/>
      <c r="E9" s="2300"/>
      <c r="F9" s="2300"/>
      <c r="G9" s="2300"/>
      <c r="H9" s="2300"/>
      <c r="I9" s="2111"/>
      <c r="J9" s="2111"/>
      <c r="K9" s="2137"/>
      <c r="L9" s="1320"/>
      <c r="M9" s="1645"/>
      <c r="N9" s="1641"/>
      <c r="O9" s="1641"/>
      <c r="P9" s="2267"/>
      <c r="Q9" s="2267"/>
      <c r="R9" s="367"/>
      <c r="S9" s="1977"/>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1634"/>
      <c r="AP9" s="1634" t="str">
        <f>IF(T9="","",T9)</f>
        <v/>
      </c>
      <c r="AQ9" s="1634"/>
      <c r="AR9" s="1634"/>
      <c r="AS9" s="1641">
        <v>0</v>
      </c>
    </row>
    <row customHeight="1" ht="15" hidden="1">
      <c r="A10" s="1277"/>
      <c r="B10" s="1277"/>
      <c r="C10" s="1277"/>
      <c r="D10" s="1277"/>
      <c r="E10" s="2300"/>
      <c r="F10" s="2300"/>
      <c r="G10" s="2300"/>
      <c r="H10" s="2300"/>
      <c r="I10" s="2111"/>
      <c r="J10" s="2137"/>
      <c r="K10" s="1277"/>
      <c r="L10" s="1320"/>
      <c r="M10" s="1645"/>
      <c r="N10" s="1641"/>
      <c r="P10" s="2267"/>
      <c r="Q10" s="2267"/>
      <c r="R10" s="366"/>
      <c r="S10" s="1288"/>
      <c r="T10" s="298" t="s">
        <v>433</v>
      </c>
      <c r="U10" s="610"/>
      <c r="V10" s="610"/>
      <c r="W10" s="610"/>
      <c r="X10" s="610"/>
      <c r="Y10" s="610"/>
      <c r="Z10" s="610"/>
      <c r="AA10" s="610"/>
      <c r="AB10" s="610"/>
      <c r="AC10" s="610"/>
      <c r="AD10" s="610"/>
      <c r="AE10" s="610"/>
      <c r="AF10" s="610"/>
      <c r="AG10" s="610"/>
      <c r="AH10" s="610"/>
      <c r="AI10" s="610"/>
      <c r="AJ10" s="610"/>
      <c r="AK10" s="610"/>
      <c r="AL10" s="334"/>
      <c r="AM10" s="2265"/>
      <c r="AO10" s="1634"/>
      <c r="AP10" s="1634" t="str">
        <f>IF(T10="","",T10)</f>
        <v>Добавить вид теплоносителя (параметры теплоносителя)</v>
      </c>
      <c r="AQ10" s="1634"/>
      <c r="AR10" s="1634"/>
      <c r="AS10" s="1641">
        <v>0</v>
      </c>
    </row>
    <row customHeight="1" ht="15" hidden="1">
      <c r="A11" s="1277"/>
      <c r="B11" s="1277"/>
      <c r="C11" s="1277"/>
      <c r="D11" s="1277"/>
      <c r="E11" s="2300"/>
      <c r="F11" s="2300"/>
      <c r="G11" s="2300"/>
      <c r="H11" s="2300"/>
      <c r="I11" s="2137"/>
      <c r="J11" s="1277"/>
      <c r="K11" s="1277"/>
      <c r="L11" s="1320"/>
      <c r="M11" s="1645"/>
      <c r="P11" s="2267"/>
      <c r="Q11" s="1964"/>
      <c r="R11" s="366"/>
      <c r="S11" s="1288"/>
      <c r="T11" s="297" t="s">
        <v>434</v>
      </c>
      <c r="U11" s="610"/>
      <c r="V11" s="610"/>
      <c r="W11" s="610"/>
      <c r="X11" s="610"/>
      <c r="Y11" s="610"/>
      <c r="Z11" s="610"/>
      <c r="AA11" s="610"/>
      <c r="AB11" s="610"/>
      <c r="AC11" s="376"/>
      <c r="AD11" s="610"/>
      <c r="AE11" s="610"/>
      <c r="AF11" s="610"/>
      <c r="AG11" s="610"/>
      <c r="AH11" s="610"/>
      <c r="AI11" s="610"/>
      <c r="AJ11" s="610"/>
      <c r="AK11" s="376"/>
      <c r="AL11" s="610"/>
      <c r="AM11" s="313"/>
      <c r="AO11" s="1634"/>
      <c r="AP11" s="1634" t="str">
        <f>IF(T11="","",T11)</f>
        <v>Добавить группу потребителей</v>
      </c>
      <c r="AQ11" s="1634"/>
      <c r="AR11" s="1634"/>
      <c r="AS11" s="1641">
        <v>0</v>
      </c>
    </row>
    <row customHeight="1" ht="14.25" hidden="1">
      <c r="A12" s="1277"/>
      <c r="B12" s="1277"/>
      <c r="C12" s="1277"/>
      <c r="D12" s="1277"/>
      <c r="E12" s="2300"/>
      <c r="F12" s="2300"/>
      <c r="G12" s="2300"/>
      <c r="H12" s="2299"/>
      <c r="I12" s="1277"/>
      <c r="J12" s="1277"/>
      <c r="K12" s="1277"/>
      <c r="L12" s="1320"/>
      <c r="M12" s="1620"/>
      <c r="N12" s="1620"/>
      <c r="O12" s="1645"/>
      <c r="P12" s="370"/>
      <c r="Q12" s="385"/>
      <c r="R12" s="365"/>
      <c r="S12" s="1288"/>
      <c r="T12" s="375" t="s">
        <v>435</v>
      </c>
      <c r="U12" s="610"/>
      <c r="V12" s="610"/>
      <c r="W12" s="610"/>
      <c r="X12" s="610"/>
      <c r="Y12" s="610"/>
      <c r="Z12" s="610"/>
      <c r="AA12" s="610"/>
      <c r="AB12" s="610"/>
      <c r="AC12" s="376"/>
      <c r="AD12" s="610"/>
      <c r="AE12" s="610"/>
      <c r="AF12" s="610"/>
      <c r="AG12" s="610"/>
      <c r="AH12" s="610"/>
      <c r="AI12" s="610"/>
      <c r="AJ12" s="610"/>
      <c r="AK12" s="376"/>
      <c r="AL12" s="610"/>
      <c r="AM12" s="313"/>
      <c r="AO12" s="1634"/>
      <c r="AP12" s="1634" t="str">
        <f>IF(T12="","",T12)</f>
        <v>Добавить схему подключения</v>
      </c>
      <c r="AQ12" s="1634"/>
      <c r="AR12" s="1634"/>
      <c r="AS12" s="1641">
        <v>0</v>
      </c>
    </row>
    <row s="1652" customFormat="1" customHeight="1" ht="0.75" hidden="1">
      <c r="A13" s="1384"/>
      <c r="B13" s="1384"/>
      <c r="C13" s="1384"/>
      <c r="D13" s="1384"/>
      <c r="E13" s="2300"/>
      <c r="F13" s="2300"/>
      <c r="G13" s="2299"/>
      <c r="H13" s="1384"/>
      <c r="I13" s="1384"/>
      <c r="J13" s="1384"/>
      <c r="K13" s="1384"/>
      <c r="L13" s="1387"/>
      <c r="M13" s="1388"/>
      <c r="N13" s="1388"/>
      <c r="O13" s="361"/>
      <c r="P13" s="1326"/>
      <c r="Q13" s="1327"/>
      <c r="R13" s="1326"/>
      <c r="S13" s="1328"/>
      <c r="T13" s="1329" t="s">
        <v>436</v>
      </c>
      <c r="U13" s="1330"/>
      <c r="V13" s="1330"/>
      <c r="W13" s="1330"/>
      <c r="X13" s="1330"/>
      <c r="Y13" s="1330"/>
      <c r="Z13" s="1330"/>
      <c r="AA13" s="1330"/>
      <c r="AB13" s="1330"/>
      <c r="AC13" s="1330"/>
      <c r="AD13" s="1330"/>
      <c r="AE13" s="1330"/>
      <c r="AF13" s="1330"/>
      <c r="AG13" s="1330"/>
      <c r="AH13" s="1330"/>
      <c r="AI13" s="1330"/>
      <c r="AJ13" s="1330"/>
      <c r="AK13" s="1330"/>
      <c r="AL13" s="1330"/>
      <c r="AM13" s="1330"/>
      <c r="AO13" s="1261"/>
      <c r="AP13" s="1261" t="str">
        <f>IF(T13="","",T13)</f>
        <v>Добавить источник для дифференциации</v>
      </c>
      <c r="AQ13" s="1261"/>
      <c r="AR13" s="1261"/>
      <c r="AS13" s="1652">
        <v>0</v>
      </c>
    </row>
    <row s="1652" customFormat="1" customHeight="1" ht="0.75" hidden="1">
      <c r="A14" s="1384"/>
      <c r="B14" s="1384"/>
      <c r="C14" s="1384"/>
      <c r="D14" s="1384"/>
      <c r="E14" s="2300"/>
      <c r="F14" s="2299"/>
      <c r="G14" s="1384"/>
      <c r="H14" s="1384"/>
      <c r="I14" s="1384"/>
      <c r="J14" s="1384"/>
      <c r="K14" s="1384"/>
      <c r="L14" s="1387"/>
      <c r="M14" s="1389"/>
      <c r="N14" s="1389"/>
      <c r="O14" s="361"/>
      <c r="P14" s="1326"/>
      <c r="Q14" s="1327"/>
      <c r="R14" s="1326"/>
      <c r="S14" s="1332"/>
      <c r="T14" s="1333" t="s">
        <v>437</v>
      </c>
      <c r="U14" s="1334"/>
      <c r="V14" s="1334"/>
      <c r="W14" s="1334"/>
      <c r="X14" s="1334"/>
      <c r="Y14" s="1334"/>
      <c r="Z14" s="1334"/>
      <c r="AA14" s="1334"/>
      <c r="AB14" s="1334"/>
      <c r="AC14" s="1334"/>
      <c r="AD14" s="1334"/>
      <c r="AE14" s="1334"/>
      <c r="AF14" s="1334"/>
      <c r="AG14" s="1334"/>
      <c r="AH14" s="1334"/>
      <c r="AI14" s="1334"/>
      <c r="AJ14" s="1334"/>
      <c r="AK14" s="1334"/>
      <c r="AL14" s="1334"/>
      <c r="AM14" s="1334"/>
      <c r="AO14" s="1261"/>
      <c r="AP14" s="1261" t="str">
        <f>IF(T14="","",T14)</f>
        <v>Добавить централизованную систему для дифференциации</v>
      </c>
      <c r="AQ14" s="1261"/>
      <c r="AR14" s="1261"/>
      <c r="AS14" s="1652">
        <v>0</v>
      </c>
    </row>
    <row s="1652" customFormat="1" customHeight="1" ht="0.75" hidden="1">
      <c r="A15" s="1384"/>
      <c r="B15" s="1384"/>
      <c r="C15" s="1384"/>
      <c r="D15" s="1384"/>
      <c r="E15" s="2299"/>
      <c r="F15" s="1384"/>
      <c r="G15" s="1384"/>
      <c r="H15" s="1384"/>
      <c r="I15" s="1384"/>
      <c r="J15" s="1384"/>
      <c r="K15" s="1384"/>
      <c r="L15" s="1387"/>
      <c r="M15" s="1389"/>
      <c r="N15" s="1389"/>
      <c r="O15" s="361"/>
      <c r="P15" s="1326"/>
      <c r="Q15" s="1327"/>
      <c r="R15" s="1326"/>
      <c r="S15" s="1332"/>
      <c r="T15" s="1335" t="s">
        <v>438</v>
      </c>
      <c r="U15" s="1334"/>
      <c r="V15" s="1334"/>
      <c r="W15" s="1334"/>
      <c r="X15" s="1334"/>
      <c r="Y15" s="1334"/>
      <c r="Z15" s="1334"/>
      <c r="AA15" s="1334"/>
      <c r="AB15" s="1334"/>
      <c r="AC15" s="1334"/>
      <c r="AD15" s="1334"/>
      <c r="AE15" s="1334"/>
      <c r="AF15" s="1334"/>
      <c r="AG15" s="1334"/>
      <c r="AH15" s="1334"/>
      <c r="AI15" s="1334"/>
      <c r="AJ15" s="1334"/>
      <c r="AK15" s="1334"/>
      <c r="AL15" s="1334"/>
      <c r="AM15" s="1334"/>
      <c r="AO15" s="1261"/>
      <c r="AP15" s="1261" t="str">
        <f>IF(T15="","",T15)</f>
        <v>Добавить территорию для дифференциации</v>
      </c>
      <c r="AQ15" s="1261"/>
      <c r="AR15" s="1261"/>
      <c r="AS15" s="1652">
        <v>0</v>
      </c>
    </row>
    <row customHeight="1" ht="14.25" hidden="1">
      <c r="AS16" s="1641">
        <v>0</v>
      </c>
    </row>
    <row customHeight="1" ht="14.25" hidden="1">
      <c r="AD17" s="1370"/>
      <c r="AE17" s="1370"/>
      <c r="AF17" s="1370"/>
      <c r="AG17" s="1371"/>
      <c r="AH17" s="2277"/>
      <c r="AI17" s="2278" t="s">
        <v>66</v>
      </c>
      <c r="AJ17" s="2277"/>
      <c r="AK17" s="2278" t="s">
        <v>66</v>
      </c>
      <c r="AS17" s="1641">
        <v>0</v>
      </c>
    </row>
    <row customHeight="1" ht="14.25" hidden="1">
      <c r="AD18" s="1370"/>
      <c r="AE18" s="1370"/>
      <c r="AF18" s="1370"/>
      <c r="AG18" s="338" t="str">
        <f>AH17&amp;"-"&amp;AJ17</f>
        <v>-</v>
      </c>
      <c r="AH18" s="2278"/>
      <c r="AI18" s="2278"/>
      <c r="AJ18" s="2278"/>
      <c r="AK18" s="2278"/>
      <c r="AS18" s="1641">
        <v>0</v>
      </c>
    </row>
    <row customHeight="1" ht="14.25" hidden="1">
      <c r="AS19" s="1641">
        <v>0</v>
      </c>
    </row>
    <row s="1376" customFormat="1" customHeight="1" ht="14.25" hidden="1">
      <c r="A20" s="1641"/>
      <c r="B20" s="1641"/>
      <c r="C20" s="1641"/>
      <c r="D20" s="1641"/>
      <c r="E20" s="1641"/>
      <c r="F20" s="1641"/>
      <c r="G20" s="1641"/>
      <c r="H20" s="1641"/>
      <c r="I20" s="1641"/>
      <c r="J20" s="1641"/>
      <c r="K20" s="1641"/>
      <c r="L20" s="1949"/>
      <c r="M20" s="1975"/>
      <c r="N20" s="1975"/>
      <c r="O20" s="1355" t="s">
        <v>439</v>
      </c>
      <c r="P20" s="1372"/>
      <c r="Q20" s="1381"/>
      <c r="R20" s="1381"/>
      <c r="S20" s="739"/>
      <c r="Z20" s="1377"/>
      <c r="AB20" s="1377"/>
      <c r="AH20" s="1377"/>
      <c r="AJ20" s="1377"/>
      <c r="AN20" s="1646"/>
      <c r="AO20" s="1646"/>
      <c r="AP20" s="1646"/>
      <c r="AQ20" s="1646"/>
      <c r="AR20" s="1646"/>
      <c r="AS20" s="1376">
        <v>0</v>
      </c>
    </row>
    <row s="1376" customFormat="1" customHeight="1" ht="14.25" hidden="1">
      <c r="A21" s="1641"/>
      <c r="B21" s="1641"/>
      <c r="C21" s="1641"/>
      <c r="D21" s="1641"/>
      <c r="E21" s="1641"/>
      <c r="F21" s="1641"/>
      <c r="G21" s="1641"/>
      <c r="H21" s="1641"/>
      <c r="I21" s="1641"/>
      <c r="J21" s="1641"/>
      <c r="K21" s="1641"/>
      <c r="L21" s="1949"/>
      <c r="M21" s="1975"/>
      <c r="N21" s="1975"/>
      <c r="O21" s="1975"/>
      <c r="P21" s="1372"/>
      <c r="Q21" s="1381"/>
      <c r="R21" s="1381"/>
      <c r="S21" s="739"/>
      <c r="AN21" s="1646"/>
      <c r="AO21" s="1646"/>
      <c r="AP21" s="1646"/>
      <c r="AQ21" s="1646"/>
      <c r="AR21" s="1646"/>
      <c r="AS21" s="1376">
        <v>0</v>
      </c>
    </row>
    <row s="1376" customFormat="1" customHeight="1" ht="14.25" hidden="1">
      <c r="A22" s="1641"/>
      <c r="B22" s="1641"/>
      <c r="C22" s="1641"/>
      <c r="D22" s="1641"/>
      <c r="E22" s="1641"/>
      <c r="F22" s="1641"/>
      <c r="G22" s="1641"/>
      <c r="H22" s="1641"/>
      <c r="I22" s="1641"/>
      <c r="J22" s="1641"/>
      <c r="K22" s="1641"/>
      <c r="L22" s="1949"/>
      <c r="M22" s="1975"/>
      <c r="N22" s="1975"/>
      <c r="O22" s="1320" t="s">
        <v>440</v>
      </c>
      <c r="P22" s="1372"/>
      <c r="Q22" s="1381"/>
      <c r="R22" s="1381"/>
      <c r="S22" s="739"/>
      <c r="T22" s="1376" t="s">
        <v>441</v>
      </c>
      <c r="AA22" s="605" t="s">
        <v>442</v>
      </c>
      <c r="AC22" s="605" t="s">
        <v>443</v>
      </c>
      <c r="AD22" s="1376" t="s">
        <v>441</v>
      </c>
      <c r="AI22" s="605" t="s">
        <v>444</v>
      </c>
      <c r="AK22" s="605" t="s">
        <v>443</v>
      </c>
      <c r="AN22" s="1646"/>
      <c r="AO22" s="1646"/>
      <c r="AP22" s="1646"/>
      <c r="AQ22" s="1646"/>
      <c r="AR22" s="1646"/>
      <c r="AS22" s="1376">
        <v>0</v>
      </c>
    </row>
    <row customHeight="1" ht="14.25" hidden="1">
      <c r="O23" s="1320"/>
      <c r="AS23" s="1641">
        <v>0</v>
      </c>
    </row>
    <row customHeight="1" ht="14.25" hidden="1">
      <c r="O24" s="1320"/>
      <c r="AS24" s="1641">
        <v>0</v>
      </c>
    </row>
    <row customHeight="1" ht="14.699999999999998">
      <c r="Q25" s="386"/>
      <c r="R25" s="386"/>
      <c r="S25" s="1285"/>
      <c r="T25" s="467"/>
      <c r="U25" s="467"/>
      <c r="V25" s="1645"/>
      <c r="W25" s="1645"/>
      <c r="X25" s="1645"/>
      <c r="Y25" s="1645"/>
      <c r="Z25" s="1645"/>
      <c r="AA25" s="1645"/>
      <c r="AB25" s="1645"/>
      <c r="AC25" s="1645"/>
      <c r="AD25" s="1645"/>
      <c r="AE25" s="1645"/>
      <c r="AF25" s="1645"/>
      <c r="AG25" s="1645"/>
      <c r="AH25" s="1645"/>
      <c r="AI25" s="1645"/>
      <c r="AJ25" s="1645"/>
      <c r="AK25" s="1645"/>
      <c r="AS25" s="1641">
        <v>14</v>
      </c>
    </row>
    <row customHeight="1" ht="14.699999999999998">
      <c r="Q26" s="386"/>
      <c r="R26" s="386"/>
      <c r="S26" s="225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8"/>
      <c r="U26" s="2258"/>
      <c r="V26" s="2258"/>
      <c r="W26" s="2258"/>
      <c r="X26" s="2258"/>
      <c r="Y26" s="2258"/>
      <c r="Z26" s="2258"/>
      <c r="AA26" s="2258"/>
      <c r="AB26" s="2258"/>
      <c r="AC26" s="2258"/>
      <c r="AD26" s="2258"/>
      <c r="AE26" s="2258"/>
      <c r="AF26" s="2258"/>
      <c r="AG26" s="2258"/>
      <c r="AH26" s="2258"/>
      <c r="AI26" s="2258"/>
      <c r="AJ26" s="2258"/>
      <c r="AK26" s="1253"/>
      <c r="AS26" s="1641">
        <v>14</v>
      </c>
    </row>
    <row customHeight="1" ht="14.699999999999998">
      <c r="Q27" s="386"/>
      <c r="R27" s="386"/>
      <c r="S27" s="2259" t="str">
        <f>IF(org=0,"Не определено",org)</f>
        <v>АО «ДГК» СП «Нерюнгринская ГРЭС»</v>
      </c>
      <c r="T27" s="2259"/>
      <c r="U27" s="2259"/>
      <c r="V27" s="2259"/>
      <c r="W27" s="2259"/>
      <c r="X27" s="2259"/>
      <c r="Y27" s="2259"/>
      <c r="Z27" s="2259"/>
      <c r="AA27" s="2259"/>
      <c r="AB27" s="2259"/>
      <c r="AC27" s="2259"/>
      <c r="AD27" s="2259"/>
      <c r="AE27" s="2259"/>
      <c r="AF27" s="2259"/>
      <c r="AG27" s="2259"/>
      <c r="AH27" s="2259"/>
      <c r="AI27" s="2259"/>
      <c r="AJ27" s="2259"/>
      <c r="AK27" s="1253"/>
      <c r="AS27" s="1641">
        <v>14</v>
      </c>
    </row>
    <row customHeight="1" ht="14.25" hidden="1">
      <c r="Q28" s="386"/>
      <c r="R28" s="386"/>
      <c r="S28" s="1285"/>
      <c r="T28" s="467"/>
      <c r="U28" s="467"/>
      <c r="V28" s="332"/>
      <c r="W28" s="332"/>
      <c r="X28" s="332"/>
      <c r="Y28" s="332"/>
      <c r="Z28" s="332"/>
      <c r="AA28" s="332"/>
      <c r="AB28" s="332"/>
      <c r="AC28" s="332"/>
      <c r="AD28" s="332"/>
      <c r="AE28" s="332"/>
      <c r="AF28" s="332"/>
      <c r="AG28" s="332"/>
      <c r="AH28" s="332"/>
      <c r="AI28" s="332"/>
      <c r="AJ28" s="332"/>
      <c r="AK28" s="332"/>
      <c r="AL28" s="1645"/>
      <c r="AS28" s="1641">
        <v>0</v>
      </c>
    </row>
    <row s="1863" customFormat="1" customHeight="1" ht="25.5" hidden="1">
      <c r="A29" s="1258"/>
      <c r="B29" s="1258"/>
      <c r="C29" s="1258"/>
      <c r="D29" s="1258"/>
      <c r="E29" s="1258"/>
      <c r="F29" s="1258"/>
      <c r="G29" s="1258"/>
      <c r="H29" s="1258"/>
      <c r="I29" s="1258"/>
      <c r="J29" s="1258"/>
      <c r="K29" s="1258"/>
      <c r="L29" s="1390"/>
      <c r="M29" s="1258"/>
      <c r="N29" s="1258"/>
      <c r="O29" s="1258"/>
      <c r="S29" s="2260" t="s">
        <v>42</v>
      </c>
      <c r="T29" s="2260"/>
      <c r="U29" s="1382"/>
      <c r="V29" s="2261" t="str">
        <f>IF(TITLE_NAME_OR_PR_CHANGE="",IF(TITLE_NAME_OR_PR="","",TITLE_NAME_OR_PR),TITLE_NAME_OR_PR_CHANGE)</f>
        <v/>
      </c>
      <c r="W29" s="2261"/>
      <c r="X29" s="2261"/>
      <c r="Y29" s="2261"/>
      <c r="Z29" s="2261"/>
      <c r="AA29" s="2261"/>
      <c r="AB29" s="2261"/>
      <c r="AC29" s="1645"/>
      <c r="AD29" s="2261" t="str">
        <f>IF(TITLE_NAME_OR_PR_CHANGE="",IF(TITLE_NAME_OR_PR="","",TITLE_NAME_OR_PR),TITLE_NAME_OR_PR_CHANGE)</f>
        <v/>
      </c>
      <c r="AE29" s="2261"/>
      <c r="AF29" s="2261"/>
      <c r="AG29" s="2261"/>
      <c r="AH29" s="2261"/>
      <c r="AI29" s="2261"/>
      <c r="AJ29" s="2261"/>
      <c r="AK29" s="1645"/>
      <c r="AL29" s="1645"/>
      <c r="AM29" s="290"/>
      <c r="AN29" s="378"/>
      <c r="AO29" s="378"/>
      <c r="AP29" s="378"/>
      <c r="AQ29" s="378"/>
      <c r="AR29" s="378"/>
      <c r="AS29" s="428">
        <v>0</v>
      </c>
    </row>
    <row s="1863" customFormat="1" customHeight="1" ht="18.75" hidden="1">
      <c r="A30" s="1258"/>
      <c r="B30" s="1258"/>
      <c r="C30" s="1258"/>
      <c r="D30" s="1258"/>
      <c r="E30" s="1258"/>
      <c r="F30" s="1258"/>
      <c r="G30" s="1258"/>
      <c r="H30" s="1258"/>
      <c r="I30" s="1258"/>
      <c r="J30" s="1258"/>
      <c r="K30" s="1258"/>
      <c r="L30" s="1390"/>
      <c r="M30" s="1258"/>
      <c r="N30" s="1258"/>
      <c r="O30" s="1258"/>
      <c r="S30" s="2260" t="s">
        <v>445</v>
      </c>
      <c r="T30" s="2260"/>
      <c r="U30" s="1382"/>
      <c r="V30" s="2274" t="str">
        <f>IF(TITLE_DATE_PR_CHANGE="",IF(TITLE_DATE_PR="","",TITLE_DATE_PR),TITLE_DATE_PR_CHANGE)</f>
        <v/>
      </c>
      <c r="W30" s="2274"/>
      <c r="X30" s="2274"/>
      <c r="Y30" s="2274"/>
      <c r="Z30" s="2274"/>
      <c r="AA30" s="2274"/>
      <c r="AB30" s="2274"/>
      <c r="AC30" s="1645"/>
      <c r="AD30" s="2274" t="str">
        <f>IF(TITLE_DATE_PR_CHANGE="",IF(TITLE_DATE_PR="","",TITLE_DATE_PR),TITLE_DATE_PR_CHANGE)</f>
        <v/>
      </c>
      <c r="AE30" s="2274"/>
      <c r="AF30" s="2274"/>
      <c r="AG30" s="2274"/>
      <c r="AH30" s="2274"/>
      <c r="AI30" s="2274"/>
      <c r="AJ30" s="2274"/>
      <c r="AK30" s="1645"/>
      <c r="AL30" s="1645"/>
      <c r="AM30" s="290"/>
      <c r="AN30" s="378"/>
      <c r="AO30" s="378"/>
      <c r="AP30" s="378"/>
      <c r="AQ30" s="378"/>
      <c r="AR30" s="378"/>
      <c r="AS30" s="428">
        <v>0</v>
      </c>
    </row>
    <row s="1863" customFormat="1" customHeight="1" ht="18.75" hidden="1">
      <c r="A31" s="1258"/>
      <c r="B31" s="1258"/>
      <c r="C31" s="1258"/>
      <c r="D31" s="1258"/>
      <c r="E31" s="1258"/>
      <c r="F31" s="1258"/>
      <c r="G31" s="1258"/>
      <c r="H31" s="1258"/>
      <c r="I31" s="1258"/>
      <c r="J31" s="1258"/>
      <c r="K31" s="1258"/>
      <c r="L31" s="1390"/>
      <c r="M31" s="1258"/>
      <c r="N31" s="1258"/>
      <c r="O31" s="1258"/>
      <c r="S31" s="2260" t="s">
        <v>446</v>
      </c>
      <c r="T31" s="2260"/>
      <c r="U31" s="1382"/>
      <c r="V31" s="2261" t="str">
        <f>IF(TITLE_NUMBER_PR_CHANGE="",IF(TITLE_NUMBER_PR="","",TITLE_NUMBER_PR),TITLE_NUMBER_PR_CHANGE)</f>
        <v/>
      </c>
      <c r="W31" s="2261"/>
      <c r="X31" s="2261"/>
      <c r="Y31" s="2261"/>
      <c r="Z31" s="2261"/>
      <c r="AA31" s="2261"/>
      <c r="AB31" s="2261"/>
      <c r="AC31" s="1645"/>
      <c r="AD31" s="2261" t="str">
        <f>IF(TITLE_NUMBER_PR_CHANGE="",IF(TITLE_NUMBER_PR="","",TITLE_NUMBER_PR),TITLE_NUMBER_PR_CHANGE)</f>
        <v/>
      </c>
      <c r="AE31" s="2261"/>
      <c r="AF31" s="2261"/>
      <c r="AG31" s="2261"/>
      <c r="AH31" s="2261"/>
      <c r="AI31" s="2261"/>
      <c r="AJ31" s="2261"/>
      <c r="AK31" s="1645"/>
      <c r="AL31" s="1645"/>
      <c r="AM31" s="290"/>
      <c r="AN31" s="378"/>
      <c r="AO31" s="378"/>
      <c r="AP31" s="378"/>
      <c r="AQ31" s="378"/>
      <c r="AR31" s="378"/>
      <c r="AS31" s="428">
        <v>0</v>
      </c>
    </row>
    <row s="1863" customFormat="1" customHeight="1" ht="18.75" hidden="1">
      <c r="A32" s="1258"/>
      <c r="B32" s="1258"/>
      <c r="C32" s="1258"/>
      <c r="D32" s="1258"/>
      <c r="E32" s="1258"/>
      <c r="F32" s="1258"/>
      <c r="G32" s="1258"/>
      <c r="H32" s="1258"/>
      <c r="I32" s="1258"/>
      <c r="J32" s="1258"/>
      <c r="K32" s="1258"/>
      <c r="L32" s="1390"/>
      <c r="M32" s="1258"/>
      <c r="N32" s="1258"/>
      <c r="O32" s="1258"/>
      <c r="S32" s="2260" t="s">
        <v>43</v>
      </c>
      <c r="T32" s="2260"/>
      <c r="U32" s="1382"/>
      <c r="V32" s="2261" t="str">
        <f>IF(TITLE_IST_PUB_CHANGE="",IF(TITLE_IST_PUB="","",TITLE_IST_PUB),TITLE_IST_PUB_CHANGE)</f>
        <v/>
      </c>
      <c r="W32" s="2261"/>
      <c r="X32" s="2261"/>
      <c r="Y32" s="2261"/>
      <c r="Z32" s="2261"/>
      <c r="AA32" s="2261"/>
      <c r="AB32" s="2261"/>
      <c r="AC32" s="1645"/>
      <c r="AD32" s="2261" t="str">
        <f>IF(TITLE_IST_PUB_CHANGE="",IF(TITLE_IST_PUB="","",TITLE_IST_PUB),TITLE_IST_PUB_CHANGE)</f>
        <v/>
      </c>
      <c r="AE32" s="2261"/>
      <c r="AF32" s="2261"/>
      <c r="AG32" s="2261"/>
      <c r="AH32" s="2261"/>
      <c r="AI32" s="2261"/>
      <c r="AJ32" s="2261"/>
      <c r="AK32" s="1645"/>
      <c r="AL32" s="1645"/>
      <c r="AM32" s="290"/>
      <c r="AN32" s="378"/>
      <c r="AO32" s="378"/>
      <c r="AP32" s="378"/>
      <c r="AQ32" s="378"/>
      <c r="AR32" s="378"/>
      <c r="AS32" s="428">
        <v>0</v>
      </c>
    </row>
    <row customHeight="1" ht="14.25" hidden="1">
      <c r="Q33" s="386"/>
      <c r="R33" s="386"/>
      <c r="S33" s="1285"/>
      <c r="T33" s="467"/>
      <c r="U33" s="467"/>
      <c r="V33" s="332"/>
      <c r="W33" s="332"/>
      <c r="X33" s="332"/>
      <c r="Y33" s="332"/>
      <c r="Z33" s="332"/>
      <c r="AA33" s="332"/>
      <c r="AB33" s="332"/>
      <c r="AC33" s="332"/>
      <c r="AD33" s="332"/>
      <c r="AE33" s="332"/>
      <c r="AF33" s="332"/>
      <c r="AG33" s="332"/>
      <c r="AH33" s="332"/>
      <c r="AI33" s="332"/>
      <c r="AJ33" s="332"/>
      <c r="AK33" s="332"/>
      <c r="AL33" s="1645"/>
      <c r="AS33" s="1641">
        <v>0</v>
      </c>
    </row>
    <row s="1863" customFormat="1" customHeight="1" ht="18.75" hidden="1">
      <c r="A34" s="1258"/>
      <c r="B34" s="1258"/>
      <c r="C34" s="1258"/>
      <c r="D34" s="1258"/>
      <c r="E34" s="1258"/>
      <c r="F34" s="1258"/>
      <c r="G34" s="1258"/>
      <c r="H34" s="1258"/>
      <c r="I34" s="1258"/>
      <c r="J34" s="1258"/>
      <c r="K34" s="1258"/>
      <c r="L34" s="1390"/>
      <c r="M34" s="1258"/>
      <c r="N34" s="1258"/>
      <c r="O34" s="1258"/>
      <c r="S34" s="2260" t="s">
        <v>447</v>
      </c>
      <c r="T34" s="2260"/>
      <c r="U34" s="1382"/>
      <c r="V34" s="2274" t="str">
        <f>IF(TITLE_DATE_PR_CHANGE="",IF(TITLE_DATE_PR="","",TITLE_DATE_PR),TITLE_DATE_PR_CHANGE)</f>
        <v/>
      </c>
      <c r="W34" s="2274"/>
      <c r="X34" s="2274"/>
      <c r="Y34" s="2274"/>
      <c r="Z34" s="2274"/>
      <c r="AA34" s="2274"/>
      <c r="AB34" s="2274"/>
      <c r="AC34" s="1645"/>
      <c r="AD34" s="2274" t="str">
        <f>IF(TITLE_DATE_PR_CHANGE="",IF(TITLE_DATE_PR="","",TITLE_DATE_PR),TITLE_DATE_PR_CHANGE)</f>
        <v/>
      </c>
      <c r="AE34" s="2274"/>
      <c r="AF34" s="2274"/>
      <c r="AG34" s="2274"/>
      <c r="AH34" s="2274"/>
      <c r="AI34" s="2274"/>
      <c r="AJ34" s="2274"/>
      <c r="AK34" s="1645"/>
      <c r="AL34" s="1645"/>
      <c r="AM34" s="290"/>
      <c r="AN34" s="378"/>
      <c r="AO34" s="378"/>
      <c r="AP34" s="378"/>
      <c r="AQ34" s="378"/>
      <c r="AR34" s="378"/>
      <c r="AS34" s="428">
        <v>0</v>
      </c>
    </row>
    <row s="1863" customFormat="1" customHeight="1" ht="18.75" hidden="1">
      <c r="A35" s="1258"/>
      <c r="B35" s="1258"/>
      <c r="C35" s="1258"/>
      <c r="D35" s="1258"/>
      <c r="E35" s="1258"/>
      <c r="F35" s="1258"/>
      <c r="G35" s="1258"/>
      <c r="H35" s="1258"/>
      <c r="I35" s="1258"/>
      <c r="J35" s="1258"/>
      <c r="K35" s="1258"/>
      <c r="L35" s="1390"/>
      <c r="M35" s="1258"/>
      <c r="N35" s="1258"/>
      <c r="O35" s="1258"/>
      <c r="S35" s="2260" t="s">
        <v>448</v>
      </c>
      <c r="T35" s="2260"/>
      <c r="U35" s="1382"/>
      <c r="V35" s="2261" t="str">
        <f>IF(TITLE_NUMBER_PR_CHANGE="",IF(TITLE_NUMBER_PR="","",TITLE_NUMBER_PR),TITLE_NUMBER_PR_CHANGE)</f>
        <v/>
      </c>
      <c r="W35" s="2261"/>
      <c r="X35" s="2261"/>
      <c r="Y35" s="2261"/>
      <c r="Z35" s="2261"/>
      <c r="AA35" s="2261"/>
      <c r="AB35" s="2261"/>
      <c r="AC35" s="1645"/>
      <c r="AD35" s="2261" t="str">
        <f>IF(TITLE_NUMBER_PR_CHANGE="",IF(TITLE_NUMBER_PR="","",TITLE_NUMBER_PR),TITLE_NUMBER_PR_CHANGE)</f>
        <v/>
      </c>
      <c r="AE35" s="2261"/>
      <c r="AF35" s="2261"/>
      <c r="AG35" s="2261"/>
      <c r="AH35" s="2261"/>
      <c r="AI35" s="2261"/>
      <c r="AJ35" s="2261"/>
      <c r="AK35" s="1645"/>
      <c r="AL35" s="1645"/>
      <c r="AM35" s="290"/>
      <c r="AN35" s="378"/>
      <c r="AO35" s="378"/>
      <c r="AP35" s="378"/>
      <c r="AQ35" s="378"/>
      <c r="AR35" s="378"/>
      <c r="AS35" s="428">
        <v>0</v>
      </c>
    </row>
    <row s="1863" customFormat="1" customHeight="1" ht="0">
      <c r="A36" s="1258"/>
      <c r="B36" s="1258"/>
      <c r="C36" s="1258"/>
      <c r="D36" s="1258"/>
      <c r="E36" s="1258"/>
      <c r="F36" s="1258"/>
      <c r="G36" s="1258"/>
      <c r="H36" s="1258"/>
      <c r="I36" s="1258"/>
      <c r="J36" s="1258"/>
      <c r="K36" s="1258"/>
      <c r="L36" s="1390"/>
      <c r="M36" s="1258"/>
      <c r="N36" s="1258"/>
      <c r="O36" s="1258"/>
      <c r="S36" s="1645"/>
      <c r="T36" s="1645"/>
      <c r="U36" s="1980"/>
      <c r="V36" s="1645"/>
      <c r="W36" s="1645"/>
      <c r="X36" s="1645"/>
      <c r="Y36" s="1645"/>
      <c r="Z36" s="1645"/>
      <c r="AA36" s="1645"/>
      <c r="AB36" s="1645"/>
      <c r="AC36" s="1652" t="s">
        <v>449</v>
      </c>
      <c r="AD36" s="1645"/>
      <c r="AE36" s="1645"/>
      <c r="AF36" s="1645"/>
      <c r="AG36" s="1645"/>
      <c r="AH36" s="1645"/>
      <c r="AI36" s="1645"/>
      <c r="AJ36" s="1645"/>
      <c r="AK36" s="1652" t="s">
        <v>449</v>
      </c>
      <c r="AN36" s="378"/>
      <c r="AO36" s="378"/>
      <c r="AP36" s="378"/>
      <c r="AQ36" s="378"/>
      <c r="AR36" s="378"/>
      <c r="AS36" s="428">
        <v>0</v>
      </c>
    </row>
    <row customHeight="1" ht="14.699999999999998">
      <c r="Q37" s="386"/>
      <c r="R37" s="386"/>
      <c r="S37" s="1285"/>
      <c r="T37" s="467"/>
      <c r="U37" s="1254"/>
      <c r="V37" s="2262"/>
      <c r="W37" s="2262"/>
      <c r="X37" s="2262"/>
      <c r="Y37" s="2262"/>
      <c r="Z37" s="2262"/>
      <c r="AA37" s="2262"/>
      <c r="AB37" s="2262"/>
      <c r="AC37" s="2262"/>
      <c r="AD37" s="2262"/>
      <c r="AE37" s="2262"/>
      <c r="AF37" s="2262"/>
      <c r="AG37" s="2262"/>
      <c r="AH37" s="2262"/>
      <c r="AI37" s="2262"/>
      <c r="AJ37" s="2262"/>
      <c r="AK37" s="2262"/>
      <c r="AS37" s="1641">
        <v>14</v>
      </c>
    </row>
    <row customHeight="1" ht="14.699999999999998">
      <c r="Q38" s="386"/>
      <c r="R38" s="386"/>
      <c r="S38" s="2137" t="s">
        <v>322</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323</v>
      </c>
      <c r="AS38" s="1641">
        <v>14</v>
      </c>
    </row>
    <row customHeight="1" ht="14.699999999999998">
      <c r="Q39" s="386"/>
      <c r="R39" s="386"/>
      <c r="S39" s="2283" t="s">
        <v>88</v>
      </c>
      <c r="T39" s="2219" t="s">
        <v>450</v>
      </c>
      <c r="U39" s="347"/>
      <c r="V39" s="2284" t="s">
        <v>451</v>
      </c>
      <c r="W39" s="2285"/>
      <c r="X39" s="2285"/>
      <c r="Y39" s="2285"/>
      <c r="Z39" s="2285"/>
      <c r="AA39" s="2285"/>
      <c r="AB39" s="2286"/>
      <c r="AC39" s="2287" t="s">
        <v>452</v>
      </c>
      <c r="AD39" s="2284" t="s">
        <v>451</v>
      </c>
      <c r="AE39" s="2285"/>
      <c r="AF39" s="2285"/>
      <c r="AG39" s="2285"/>
      <c r="AH39" s="2285"/>
      <c r="AI39" s="2285"/>
      <c r="AJ39" s="2286"/>
      <c r="AK39" s="2287" t="s">
        <v>453</v>
      </c>
      <c r="AL39" s="2290" t="s">
        <v>454</v>
      </c>
      <c r="AM39" s="2137"/>
      <c r="AS39" s="1641">
        <v>14</v>
      </c>
    </row>
    <row customHeight="1" ht="35.699999999999996">
      <c r="Q40" s="386"/>
      <c r="R40" s="386"/>
      <c r="S40" s="2283"/>
      <c r="T40" s="2219"/>
      <c r="U40" s="1041"/>
      <c r="V40" s="2270" t="s">
        <v>455</v>
      </c>
      <c r="W40" s="2293" t="s">
        <v>456</v>
      </c>
      <c r="X40" s="2272" t="s">
        <v>457</v>
      </c>
      <c r="Y40" s="2273"/>
      <c r="Z40" s="2272" t="s">
        <v>471</v>
      </c>
      <c r="AA40" s="2279"/>
      <c r="AB40" s="2273"/>
      <c r="AC40" s="2288"/>
      <c r="AD40" s="2270" t="s">
        <v>455</v>
      </c>
      <c r="AE40" s="2293" t="s">
        <v>456</v>
      </c>
      <c r="AF40" s="2272" t="s">
        <v>457</v>
      </c>
      <c r="AG40" s="2273"/>
      <c r="AH40" s="2272" t="s">
        <v>458</v>
      </c>
      <c r="AI40" s="2279"/>
      <c r="AJ40" s="2273"/>
      <c r="AK40" s="2288"/>
      <c r="AL40" s="2291"/>
      <c r="AM40" s="2137"/>
      <c r="AS40" s="1641">
        <v>34</v>
      </c>
    </row>
    <row customHeight="1" ht="35.699999999999996">
      <c r="A41" s="1276"/>
      <c r="B41" s="1276" t="s">
        <v>159</v>
      </c>
      <c r="C41" s="1276" t="s">
        <v>160</v>
      </c>
      <c r="D41" s="1276" t="s">
        <v>161</v>
      </c>
      <c r="E41" s="1320" t="s">
        <v>459</v>
      </c>
      <c r="F41" s="1320" t="s">
        <v>460</v>
      </c>
      <c r="G41" s="1320" t="s">
        <v>461</v>
      </c>
      <c r="H41" s="1320" t="s">
        <v>462</v>
      </c>
      <c r="I41" s="1320" t="s">
        <v>463</v>
      </c>
      <c r="J41" s="1320" t="s">
        <v>464</v>
      </c>
      <c r="K41" s="1320" t="s">
        <v>465</v>
      </c>
      <c r="L41" s="1320" t="s">
        <v>440</v>
      </c>
      <c r="Q41" s="386"/>
      <c r="R41" s="386"/>
      <c r="S41" s="2283"/>
      <c r="T41" s="2219"/>
      <c r="U41" s="312"/>
      <c r="V41" s="2271"/>
      <c r="W41" s="2294"/>
      <c r="X41" s="1948" t="s">
        <v>466</v>
      </c>
      <c r="Y41" s="1948" t="s">
        <v>467</v>
      </c>
      <c r="Z41" s="1948" t="s">
        <v>468</v>
      </c>
      <c r="AA41" s="2280" t="s">
        <v>469</v>
      </c>
      <c r="AB41" s="2281"/>
      <c r="AC41" s="2289"/>
      <c r="AD41" s="2271"/>
      <c r="AE41" s="2294"/>
      <c r="AF41" s="1948" t="s">
        <v>466</v>
      </c>
      <c r="AG41" s="1948" t="s">
        <v>467</v>
      </c>
      <c r="AH41" s="1948" t="s">
        <v>468</v>
      </c>
      <c r="AI41" s="2280" t="s">
        <v>469</v>
      </c>
      <c r="AJ41" s="2281"/>
      <c r="AK41" s="2289"/>
      <c r="AL41" s="2292"/>
      <c r="AM41" s="2137"/>
      <c r="AS41" s="1641">
        <v>34</v>
      </c>
    </row>
    <row s="1651" customFormat="1" customHeight="1" ht="11.25" hidden="1">
      <c r="A42" s="1276"/>
      <c r="B42" s="1276"/>
      <c r="C42" s="1276"/>
      <c r="D42" s="1276"/>
      <c r="E42" s="1276"/>
      <c r="F42" s="1276"/>
      <c r="G42" s="1276"/>
      <c r="H42" s="1276"/>
      <c r="I42" s="1276"/>
      <c r="J42" s="1276"/>
      <c r="K42" s="1276"/>
      <c r="L42" s="1320"/>
      <c r="M42" s="1975"/>
      <c r="N42" s="1975"/>
      <c r="O42" s="1975"/>
      <c r="P42" s="1256"/>
      <c r="Q42" s="1257"/>
      <c r="R42" s="1264">
        <v>1</v>
      </c>
      <c r="S42" s="1287" t="s">
        <v>124</v>
      </c>
      <c r="T42" s="1265" t="s">
        <v>104</v>
      </c>
      <c r="U42" s="1255" t="str">
        <f>OFFSET(U42,0,-1)</f>
        <v>2</v>
      </c>
      <c r="V42" s="1966">
        <f>OFFSET(V42,0,-1)+1</f>
        <v>3</v>
      </c>
      <c r="W42" s="1966"/>
      <c r="X42" s="1966">
        <f>OFFSET(X42,0,-1)+1</f>
        <v>1</v>
      </c>
      <c r="Y42" s="1966">
        <f>OFFSET(Y42,0,-1)+1</f>
        <v>2</v>
      </c>
      <c r="Z42" s="1966">
        <f>OFFSET(Z42,0,-1)+1</f>
        <v>3</v>
      </c>
      <c r="AA42" s="2282">
        <f>OFFSET(AA42,0,-1)+1</f>
        <v>4</v>
      </c>
      <c r="AB42" s="2282"/>
      <c r="AC42" s="1966">
        <f>OFFSET(AC42,0,-2)+1</f>
        <v>5</v>
      </c>
      <c r="AD42" s="1966">
        <f>OFFSET(AD42,0,-1)+1</f>
        <v>6</v>
      </c>
      <c r="AE42" s="1966"/>
      <c r="AF42" s="1966">
        <f>OFFSET(AF42,0,-1)+1</f>
        <v>1</v>
      </c>
      <c r="AG42" s="1966">
        <f>OFFSET(AG42,0,-1)+1</f>
        <v>2</v>
      </c>
      <c r="AH42" s="1966">
        <f>OFFSET(AH42,0,-1)+1</f>
        <v>3</v>
      </c>
      <c r="AI42" s="2282">
        <f>OFFSET(AI42,0,-1)+1</f>
        <v>4</v>
      </c>
      <c r="AJ42" s="2282"/>
      <c r="AK42" s="1966">
        <f>OFFSET(AK42,0,-2)+1</f>
        <v>5</v>
      </c>
      <c r="AL42" s="1255">
        <f>OFFSET(AL42,0,-1)</f>
        <v>5</v>
      </c>
      <c r="AM42" s="1966">
        <f>OFFSET(AM42,0,-1)+1</f>
        <v>6</v>
      </c>
      <c r="AN42" s="1646"/>
      <c r="AO42" s="1646"/>
      <c r="AP42" s="1646"/>
      <c r="AQ42" s="1646"/>
      <c r="AR42" s="1646"/>
      <c r="AS42" s="1651">
        <v>0</v>
      </c>
    </row>
    <row customHeight="1" ht="22.049999999999997">
      <c r="A43" s="1277" t="s">
        <v>234</v>
      </c>
      <c r="B43" s="1277"/>
      <c r="C43" s="1277"/>
      <c r="D43" s="1277"/>
      <c r="E43" s="2299">
        <v>1</v>
      </c>
      <c r="F43" s="1277"/>
      <c r="G43" s="1277"/>
      <c r="H43" s="1277"/>
      <c r="I43" s="1277"/>
      <c r="J43" s="1277"/>
      <c r="K43" s="1277"/>
      <c r="L43" s="1320"/>
      <c r="M43" s="1620"/>
      <c r="N43" s="1620"/>
      <c r="O43" s="1620"/>
      <c r="P43" s="1600"/>
      <c r="Q43" s="370"/>
      <c r="R43" s="365"/>
      <c r="S43" s="1968">
        <f>INDEX(PT_DIFFERENTIATION_NUM_NTAR,MATCH(A43,PT_DIFFERENTIATION_NTAR_ID,0))</f>
        <v>0</v>
      </c>
      <c r="T43" s="1535" t="s">
        <v>147</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4"/>
      <c r="AP43" s="1634" t="str">
        <f>IF(T43="","",T43)</f>
        <v>Наименование тарифа</v>
      </c>
      <c r="AQ43" s="1634"/>
      <c r="AR43" s="1634"/>
      <c r="AS43" s="1641">
        <v>21</v>
      </c>
    </row>
    <row customHeight="1" ht="22.049999999999997">
      <c r="A44" s="1277" t="s">
        <v>234</v>
      </c>
      <c r="B44" s="1277" t="s">
        <v>235</v>
      </c>
      <c r="C44" s="1277"/>
      <c r="D44" s="1277"/>
      <c r="E44" s="2300"/>
      <c r="F44" s="2299">
        <v>1</v>
      </c>
      <c r="G44" s="1277"/>
      <c r="H44" s="1277"/>
      <c r="I44" s="1277"/>
      <c r="J44" s="1277"/>
      <c r="K44" s="1277"/>
      <c r="L44" s="1320"/>
      <c r="M44" s="1620"/>
      <c r="N44" s="1620"/>
      <c r="O44" s="1620"/>
      <c r="P44" s="1950"/>
      <c r="Q44" s="362"/>
      <c r="R44" s="363"/>
      <c r="S44" s="1968" t="str">
        <f>INDEX(PT_DIFFERENTIATION_NUM_TER,MATCH(B44,PT_DIFFERENTIATION_TER_ID,0))</f>
        <v>.</v>
      </c>
      <c r="T44" s="1532" t="s">
        <v>419</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420</v>
      </c>
      <c r="AO44" s="1634"/>
      <c r="AP44" s="1634" t="str">
        <f>IF(T44="","",T44)</f>
        <v>Территория действия тарифа</v>
      </c>
      <c r="AQ44" s="1634"/>
      <c r="AR44" s="1634"/>
      <c r="AS44" s="1641">
        <v>21</v>
      </c>
    </row>
    <row customHeight="1" ht="24">
      <c r="A45" s="1277" t="s">
        <v>234</v>
      </c>
      <c r="B45" s="1277" t="s">
        <v>235</v>
      </c>
      <c r="C45" s="1277" t="s">
        <v>236</v>
      </c>
      <c r="D45" s="1277"/>
      <c r="E45" s="2300"/>
      <c r="F45" s="2300"/>
      <c r="G45" s="2299">
        <v>1</v>
      </c>
      <c r="H45" s="1277"/>
      <c r="I45" s="1277"/>
      <c r="J45" s="1277"/>
      <c r="K45" s="1277"/>
      <c r="L45" s="1320"/>
      <c r="M45" s="1620"/>
      <c r="N45" s="1620"/>
      <c r="O45" s="1620"/>
      <c r="P45" s="364"/>
      <c r="Q45" s="362"/>
      <c r="R45" s="363"/>
      <c r="S45" s="1968" t="str">
        <f>INDEX(PT_DIFFERENTIATION_NUM_CS,MATCH(C45,PT_DIFFERENTIATION_CS_ID,0))</f>
        <v>..</v>
      </c>
      <c r="T45" s="319" t="s">
        <v>421</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422</v>
      </c>
      <c r="AO45" s="1634"/>
      <c r="AP45" s="1634" t="str">
        <f>IF(T45="","",T45)</f>
        <v>Наименование системы теплоснабжения </v>
      </c>
      <c r="AQ45" s="1634"/>
      <c r="AR45" s="1634"/>
      <c r="AS45" s="1641">
        <v>23</v>
      </c>
    </row>
    <row customHeight="1" ht="22.049999999999997">
      <c r="A46" s="1277" t="s">
        <v>234</v>
      </c>
      <c r="B46" s="1277" t="s">
        <v>235</v>
      </c>
      <c r="C46" s="1277" t="s">
        <v>236</v>
      </c>
      <c r="D46" s="1277" t="s">
        <v>237</v>
      </c>
      <c r="E46" s="2300"/>
      <c r="F46" s="2300"/>
      <c r="G46" s="2300"/>
      <c r="H46" s="2299">
        <v>1</v>
      </c>
      <c r="I46" s="1277"/>
      <c r="J46" s="1277"/>
      <c r="K46" s="1277"/>
      <c r="L46" s="1320"/>
      <c r="M46" s="1620"/>
      <c r="N46" s="1620"/>
      <c r="O46" s="1620"/>
      <c r="P46" s="364"/>
      <c r="Q46" s="362"/>
      <c r="R46" s="363"/>
      <c r="S46" s="1968" t="str">
        <f>INDEX(PT_DIFFERENTIATION_NUM_IST_TE,MATCH(D46,PT_DIFFERENTIATION_IST_TE_ID,0))</f>
        <v>...</v>
      </c>
      <c r="T46" s="320" t="s">
        <v>423</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424</v>
      </c>
      <c r="AO46" s="1634"/>
      <c r="AP46" s="1634" t="str">
        <f>IF(T46="","",T46)</f>
        <v>Источник тепловой энергии  </v>
      </c>
      <c r="AQ46" s="1634"/>
      <c r="AR46" s="1634"/>
      <c r="AS46" s="1641">
        <v>21</v>
      </c>
    </row>
    <row customHeight="1" ht="49.5">
      <c r="A47" s="1277" t="s">
        <v>234</v>
      </c>
      <c r="B47" s="1277" t="s">
        <v>235</v>
      </c>
      <c r="C47" s="1277" t="s">
        <v>236</v>
      </c>
      <c r="D47" s="1277" t="s">
        <v>237</v>
      </c>
      <c r="E47" s="2300"/>
      <c r="F47" s="2300"/>
      <c r="G47" s="2300"/>
      <c r="H47" s="2300"/>
      <c r="I47" s="2137" t="str">
        <f>S46&amp;".1"</f>
        <v>....1</v>
      </c>
      <c r="J47" s="1277"/>
      <c r="K47" s="1277"/>
      <c r="L47" s="1320" t="s">
        <v>425</v>
      </c>
      <c r="P47" s="2267">
        <v>1</v>
      </c>
      <c r="Q47" s="1964"/>
      <c r="R47" s="366"/>
      <c r="S47" s="1968" t="str">
        <f>$I47</f>
        <v>....1</v>
      </c>
      <c r="T47" s="295" t="s">
        <v>426</v>
      </c>
      <c r="U47" s="310"/>
      <c r="V47" s="2255"/>
      <c r="W47" s="2256"/>
      <c r="X47" s="2256"/>
      <c r="Y47" s="2256"/>
      <c r="Z47" s="2256"/>
      <c r="AA47" s="2256"/>
      <c r="AB47" s="2256"/>
      <c r="AC47" s="2257"/>
      <c r="AD47" s="2255"/>
      <c r="AE47" s="2256"/>
      <c r="AF47" s="2256"/>
      <c r="AG47" s="2256"/>
      <c r="AH47" s="2256"/>
      <c r="AI47" s="2256"/>
      <c r="AJ47" s="2256"/>
      <c r="AK47" s="2256"/>
      <c r="AL47" s="2257"/>
      <c r="AM47" s="1268" t="s">
        <v>427</v>
      </c>
      <c r="AO47" s="1634"/>
      <c r="AP47" s="1634" t="str">
        <f>IF(T47="","",T47)</f>
        <v>Схема подключения теплопотребляющей установки к коллектору источника тепловой энергии</v>
      </c>
      <c r="AQ47" s="1634"/>
      <c r="AR47" s="1634"/>
      <c r="AS47" s="1641">
        <v>47</v>
      </c>
    </row>
    <row customHeight="1" ht="22.049999999999997">
      <c r="A48" s="1277" t="s">
        <v>234</v>
      </c>
      <c r="B48" s="1277" t="s">
        <v>235</v>
      </c>
      <c r="C48" s="1277" t="s">
        <v>236</v>
      </c>
      <c r="D48" s="1277" t="s">
        <v>237</v>
      </c>
      <c r="E48" s="2300"/>
      <c r="F48" s="2300"/>
      <c r="G48" s="2300"/>
      <c r="H48" s="2300"/>
      <c r="I48" s="2111"/>
      <c r="J48" s="2137" t="str">
        <f>I47&amp;".1"</f>
        <v>....1.1</v>
      </c>
      <c r="K48" s="1277"/>
      <c r="L48" s="1320" t="s">
        <v>428</v>
      </c>
      <c r="P48" s="2267"/>
      <c r="Q48" s="2267">
        <v>1</v>
      </c>
      <c r="R48" s="367"/>
      <c r="S48" s="1968" t="str">
        <f>$J48</f>
        <v>....1.1</v>
      </c>
      <c r="T48" s="296" t="s">
        <v>429</v>
      </c>
      <c r="U48" s="310"/>
      <c r="V48" s="2255"/>
      <c r="W48" s="2256"/>
      <c r="X48" s="2256"/>
      <c r="Y48" s="2256"/>
      <c r="Z48" s="2256"/>
      <c r="AA48" s="2256"/>
      <c r="AB48" s="2256"/>
      <c r="AC48" s="2257"/>
      <c r="AD48" s="2255"/>
      <c r="AE48" s="2256"/>
      <c r="AF48" s="2256"/>
      <c r="AG48" s="2256"/>
      <c r="AH48" s="2256"/>
      <c r="AI48" s="2256"/>
      <c r="AJ48" s="2256"/>
      <c r="AK48" s="2256"/>
      <c r="AL48" s="2257"/>
      <c r="AM48" s="1268" t="s">
        <v>430</v>
      </c>
      <c r="AO48" s="1634"/>
      <c r="AP48" s="1634" t="str">
        <f>IF(T48="","",T48)</f>
        <v>Группа потребителей</v>
      </c>
      <c r="AQ48" s="1634"/>
      <c r="AR48" s="1634"/>
      <c r="AS48" s="1641">
        <v>21</v>
      </c>
    </row>
    <row customHeight="1" ht="22.049999999999997">
      <c r="A49" s="1277" t="s">
        <v>234</v>
      </c>
      <c r="B49" s="1277" t="s">
        <v>235</v>
      </c>
      <c r="C49" s="1277" t="s">
        <v>236</v>
      </c>
      <c r="D49" s="1277" t="s">
        <v>237</v>
      </c>
      <c r="E49" s="2300"/>
      <c r="F49" s="2300"/>
      <c r="G49" s="2300"/>
      <c r="H49" s="2300"/>
      <c r="I49" s="2111"/>
      <c r="J49" s="2111"/>
      <c r="K49" s="2137" t="str">
        <f>J48&amp;".1"</f>
        <v>....1.1.1</v>
      </c>
      <c r="L49" s="1320" t="s">
        <v>431</v>
      </c>
      <c r="P49" s="2267"/>
      <c r="Q49" s="2267"/>
      <c r="R49" s="367">
        <v>1</v>
      </c>
      <c r="S49" s="1968" t="str">
        <f>$K49</f>
        <v>....1.1.1</v>
      </c>
      <c r="T49" s="1357"/>
      <c r="U49" s="310"/>
      <c r="V49" s="761"/>
      <c r="W49" s="335"/>
      <c r="X49" s="761"/>
      <c r="Y49" s="1267"/>
      <c r="Z49" s="2275"/>
      <c r="AA49" s="2117" t="s">
        <v>66</v>
      </c>
      <c r="AB49" s="2275"/>
      <c r="AC49" s="2117" t="s">
        <v>66</v>
      </c>
      <c r="AD49" s="761"/>
      <c r="AE49" s="335"/>
      <c r="AF49" s="761"/>
      <c r="AG49" s="1267"/>
      <c r="AH49" s="2275"/>
      <c r="AI49" s="2117" t="s">
        <v>66</v>
      </c>
      <c r="AJ49" s="2297"/>
      <c r="AK49" s="2117" t="s">
        <v>66</v>
      </c>
      <c r="AL49" s="1358"/>
      <c r="AM49" s="2263" t="s">
        <v>432</v>
      </c>
      <c r="AN49" s="1646">
        <f>STRCHECKDATE(V50:AL50)</f>
      </c>
      <c r="AO49" s="1634"/>
      <c r="AP49" s="1634" t="str">
        <f>IF(T49="","",T49)</f>
        <v/>
      </c>
      <c r="AQ49" s="1634"/>
      <c r="AR49" s="1634"/>
      <c r="AS49" s="1641">
        <v>21</v>
      </c>
    </row>
    <row customHeight="1" ht="1.05">
      <c r="A50" s="1277" t="s">
        <v>234</v>
      </c>
      <c r="B50" s="1277" t="s">
        <v>235</v>
      </c>
      <c r="C50" s="1277" t="s">
        <v>236</v>
      </c>
      <c r="D50" s="1277" t="s">
        <v>237</v>
      </c>
      <c r="E50" s="2300"/>
      <c r="F50" s="2300"/>
      <c r="G50" s="2300"/>
      <c r="H50" s="2300"/>
      <c r="I50" s="2111"/>
      <c r="J50" s="2111"/>
      <c r="K50" s="2137"/>
      <c r="L50" s="1320"/>
      <c r="P50" s="2267"/>
      <c r="Q50" s="2267"/>
      <c r="R50" s="367"/>
      <c r="S50" s="1977"/>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1634"/>
      <c r="AP50" s="1634" t="str">
        <f>IF(T50="","",T50)</f>
        <v/>
      </c>
      <c r="AQ50" s="1634"/>
      <c r="AR50" s="1634"/>
      <c r="AS50" s="1641">
        <v>1</v>
      </c>
    </row>
    <row customHeight="1" ht="11.549999999999999">
      <c r="A51" s="1277" t="s">
        <v>234</v>
      </c>
      <c r="B51" s="1277" t="s">
        <v>235</v>
      </c>
      <c r="C51" s="1277" t="s">
        <v>236</v>
      </c>
      <c r="D51" s="1277" t="s">
        <v>237</v>
      </c>
      <c r="E51" s="2300"/>
      <c r="F51" s="2300"/>
      <c r="G51" s="2300"/>
      <c r="H51" s="2300"/>
      <c r="I51" s="2111"/>
      <c r="J51" s="2137"/>
      <c r="K51" s="1277"/>
      <c r="L51" s="1320"/>
      <c r="P51" s="2267"/>
      <c r="Q51" s="2267"/>
      <c r="R51" s="366"/>
      <c r="S51" s="1288"/>
      <c r="T51" s="298" t="s">
        <v>433</v>
      </c>
      <c r="U51" s="610"/>
      <c r="V51" s="610"/>
      <c r="W51" s="610"/>
      <c r="X51" s="610"/>
      <c r="Y51" s="610"/>
      <c r="Z51" s="610"/>
      <c r="AA51" s="610"/>
      <c r="AB51" s="610"/>
      <c r="AC51" s="610"/>
      <c r="AD51" s="610"/>
      <c r="AE51" s="610"/>
      <c r="AF51" s="610"/>
      <c r="AG51" s="610"/>
      <c r="AH51" s="610"/>
      <c r="AI51" s="610"/>
      <c r="AJ51" s="610"/>
      <c r="AK51" s="610"/>
      <c r="AL51" s="334"/>
      <c r="AM51" s="2265"/>
      <c r="AO51" s="1634"/>
      <c r="AP51" s="1634" t="str">
        <f>IF(T51="","",T51)</f>
        <v>Добавить вид теплоносителя (параметры теплоносителя)</v>
      </c>
      <c r="AQ51" s="1634"/>
      <c r="AR51" s="1634"/>
      <c r="AS51" s="1641">
        <v>11</v>
      </c>
    </row>
    <row customHeight="1" ht="11.549999999999999">
      <c r="A52" s="1277" t="s">
        <v>234</v>
      </c>
      <c r="B52" s="1277" t="s">
        <v>235</v>
      </c>
      <c r="C52" s="1277" t="s">
        <v>236</v>
      </c>
      <c r="D52" s="1277" t="s">
        <v>237</v>
      </c>
      <c r="E52" s="2300"/>
      <c r="F52" s="2300"/>
      <c r="G52" s="2300"/>
      <c r="H52" s="2300"/>
      <c r="I52" s="2137"/>
      <c r="J52" s="1277"/>
      <c r="K52" s="1277"/>
      <c r="L52" s="1320"/>
      <c r="P52" s="2267"/>
      <c r="Q52" s="1964"/>
      <c r="R52" s="366"/>
      <c r="S52" s="1288"/>
      <c r="T52" s="297" t="s">
        <v>434</v>
      </c>
      <c r="U52" s="610"/>
      <c r="V52" s="610"/>
      <c r="W52" s="610"/>
      <c r="X52" s="610"/>
      <c r="Y52" s="610"/>
      <c r="Z52" s="610"/>
      <c r="AA52" s="610"/>
      <c r="AB52" s="610"/>
      <c r="AC52" s="376"/>
      <c r="AD52" s="610"/>
      <c r="AE52" s="610"/>
      <c r="AF52" s="610"/>
      <c r="AG52" s="610"/>
      <c r="AH52" s="610"/>
      <c r="AI52" s="610"/>
      <c r="AJ52" s="610"/>
      <c r="AK52" s="376"/>
      <c r="AL52" s="610"/>
      <c r="AM52" s="313"/>
      <c r="AO52" s="1634"/>
      <c r="AP52" s="1634" t="str">
        <f>IF(T52="","",T52)</f>
        <v>Добавить группу потребителей</v>
      </c>
      <c r="AQ52" s="1634"/>
      <c r="AR52" s="1634"/>
      <c r="AS52" s="1641">
        <v>11</v>
      </c>
    </row>
    <row customHeight="1" ht="14.699999999999998">
      <c r="A53" s="1277" t="s">
        <v>234</v>
      </c>
      <c r="B53" s="1277" t="s">
        <v>235</v>
      </c>
      <c r="C53" s="1277" t="s">
        <v>236</v>
      </c>
      <c r="D53" s="1277" t="s">
        <v>237</v>
      </c>
      <c r="E53" s="2300"/>
      <c r="F53" s="2300"/>
      <c r="G53" s="2300"/>
      <c r="H53" s="2299"/>
      <c r="I53" s="1277"/>
      <c r="J53" s="1277"/>
      <c r="K53" s="1277"/>
      <c r="L53" s="1320"/>
      <c r="M53" s="1620"/>
      <c r="N53" s="1620"/>
      <c r="O53" s="1645"/>
      <c r="P53" s="370"/>
      <c r="Q53" s="385"/>
      <c r="R53" s="365"/>
      <c r="S53" s="1288"/>
      <c r="T53" s="375" t="s">
        <v>435</v>
      </c>
      <c r="U53" s="610"/>
      <c r="V53" s="610"/>
      <c r="W53" s="610"/>
      <c r="X53" s="610"/>
      <c r="Y53" s="610"/>
      <c r="Z53" s="610"/>
      <c r="AA53" s="610"/>
      <c r="AB53" s="610"/>
      <c r="AC53" s="376"/>
      <c r="AD53" s="610"/>
      <c r="AE53" s="610"/>
      <c r="AF53" s="610"/>
      <c r="AG53" s="610"/>
      <c r="AH53" s="610"/>
      <c r="AI53" s="610"/>
      <c r="AJ53" s="610"/>
      <c r="AK53" s="376"/>
      <c r="AL53" s="610"/>
      <c r="AM53" s="313"/>
      <c r="AO53" s="1634"/>
      <c r="AP53" s="1634" t="str">
        <f>IF(T53="","",T53)</f>
        <v>Добавить схему подключения</v>
      </c>
      <c r="AQ53" s="1634"/>
      <c r="AR53" s="1634"/>
      <c r="AS53" s="1641">
        <v>14</v>
      </c>
    </row>
    <row s="1652" customFormat="1" customHeight="1" ht="4.2">
      <c r="A54" s="1385" t="s">
        <v>234</v>
      </c>
      <c r="B54" s="1385" t="s">
        <v>235</v>
      </c>
      <c r="C54" s="1385" t="s">
        <v>236</v>
      </c>
      <c r="D54" s="1384"/>
      <c r="E54" s="2300"/>
      <c r="F54" s="2300"/>
      <c r="G54" s="2299"/>
      <c r="H54" s="1384"/>
      <c r="I54" s="1384"/>
      <c r="J54" s="1384"/>
      <c r="K54" s="1384"/>
      <c r="L54" s="1387"/>
      <c r="M54" s="1388"/>
      <c r="N54" s="1388"/>
      <c r="O54" s="361"/>
      <c r="P54" s="1326"/>
      <c r="Q54" s="1327"/>
      <c r="R54" s="1326"/>
      <c r="S54" s="1332"/>
      <c r="T54" s="1335" t="s">
        <v>436</v>
      </c>
      <c r="U54" s="1334"/>
      <c r="V54" s="1334"/>
      <c r="W54" s="1334"/>
      <c r="X54" s="1334"/>
      <c r="Y54" s="1334"/>
      <c r="Z54" s="1334"/>
      <c r="AA54" s="1334"/>
      <c r="AB54" s="1334"/>
      <c r="AC54" s="1334"/>
      <c r="AD54" s="1334"/>
      <c r="AE54" s="1334"/>
      <c r="AF54" s="1334"/>
      <c r="AG54" s="1334"/>
      <c r="AH54" s="1334"/>
      <c r="AI54" s="1334"/>
      <c r="AJ54" s="1334"/>
      <c r="AK54" s="1334"/>
      <c r="AL54" s="1334"/>
      <c r="AM54" s="1334"/>
      <c r="AO54" s="1261"/>
      <c r="AP54" s="1261" t="str">
        <f>IF(T54="","",T54)</f>
        <v>Добавить источник для дифференциации</v>
      </c>
      <c r="AQ54" s="1261"/>
      <c r="AR54" s="1261"/>
      <c r="AS54" s="1652">
        <v>4</v>
      </c>
    </row>
    <row s="1652" customFormat="1" customHeight="1" ht="4.2">
      <c r="A55" s="1385" t="s">
        <v>234</v>
      </c>
      <c r="B55" s="1385" t="s">
        <v>235</v>
      </c>
      <c r="C55" s="1384"/>
      <c r="D55" s="1384"/>
      <c r="E55" s="2300"/>
      <c r="F55" s="2299"/>
      <c r="G55" s="1384"/>
      <c r="H55" s="1384"/>
      <c r="I55" s="1384"/>
      <c r="J55" s="1384"/>
      <c r="K55" s="1384"/>
      <c r="L55" s="1387"/>
      <c r="M55" s="1389"/>
      <c r="N55" s="1389"/>
      <c r="O55" s="361"/>
      <c r="P55" s="1326"/>
      <c r="Q55" s="1327"/>
      <c r="R55" s="1326"/>
      <c r="S55" s="1332"/>
      <c r="T55" s="1335" t="s">
        <v>437</v>
      </c>
      <c r="U55" s="1334"/>
      <c r="V55" s="1334"/>
      <c r="W55" s="1334"/>
      <c r="X55" s="1334"/>
      <c r="Y55" s="1334"/>
      <c r="Z55" s="1334"/>
      <c r="AA55" s="1334"/>
      <c r="AB55" s="1334"/>
      <c r="AC55" s="1334"/>
      <c r="AD55" s="1334"/>
      <c r="AE55" s="1334"/>
      <c r="AF55" s="1334"/>
      <c r="AG55" s="1334"/>
      <c r="AH55" s="1334"/>
      <c r="AI55" s="1334"/>
      <c r="AJ55" s="1334"/>
      <c r="AK55" s="1334"/>
      <c r="AL55" s="1334"/>
      <c r="AM55" s="1334"/>
      <c r="AO55" s="1261"/>
      <c r="AP55" s="1261" t="str">
        <f>IF(T55="","",T55)</f>
        <v>Добавить централизованную систему для дифференциации</v>
      </c>
      <c r="AQ55" s="1261"/>
      <c r="AR55" s="1261"/>
      <c r="AS55" s="1652">
        <v>4</v>
      </c>
    </row>
    <row s="1652" customFormat="1" customHeight="1" ht="4.2">
      <c r="A56" s="1385" t="s">
        <v>234</v>
      </c>
      <c r="B56" s="1385"/>
      <c r="C56" s="1385"/>
      <c r="D56" s="1385"/>
      <c r="E56" s="2299"/>
      <c r="F56" s="1385"/>
      <c r="G56" s="1385"/>
      <c r="H56" s="1385"/>
      <c r="I56" s="1385"/>
      <c r="J56" s="1385"/>
      <c r="K56" s="1385"/>
      <c r="L56" s="1391"/>
      <c r="M56" s="1389"/>
      <c r="N56" s="1389"/>
      <c r="O56" s="361"/>
      <c r="P56" s="390"/>
      <c r="Q56" s="1354"/>
      <c r="R56" s="390"/>
      <c r="S56" s="1332"/>
      <c r="T56" s="1335" t="s">
        <v>438</v>
      </c>
      <c r="U56" s="1334"/>
      <c r="V56" s="1334"/>
      <c r="W56" s="1334"/>
      <c r="X56" s="1334"/>
      <c r="Y56" s="1334"/>
      <c r="Z56" s="1334"/>
      <c r="AA56" s="1334"/>
      <c r="AB56" s="1334"/>
      <c r="AC56" s="1334"/>
      <c r="AD56" s="1334"/>
      <c r="AE56" s="1334"/>
      <c r="AF56" s="1334"/>
      <c r="AG56" s="1334"/>
      <c r="AH56" s="1334"/>
      <c r="AI56" s="1334"/>
      <c r="AJ56" s="1334"/>
      <c r="AK56" s="1334"/>
      <c r="AL56" s="1334"/>
      <c r="AM56" s="1334"/>
      <c r="AO56" s="1634"/>
      <c r="AP56" s="1634" t="str">
        <f>IF(T56="","",T56)</f>
        <v>Добавить территорию для дифференциации</v>
      </c>
      <c r="AQ56" s="1634"/>
      <c r="AR56" s="1634"/>
      <c r="AS56" s="1646">
        <v>4</v>
      </c>
    </row>
    <row s="1652" customFormat="1" customHeight="1" ht="4.2">
      <c r="A57" s="1384"/>
      <c r="B57" s="1384"/>
      <c r="C57" s="1384"/>
      <c r="D57" s="1384"/>
      <c r="E57" s="1385"/>
      <c r="F57" s="1384"/>
      <c r="G57" s="1384"/>
      <c r="H57" s="1384"/>
      <c r="I57" s="1384"/>
      <c r="J57" s="1384"/>
      <c r="K57" s="1384"/>
      <c r="L57" s="1387"/>
      <c r="M57" s="1389"/>
      <c r="N57" s="1389"/>
      <c r="O57" s="361"/>
      <c r="P57" s="1326"/>
      <c r="Q57" s="1327"/>
      <c r="R57" s="1326"/>
      <c r="S57" s="1332"/>
      <c r="T57" s="1335" t="s">
        <v>470</v>
      </c>
      <c r="U57" s="1334"/>
      <c r="V57" s="1334"/>
      <c r="W57" s="1334"/>
      <c r="X57" s="1334"/>
      <c r="Y57" s="1334"/>
      <c r="Z57" s="1334"/>
      <c r="AA57" s="1334"/>
      <c r="AB57" s="1334"/>
      <c r="AC57" s="1334"/>
      <c r="AD57" s="1334"/>
      <c r="AE57" s="1334"/>
      <c r="AF57" s="1334"/>
      <c r="AG57" s="1334"/>
      <c r="AH57" s="1334"/>
      <c r="AI57" s="1334"/>
      <c r="AJ57" s="1334"/>
      <c r="AK57" s="1334"/>
      <c r="AL57" s="1334"/>
      <c r="AM57" s="1334"/>
      <c r="AO57" s="1261"/>
      <c r="AP57" s="1261" t="str">
        <f>IF(T57="","",T57)</f>
        <v>Добавить наименование тарифа</v>
      </c>
      <c r="AQ57" s="1261"/>
      <c r="AR57" s="1261"/>
      <c r="AS57" s="1652">
        <v>4</v>
      </c>
    </row>
    <row customHeight="1" ht="11.549999999999999">
      <c r="M58" s="1641"/>
      <c r="N58" s="1641"/>
      <c r="O58" s="1645"/>
      <c r="P58" s="1641"/>
      <c r="Q58" s="1641"/>
      <c r="R58" s="1641"/>
      <c r="S58" s="1641"/>
      <c r="AN58" s="1641"/>
      <c r="AO58" s="1641"/>
      <c r="AP58" s="1641"/>
      <c r="AQ58" s="1641"/>
      <c r="AR58" s="1641"/>
      <c r="AS58" s="1641">
        <v>11</v>
      </c>
    </row>
    <row customHeight="1" ht="28.5">
      <c r="O59" s="1645"/>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641">
        <v>27</v>
      </c>
    </row>
    <row customHeight="1" ht="65.25">
      <c r="O60" s="1645"/>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641">
        <v>62</v>
      </c>
    </row>
    <row customHeight="1" ht="14.699999999999998">
      <c r="O61" s="1645"/>
      <c r="AS61" s="1641">
        <v>14</v>
      </c>
    </row>
    <row customHeight="1" ht="18.75">
      <c r="O62" s="1645"/>
      <c r="S62" s="1263"/>
      <c r="T62" s="2295"/>
      <c r="U62" s="2295"/>
      <c r="V62" s="2295"/>
      <c r="W62" s="2295"/>
      <c r="X62" s="2295"/>
      <c r="Y62" s="2295"/>
      <c r="Z62" s="2295"/>
      <c r="AA62" s="2295"/>
      <c r="AB62" s="2295"/>
      <c r="AC62" s="2295"/>
      <c r="AD62" s="2295"/>
      <c r="AE62" s="2295"/>
      <c r="AF62" s="2295"/>
      <c r="AG62" s="2295"/>
      <c r="AH62" s="2295"/>
      <c r="AI62" s="2295"/>
      <c r="AJ62" s="2295"/>
      <c r="AK62" s="2295"/>
      <c r="AL62" s="2295"/>
      <c r="AM62" s="2295"/>
      <c r="AS62" s="1641">
        <v>18</v>
      </c>
    </row>
    <row customHeight="1" ht="18.75">
      <c r="O63" s="1645"/>
      <c r="T63" s="2295"/>
      <c r="U63" s="2295"/>
      <c r="V63" s="2295"/>
      <c r="W63" s="2295"/>
      <c r="X63" s="2295"/>
      <c r="Y63" s="2295"/>
      <c r="Z63" s="2295"/>
      <c r="AA63" s="2295"/>
      <c r="AB63" s="2295"/>
      <c r="AC63" s="2295"/>
      <c r="AD63" s="2295"/>
      <c r="AE63" s="2295"/>
      <c r="AF63" s="2295"/>
      <c r="AG63" s="2295"/>
      <c r="AH63" s="2295"/>
      <c r="AI63" s="2295"/>
      <c r="AJ63" s="2295"/>
      <c r="AK63" s="2295"/>
      <c r="AL63" s="2295"/>
      <c r="AM63" s="2295"/>
      <c r="AS63" s="1641">
        <v>18</v>
      </c>
    </row>
    <row customHeight="1" ht="29.25">
      <c r="O64" s="1645"/>
      <c r="S64" s="1263"/>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641">
        <v>28</v>
      </c>
    </row>
    <row customHeight="1" ht="22.5" hidden="1">
      <c r="A65" s="1641" t="s">
        <v>82</v>
      </c>
      <c r="B65" s="1641">
        <v>0</v>
      </c>
      <c r="C65" s="1641">
        <v>0</v>
      </c>
      <c r="D65" s="1641">
        <v>0</v>
      </c>
      <c r="E65" s="1641">
        <v>0</v>
      </c>
      <c r="F65" s="1641">
        <v>0</v>
      </c>
      <c r="G65" s="1641">
        <v>0</v>
      </c>
      <c r="H65" s="1641">
        <v>0</v>
      </c>
      <c r="I65" s="1641">
        <v>0</v>
      </c>
      <c r="J65" s="1641">
        <v>0</v>
      </c>
      <c r="K65" s="1641">
        <v>0</v>
      </c>
      <c r="L65" s="1949">
        <v>0</v>
      </c>
      <c r="M65" s="1975">
        <v>0</v>
      </c>
      <c r="N65" s="1975">
        <v>0</v>
      </c>
      <c r="O65" s="1975">
        <v>0</v>
      </c>
      <c r="P65" s="1975">
        <v>3</v>
      </c>
      <c r="Q65" s="354">
        <v>3</v>
      </c>
      <c r="R65" s="354">
        <v>3</v>
      </c>
      <c r="S65" s="591">
        <v>12</v>
      </c>
      <c r="T65" s="1641">
        <v>31</v>
      </c>
      <c r="U65" s="1641">
        <v>0</v>
      </c>
      <c r="V65" s="1641">
        <v>0</v>
      </c>
      <c r="W65" s="1641">
        <v>0</v>
      </c>
      <c r="X65" s="1641">
        <v>0</v>
      </c>
      <c r="Y65" s="1641">
        <v>0</v>
      </c>
      <c r="Z65" s="1641">
        <v>0</v>
      </c>
      <c r="AA65" s="1641">
        <v>0</v>
      </c>
      <c r="AB65" s="1641">
        <v>0</v>
      </c>
      <c r="AC65" s="1641">
        <v>0</v>
      </c>
      <c r="AD65" s="1641">
        <v>24</v>
      </c>
      <c r="AE65" s="1641">
        <v>0</v>
      </c>
      <c r="AF65" s="1641">
        <v>24</v>
      </c>
      <c r="AG65" s="1641">
        <v>24</v>
      </c>
      <c r="AH65" s="1641">
        <v>11</v>
      </c>
      <c r="AI65" s="1641">
        <v>3</v>
      </c>
      <c r="AJ65" s="1641">
        <v>11</v>
      </c>
      <c r="AK65" s="1641">
        <v>0</v>
      </c>
      <c r="AL65" s="1641">
        <v>4</v>
      </c>
      <c r="AM65" s="1641">
        <v>115</v>
      </c>
      <c r="AN65" s="1646">
        <v>10</v>
      </c>
      <c r="AO65" s="1646">
        <v>10</v>
      </c>
      <c r="AP65" s="1646">
        <v>10</v>
      </c>
      <c r="AQ65" s="1646">
        <v>10</v>
      </c>
      <c r="AR65" s="1646">
        <v>10</v>
      </c>
      <c r="AS65" s="1641">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2615F8-1B85-1FDF-62BD-0.0992B7B5}"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45" width="10.57421875" hidden="1"/>
    <col min="2" max="2" style="1645" width="11.00390625" hidden="1" customWidth="1"/>
    <col min="3" max="3" style="1645" width="10.57421875" hidden="1"/>
    <col min="4" max="4" style="1645" width="11.8515625" hidden="1" customWidth="1"/>
    <col min="5" max="5" style="1645" width="10.00390625" hidden="1" customWidth="1"/>
    <col min="6" max="6" style="1645" width="8.7109375" hidden="1" customWidth="1"/>
    <col min="7" max="7" style="1645" width="7.57421875" hidden="1" customWidth="1"/>
    <col min="8" max="8" style="1645" width="11.421875" hidden="1" customWidth="1"/>
    <col min="9" max="9" style="1645" width="12.00390625" hidden="1" customWidth="1"/>
    <col min="10" max="10" style="1645" width="9.8515625" hidden="1" customWidth="1"/>
    <col min="11" max="11" style="1645" width="11.421875" hidden="1" customWidth="1"/>
    <col min="12" max="12" style="2135" width="19.140625" hidden="1" customWidth="1"/>
    <col min="13" max="14" style="2407" width="12.28125" hidden="1" customWidth="1"/>
    <col min="15" max="15" style="2407" width="23.421875" hidden="1" customWidth="1"/>
    <col min="16" max="16" style="2407" width="3.00390625" customWidth="1"/>
    <col min="17" max="18" style="354" width="3.00390625" customWidth="1"/>
    <col min="19" max="19" style="2417" width="12.00390625" customWidth="1"/>
    <col min="20" max="20" style="1645" width="31.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AS1" s="1641" t="s">
        <v>14</v>
      </c>
    </row>
    <row customHeight="1" ht="21" hidden="1">
      <c r="A2" s="1277"/>
      <c r="B2" s="1277"/>
      <c r="C2" s="1277"/>
      <c r="D2" s="1277"/>
      <c r="E2" s="2299">
        <v>1</v>
      </c>
      <c r="F2" s="1277"/>
      <c r="G2" s="1277"/>
      <c r="H2" s="1277"/>
      <c r="I2" s="1277"/>
      <c r="J2" s="1277"/>
      <c r="K2" s="1277"/>
      <c r="L2" s="1320"/>
      <c r="M2" s="1620"/>
      <c r="N2" s="1620"/>
      <c r="O2" s="1620"/>
      <c r="P2" s="1600"/>
      <c r="Q2" s="370"/>
      <c r="R2" s="365"/>
      <c r="S2" s="1968">
        <f>INDEX(PT_DIFFERENTIATION_NUM_NTAR,MATCH(A2,PT_DIFFERENTIATION_NTAR_ID,0))</f>
      </c>
      <c r="T2" s="1535" t="s">
        <v>147</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418</v>
      </c>
      <c r="AO2" s="1634"/>
      <c r="AP2" s="1634" t="str">
        <f>IF(T2="","",T2)</f>
        <v>Наименование тарифа</v>
      </c>
      <c r="AQ2" s="1634"/>
      <c r="AR2" s="1634"/>
      <c r="AS2" s="1641">
        <v>0</v>
      </c>
    </row>
    <row customHeight="1" ht="21" hidden="1">
      <c r="A3" s="1277"/>
      <c r="B3" s="1277"/>
      <c r="C3" s="1277"/>
      <c r="D3" s="1277"/>
      <c r="E3" s="2300"/>
      <c r="F3" s="2299">
        <v>1</v>
      </c>
      <c r="G3" s="1277"/>
      <c r="H3" s="1277"/>
      <c r="I3" s="1277"/>
      <c r="J3" s="1277"/>
      <c r="K3" s="1277"/>
      <c r="L3" s="1320"/>
      <c r="M3" s="1620"/>
      <c r="N3" s="1620"/>
      <c r="O3" s="1620"/>
      <c r="P3" s="1950"/>
      <c r="Q3" s="362"/>
      <c r="R3" s="363"/>
      <c r="S3" s="1968">
        <f>INDEX(PT_DIFFERENTIATION_NUM_TER,MATCH(B3,PT_DIFFERENTIATION_TER_ID,0))</f>
      </c>
      <c r="T3" s="1532" t="s">
        <v>419</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420</v>
      </c>
      <c r="AO3" s="1634"/>
      <c r="AP3" s="1634" t="str">
        <f>IF(T3="","",T3)</f>
        <v>Территория действия тарифа</v>
      </c>
      <c r="AQ3" s="1634"/>
      <c r="AR3" s="1634"/>
      <c r="AS3" s="1641">
        <v>0</v>
      </c>
    </row>
    <row customHeight="1" ht="23.25" hidden="1">
      <c r="A4" s="1277"/>
      <c r="B4" s="1277"/>
      <c r="C4" s="1277"/>
      <c r="D4" s="1277"/>
      <c r="E4" s="2300"/>
      <c r="F4" s="2300"/>
      <c r="G4" s="2299">
        <v>1</v>
      </c>
      <c r="H4" s="1277"/>
      <c r="I4" s="1277"/>
      <c r="J4" s="1277"/>
      <c r="K4" s="1277"/>
      <c r="L4" s="1320"/>
      <c r="M4" s="1620"/>
      <c r="N4" s="1620"/>
      <c r="O4" s="1620"/>
      <c r="P4" s="364"/>
      <c r="Q4" s="362"/>
      <c r="R4" s="363"/>
      <c r="S4" s="1968">
        <f>INDEX(PT_DIFFERENTIATION_NUM_CS,MATCH(C4,PT_DIFFERENTIATION_CS_ID,0))</f>
      </c>
      <c r="T4" s="319" t="s">
        <v>421</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422</v>
      </c>
      <c r="AO4" s="1634"/>
      <c r="AP4" s="1634" t="str">
        <f>IF(T4="","",T4)</f>
        <v>Наименование системы теплоснабжения </v>
      </c>
      <c r="AQ4" s="1634"/>
      <c r="AR4" s="1634"/>
      <c r="AS4" s="1641">
        <v>0</v>
      </c>
    </row>
    <row customHeight="1" ht="21" hidden="1">
      <c r="A5" s="1277"/>
      <c r="B5" s="1277"/>
      <c r="C5" s="1277"/>
      <c r="D5" s="1277"/>
      <c r="E5" s="2300"/>
      <c r="F5" s="2300"/>
      <c r="G5" s="2300"/>
      <c r="H5" s="2299">
        <v>1</v>
      </c>
      <c r="I5" s="1277"/>
      <c r="J5" s="1277"/>
      <c r="K5" s="1277"/>
      <c r="L5" s="1320"/>
      <c r="M5" s="1620"/>
      <c r="N5" s="1620"/>
      <c r="O5" s="1620"/>
      <c r="P5" s="364"/>
      <c r="Q5" s="362"/>
      <c r="R5" s="363"/>
      <c r="S5" s="1968">
        <f>INDEX(PT_DIFFERENTIATION_NUM_IST_TE,MATCH(D5,PT_DIFFERENTIATION_IST_TE_ID,0))</f>
      </c>
      <c r="T5" s="320" t="s">
        <v>423</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424</v>
      </c>
      <c r="AO5" s="1634"/>
      <c r="AP5" s="1634" t="str">
        <f>IF(T5="","",T5)</f>
        <v>Источник тепловой энергии  </v>
      </c>
      <c r="AQ5" s="1634"/>
      <c r="AR5" s="1634"/>
      <c r="AS5" s="1641">
        <v>0</v>
      </c>
    </row>
    <row customHeight="1" ht="47.25" hidden="1">
      <c r="A6" s="1277"/>
      <c r="B6" s="1277"/>
      <c r="C6" s="1277"/>
      <c r="D6" s="1277"/>
      <c r="E6" s="2300"/>
      <c r="F6" s="2300"/>
      <c r="G6" s="2300"/>
      <c r="H6" s="2300"/>
      <c r="I6" s="2137">
        <f>S5&amp;".1"</f>
      </c>
      <c r="J6" s="1277"/>
      <c r="K6" s="1277"/>
      <c r="L6" s="1320" t="s">
        <v>425</v>
      </c>
      <c r="M6" s="1645"/>
      <c r="P6" s="2267">
        <v>1</v>
      </c>
      <c r="Q6" s="1964"/>
      <c r="R6" s="366"/>
      <c r="S6" s="1968">
        <f>$I6</f>
      </c>
      <c r="T6" s="295" t="s">
        <v>426</v>
      </c>
      <c r="U6" s="310"/>
      <c r="V6" s="2255"/>
      <c r="W6" s="2256"/>
      <c r="X6" s="2256"/>
      <c r="Y6" s="2256"/>
      <c r="Z6" s="2256"/>
      <c r="AA6" s="2256"/>
      <c r="AB6" s="2256"/>
      <c r="AC6" s="2257"/>
      <c r="AD6" s="2255"/>
      <c r="AE6" s="2256"/>
      <c r="AF6" s="2256"/>
      <c r="AG6" s="2256"/>
      <c r="AH6" s="2256"/>
      <c r="AI6" s="2256"/>
      <c r="AJ6" s="2256"/>
      <c r="AK6" s="2256"/>
      <c r="AL6" s="2257"/>
      <c r="AM6" s="1268" t="s">
        <v>427</v>
      </c>
      <c r="AO6" s="1634"/>
      <c r="AP6" s="1634" t="str">
        <f>IF(T6="","",T6)</f>
        <v>Схема подключения теплопотребляющей установки к коллектору источника тепловой энергии</v>
      </c>
      <c r="AQ6" s="1634"/>
      <c r="AR6" s="1634"/>
      <c r="AS6" s="1641">
        <v>0</v>
      </c>
    </row>
    <row customHeight="1" ht="21" hidden="1">
      <c r="A7" s="1277"/>
      <c r="B7" s="1277"/>
      <c r="C7" s="1277"/>
      <c r="D7" s="1277"/>
      <c r="E7" s="2300"/>
      <c r="F7" s="2300"/>
      <c r="G7" s="2300"/>
      <c r="H7" s="2300"/>
      <c r="I7" s="2111"/>
      <c r="J7" s="2137">
        <f>I6&amp;".1"</f>
      </c>
      <c r="K7" s="1277"/>
      <c r="L7" s="1320" t="s">
        <v>428</v>
      </c>
      <c r="M7" s="1645"/>
      <c r="N7" s="1641"/>
      <c r="P7" s="2267"/>
      <c r="Q7" s="2267">
        <v>1</v>
      </c>
      <c r="R7" s="367"/>
      <c r="S7" s="1968">
        <f>$J7</f>
      </c>
      <c r="T7" s="296" t="s">
        <v>429</v>
      </c>
      <c r="U7" s="310"/>
      <c r="V7" s="2255"/>
      <c r="W7" s="2256"/>
      <c r="X7" s="2256"/>
      <c r="Y7" s="2256"/>
      <c r="Z7" s="2256"/>
      <c r="AA7" s="2256"/>
      <c r="AB7" s="2256"/>
      <c r="AC7" s="2257"/>
      <c r="AD7" s="2255"/>
      <c r="AE7" s="2256"/>
      <c r="AF7" s="2256"/>
      <c r="AG7" s="2256"/>
      <c r="AH7" s="2256"/>
      <c r="AI7" s="2256"/>
      <c r="AJ7" s="2256"/>
      <c r="AK7" s="2256"/>
      <c r="AL7" s="2257"/>
      <c r="AM7" s="1268" t="s">
        <v>430</v>
      </c>
      <c r="AO7" s="1634"/>
      <c r="AP7" s="1634" t="str">
        <f>IF(T7="","",T7)</f>
        <v>Группа потребителей</v>
      </c>
      <c r="AQ7" s="1634"/>
      <c r="AR7" s="1634"/>
      <c r="AS7" s="1641">
        <v>0</v>
      </c>
    </row>
    <row customHeight="1" ht="21" hidden="1">
      <c r="A8" s="1277"/>
      <c r="B8" s="1277"/>
      <c r="C8" s="1277"/>
      <c r="D8" s="1277"/>
      <c r="E8" s="2300"/>
      <c r="F8" s="2300"/>
      <c r="G8" s="2300"/>
      <c r="H8" s="2300"/>
      <c r="I8" s="2111"/>
      <c r="J8" s="2111"/>
      <c r="K8" s="2137">
        <f>J7&amp;".1"</f>
      </c>
      <c r="L8" s="1320" t="s">
        <v>431</v>
      </c>
      <c r="M8" s="1645"/>
      <c r="N8" s="1641"/>
      <c r="O8" s="1641"/>
      <c r="P8" s="2267"/>
      <c r="Q8" s="2267"/>
      <c r="R8" s="367">
        <v>1</v>
      </c>
      <c r="S8" s="1968">
        <f>$K8</f>
      </c>
      <c r="T8" s="1357"/>
      <c r="U8" s="310"/>
      <c r="V8" s="761"/>
      <c r="W8" s="335"/>
      <c r="X8" s="761"/>
      <c r="Y8" s="1267"/>
      <c r="Z8" s="2275"/>
      <c r="AA8" s="2117" t="s">
        <v>66</v>
      </c>
      <c r="AB8" s="2275"/>
      <c r="AC8" s="2117" t="s">
        <v>66</v>
      </c>
      <c r="AD8" s="761"/>
      <c r="AE8" s="335"/>
      <c r="AF8" s="761"/>
      <c r="AG8" s="1267"/>
      <c r="AH8" s="2275"/>
      <c r="AI8" s="2117" t="s">
        <v>66</v>
      </c>
      <c r="AJ8" s="2275"/>
      <c r="AK8" s="2117" t="s">
        <v>66</v>
      </c>
      <c r="AL8" s="335"/>
      <c r="AM8" s="2263" t="s">
        <v>432</v>
      </c>
      <c r="AN8" s="1646">
        <f>STRCHECKDATE(V9:AL9)</f>
      </c>
      <c r="AO8" s="1634"/>
      <c r="AP8" s="1634" t="str">
        <f>IF(T8="","",T8)</f>
        <v/>
      </c>
      <c r="AQ8" s="1634"/>
      <c r="AR8" s="1634"/>
      <c r="AS8" s="1641">
        <v>0</v>
      </c>
    </row>
    <row customHeight="1" ht="0.75" hidden="1">
      <c r="A9" s="1277"/>
      <c r="B9" s="1277"/>
      <c r="C9" s="1277"/>
      <c r="D9" s="1277"/>
      <c r="E9" s="2300"/>
      <c r="F9" s="2300"/>
      <c r="G9" s="2300"/>
      <c r="H9" s="2300"/>
      <c r="I9" s="2111"/>
      <c r="J9" s="2111"/>
      <c r="K9" s="2137"/>
      <c r="L9" s="1320"/>
      <c r="M9" s="1645"/>
      <c r="N9" s="1641"/>
      <c r="O9" s="1641"/>
      <c r="P9" s="2267"/>
      <c r="Q9" s="2267"/>
      <c r="R9" s="367"/>
      <c r="S9" s="1977"/>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1634"/>
      <c r="AP9" s="1634" t="str">
        <f>IF(T9="","",T9)</f>
        <v/>
      </c>
      <c r="AQ9" s="1634"/>
      <c r="AR9" s="1634"/>
      <c r="AS9" s="1641">
        <v>0</v>
      </c>
    </row>
    <row customHeight="1" ht="15" hidden="1">
      <c r="A10" s="1277"/>
      <c r="B10" s="1277"/>
      <c r="C10" s="1277"/>
      <c r="D10" s="1277"/>
      <c r="E10" s="2300"/>
      <c r="F10" s="2300"/>
      <c r="G10" s="2300"/>
      <c r="H10" s="2300"/>
      <c r="I10" s="2111"/>
      <c r="J10" s="2137"/>
      <c r="K10" s="1277"/>
      <c r="L10" s="1320"/>
      <c r="M10" s="1645"/>
      <c r="N10" s="1641"/>
      <c r="P10" s="2267"/>
      <c r="Q10" s="2267"/>
      <c r="R10" s="366"/>
      <c r="S10" s="1288"/>
      <c r="T10" s="298" t="s">
        <v>433</v>
      </c>
      <c r="U10" s="610"/>
      <c r="V10" s="610"/>
      <c r="W10" s="610"/>
      <c r="X10" s="610"/>
      <c r="Y10" s="610"/>
      <c r="Z10" s="610"/>
      <c r="AA10" s="610"/>
      <c r="AB10" s="610"/>
      <c r="AC10" s="610"/>
      <c r="AD10" s="610"/>
      <c r="AE10" s="610"/>
      <c r="AF10" s="610"/>
      <c r="AG10" s="610"/>
      <c r="AH10" s="610"/>
      <c r="AI10" s="610"/>
      <c r="AJ10" s="610"/>
      <c r="AK10" s="610"/>
      <c r="AL10" s="334"/>
      <c r="AM10" s="2265"/>
      <c r="AO10" s="1634"/>
      <c r="AP10" s="1634" t="str">
        <f>IF(T10="","",T10)</f>
        <v>Добавить вид теплоносителя (параметры теплоносителя)</v>
      </c>
      <c r="AQ10" s="1634"/>
      <c r="AR10" s="1634"/>
      <c r="AS10" s="1641">
        <v>0</v>
      </c>
    </row>
    <row customHeight="1" ht="15" hidden="1">
      <c r="A11" s="1277"/>
      <c r="B11" s="1277"/>
      <c r="C11" s="1277"/>
      <c r="D11" s="1277"/>
      <c r="E11" s="2300"/>
      <c r="F11" s="2300"/>
      <c r="G11" s="2300"/>
      <c r="H11" s="2300"/>
      <c r="I11" s="2137"/>
      <c r="J11" s="1277"/>
      <c r="K11" s="1277"/>
      <c r="L11" s="1320"/>
      <c r="M11" s="1645"/>
      <c r="P11" s="2267"/>
      <c r="Q11" s="1964"/>
      <c r="R11" s="366"/>
      <c r="S11" s="1288"/>
      <c r="T11" s="297" t="s">
        <v>434</v>
      </c>
      <c r="U11" s="610"/>
      <c r="V11" s="610"/>
      <c r="W11" s="610"/>
      <c r="X11" s="610"/>
      <c r="Y11" s="610"/>
      <c r="Z11" s="610"/>
      <c r="AA11" s="610"/>
      <c r="AB11" s="610"/>
      <c r="AC11" s="376"/>
      <c r="AD11" s="610"/>
      <c r="AE11" s="610"/>
      <c r="AF11" s="610"/>
      <c r="AG11" s="610"/>
      <c r="AH11" s="610"/>
      <c r="AI11" s="610"/>
      <c r="AJ11" s="610"/>
      <c r="AK11" s="376"/>
      <c r="AL11" s="610"/>
      <c r="AM11" s="313"/>
      <c r="AO11" s="1634"/>
      <c r="AP11" s="1634" t="str">
        <f>IF(T11="","",T11)</f>
        <v>Добавить группу потребителей</v>
      </c>
      <c r="AQ11" s="1634"/>
      <c r="AR11" s="1634"/>
      <c r="AS11" s="1641">
        <v>0</v>
      </c>
    </row>
    <row customHeight="1" ht="14.25" hidden="1">
      <c r="A12" s="1277"/>
      <c r="B12" s="1277"/>
      <c r="C12" s="1277"/>
      <c r="D12" s="1277"/>
      <c r="E12" s="2300"/>
      <c r="F12" s="2300"/>
      <c r="G12" s="2300"/>
      <c r="H12" s="2299"/>
      <c r="I12" s="1277"/>
      <c r="J12" s="1277"/>
      <c r="K12" s="1277"/>
      <c r="L12" s="1320"/>
      <c r="M12" s="1620"/>
      <c r="N12" s="1620"/>
      <c r="O12" s="1645"/>
      <c r="P12" s="370"/>
      <c r="Q12" s="385"/>
      <c r="R12" s="365"/>
      <c r="S12" s="1288"/>
      <c r="T12" s="375" t="s">
        <v>435</v>
      </c>
      <c r="U12" s="610"/>
      <c r="V12" s="610"/>
      <c r="W12" s="610"/>
      <c r="X12" s="610"/>
      <c r="Y12" s="610"/>
      <c r="Z12" s="610"/>
      <c r="AA12" s="610"/>
      <c r="AB12" s="610"/>
      <c r="AC12" s="376"/>
      <c r="AD12" s="610"/>
      <c r="AE12" s="610"/>
      <c r="AF12" s="610"/>
      <c r="AG12" s="610"/>
      <c r="AH12" s="610"/>
      <c r="AI12" s="610"/>
      <c r="AJ12" s="610"/>
      <c r="AK12" s="376"/>
      <c r="AL12" s="610"/>
      <c r="AM12" s="313"/>
      <c r="AO12" s="1634"/>
      <c r="AP12" s="1634" t="str">
        <f>IF(T12="","",T12)</f>
        <v>Добавить схему подключения</v>
      </c>
      <c r="AQ12" s="1634"/>
      <c r="AR12" s="1634"/>
      <c r="AS12" s="1641">
        <v>0</v>
      </c>
    </row>
    <row s="1652" customFormat="1" customHeight="1" ht="0.75" hidden="1">
      <c r="A13" s="1984"/>
      <c r="B13" s="1984"/>
      <c r="C13" s="1984"/>
      <c r="D13" s="1984"/>
      <c r="E13" s="2300"/>
      <c r="F13" s="2300"/>
      <c r="G13" s="2299"/>
      <c r="H13" s="1984"/>
      <c r="I13" s="1984"/>
      <c r="J13" s="1984"/>
      <c r="K13" s="1984"/>
      <c r="L13" s="1390"/>
      <c r="M13" s="1620"/>
      <c r="N13" s="1620"/>
      <c r="O13" s="1645"/>
      <c r="P13" s="1326"/>
      <c r="Q13" s="1327"/>
      <c r="R13" s="1326"/>
      <c r="S13" s="1328"/>
      <c r="T13" s="1329" t="s">
        <v>436</v>
      </c>
      <c r="U13" s="1330"/>
      <c r="V13" s="1330"/>
      <c r="W13" s="1330"/>
      <c r="X13" s="1330"/>
      <c r="Y13" s="1330"/>
      <c r="Z13" s="1330"/>
      <c r="AA13" s="1330"/>
      <c r="AB13" s="1330"/>
      <c r="AC13" s="1330"/>
      <c r="AD13" s="1330"/>
      <c r="AE13" s="1330"/>
      <c r="AF13" s="1330"/>
      <c r="AG13" s="1330"/>
      <c r="AH13" s="1330"/>
      <c r="AI13" s="1330"/>
      <c r="AJ13" s="1330"/>
      <c r="AK13" s="1330"/>
      <c r="AL13" s="1330"/>
      <c r="AM13" s="1330"/>
      <c r="AO13" s="1261"/>
      <c r="AP13" s="1261" t="str">
        <f>IF(T13="","",T13)</f>
        <v>Добавить источник для дифференциации</v>
      </c>
      <c r="AQ13" s="1261"/>
      <c r="AR13" s="1261"/>
      <c r="AS13" s="1652">
        <v>0</v>
      </c>
    </row>
    <row s="1652" customFormat="1" customHeight="1" ht="0.75" hidden="1">
      <c r="A14" s="1984"/>
      <c r="B14" s="1984"/>
      <c r="C14" s="1984"/>
      <c r="D14" s="1984"/>
      <c r="E14" s="2300"/>
      <c r="F14" s="2299"/>
      <c r="G14" s="1984"/>
      <c r="H14" s="1984"/>
      <c r="I14" s="1984"/>
      <c r="J14" s="1984"/>
      <c r="K14" s="1984"/>
      <c r="L14" s="1390"/>
      <c r="M14" s="1985"/>
      <c r="N14" s="1985"/>
      <c r="O14" s="1645"/>
      <c r="P14" s="1326"/>
      <c r="Q14" s="1327"/>
      <c r="R14" s="1326"/>
      <c r="S14" s="1332"/>
      <c r="T14" s="1333" t="s">
        <v>437</v>
      </c>
      <c r="U14" s="1334"/>
      <c r="V14" s="1334"/>
      <c r="W14" s="1334"/>
      <c r="X14" s="1334"/>
      <c r="Y14" s="1334"/>
      <c r="Z14" s="1334"/>
      <c r="AA14" s="1334"/>
      <c r="AB14" s="1334"/>
      <c r="AC14" s="1334"/>
      <c r="AD14" s="1334"/>
      <c r="AE14" s="1334"/>
      <c r="AF14" s="1334"/>
      <c r="AG14" s="1334"/>
      <c r="AH14" s="1334"/>
      <c r="AI14" s="1334"/>
      <c r="AJ14" s="1334"/>
      <c r="AK14" s="1334"/>
      <c r="AL14" s="1334"/>
      <c r="AM14" s="1334"/>
      <c r="AO14" s="1261"/>
      <c r="AP14" s="1261" t="str">
        <f>IF(T14="","",T14)</f>
        <v>Добавить централизованную систему для дифференциации</v>
      </c>
      <c r="AQ14" s="1261"/>
      <c r="AR14" s="1261"/>
      <c r="AS14" s="1652">
        <v>0</v>
      </c>
    </row>
    <row s="1652" customFormat="1" customHeight="1" ht="0.75" hidden="1">
      <c r="A15" s="1984"/>
      <c r="B15" s="1984"/>
      <c r="C15" s="1984"/>
      <c r="D15" s="1984"/>
      <c r="E15" s="2299"/>
      <c r="F15" s="1984"/>
      <c r="G15" s="1984"/>
      <c r="H15" s="1984"/>
      <c r="I15" s="1984"/>
      <c r="J15" s="1984"/>
      <c r="K15" s="1984"/>
      <c r="L15" s="1390"/>
      <c r="M15" s="1985"/>
      <c r="N15" s="1985"/>
      <c r="O15" s="1645"/>
      <c r="P15" s="1326"/>
      <c r="Q15" s="1327"/>
      <c r="R15" s="1326"/>
      <c r="S15" s="1332"/>
      <c r="T15" s="1335" t="s">
        <v>438</v>
      </c>
      <c r="U15" s="1334"/>
      <c r="V15" s="1334"/>
      <c r="W15" s="1334"/>
      <c r="X15" s="1334"/>
      <c r="Y15" s="1334"/>
      <c r="Z15" s="1334"/>
      <c r="AA15" s="1334"/>
      <c r="AB15" s="1334"/>
      <c r="AC15" s="1334"/>
      <c r="AD15" s="1334"/>
      <c r="AE15" s="1334"/>
      <c r="AF15" s="1334"/>
      <c r="AG15" s="1334"/>
      <c r="AH15" s="1334"/>
      <c r="AI15" s="1334"/>
      <c r="AJ15" s="1334"/>
      <c r="AK15" s="1334"/>
      <c r="AL15" s="1334"/>
      <c r="AM15" s="1334"/>
      <c r="AO15" s="1261"/>
      <c r="AP15" s="1261" t="str">
        <f>IF(T15="","",T15)</f>
        <v>Добавить территорию для дифференциации</v>
      </c>
      <c r="AQ15" s="1261"/>
      <c r="AR15" s="1261"/>
      <c r="AS15" s="1652">
        <v>0</v>
      </c>
    </row>
    <row customHeight="1" ht="14.25" hidden="1">
      <c r="AS16" s="1641">
        <v>0</v>
      </c>
    </row>
    <row customHeight="1" ht="14.25" hidden="1">
      <c r="AD17" s="1370"/>
      <c r="AE17" s="1370"/>
      <c r="AF17" s="1370"/>
      <c r="AG17" s="1371"/>
      <c r="AH17" s="2277"/>
      <c r="AI17" s="2278" t="s">
        <v>66</v>
      </c>
      <c r="AJ17" s="2277"/>
      <c r="AK17" s="2278" t="s">
        <v>66</v>
      </c>
      <c r="AS17" s="1641">
        <v>0</v>
      </c>
    </row>
    <row customHeight="1" ht="14.25" hidden="1">
      <c r="AD18" s="1370"/>
      <c r="AE18" s="1370"/>
      <c r="AF18" s="1370"/>
      <c r="AG18" s="338" t="str">
        <f>AH17&amp;"-"&amp;AJ17</f>
        <v>-</v>
      </c>
      <c r="AH18" s="2278"/>
      <c r="AI18" s="2278"/>
      <c r="AJ18" s="2278"/>
      <c r="AK18" s="2278"/>
      <c r="AS18" s="1641">
        <v>0</v>
      </c>
    </row>
    <row customHeight="1" ht="14.25" hidden="1">
      <c r="AS19" s="1641">
        <v>0</v>
      </c>
    </row>
    <row s="1376" customFormat="1" customHeight="1" ht="14.25" hidden="1">
      <c r="A20" s="1641"/>
      <c r="B20" s="1641"/>
      <c r="C20" s="1641"/>
      <c r="D20" s="1641"/>
      <c r="E20" s="1641"/>
      <c r="F20" s="1641"/>
      <c r="G20" s="1641"/>
      <c r="H20" s="1641"/>
      <c r="I20" s="1641"/>
      <c r="J20" s="1641"/>
      <c r="K20" s="1641"/>
      <c r="L20" s="1949"/>
      <c r="M20" s="1975"/>
      <c r="N20" s="1975"/>
      <c r="O20" s="1355" t="s">
        <v>439</v>
      </c>
      <c r="P20" s="1372"/>
      <c r="Q20" s="1381"/>
      <c r="R20" s="1381"/>
      <c r="S20" s="739"/>
      <c r="Z20" s="1377"/>
      <c r="AB20" s="1377"/>
      <c r="AH20" s="1377"/>
      <c r="AJ20" s="1377"/>
      <c r="AN20" s="1646"/>
      <c r="AO20" s="1646"/>
      <c r="AP20" s="1646"/>
      <c r="AQ20" s="1646"/>
      <c r="AR20" s="1646"/>
      <c r="AS20" s="1376">
        <v>0</v>
      </c>
    </row>
    <row s="1376" customFormat="1" customHeight="1" ht="14.25" hidden="1">
      <c r="A21" s="1641"/>
      <c r="B21" s="1641"/>
      <c r="C21" s="1641"/>
      <c r="D21" s="1641"/>
      <c r="E21" s="1641"/>
      <c r="F21" s="1641"/>
      <c r="G21" s="1641"/>
      <c r="H21" s="1641"/>
      <c r="I21" s="1641"/>
      <c r="J21" s="1641"/>
      <c r="K21" s="1641"/>
      <c r="L21" s="1949"/>
      <c r="M21" s="1975"/>
      <c r="N21" s="1975"/>
      <c r="O21" s="1975"/>
      <c r="P21" s="1372"/>
      <c r="Q21" s="1381"/>
      <c r="R21" s="1381"/>
      <c r="S21" s="739"/>
      <c r="AN21" s="1646"/>
      <c r="AO21" s="1646"/>
      <c r="AP21" s="1646"/>
      <c r="AQ21" s="1646"/>
      <c r="AR21" s="1646"/>
      <c r="AS21" s="1376">
        <v>0</v>
      </c>
    </row>
    <row s="1376" customFormat="1" customHeight="1" ht="14.25" hidden="1">
      <c r="A22" s="1641"/>
      <c r="B22" s="1641"/>
      <c r="C22" s="1641"/>
      <c r="D22" s="1641"/>
      <c r="E22" s="1641"/>
      <c r="F22" s="1641"/>
      <c r="G22" s="1641"/>
      <c r="H22" s="1641"/>
      <c r="I22" s="1641"/>
      <c r="J22" s="1641"/>
      <c r="K22" s="1641"/>
      <c r="L22" s="1949"/>
      <c r="M22" s="1975"/>
      <c r="N22" s="1975"/>
      <c r="O22" s="1320" t="s">
        <v>440</v>
      </c>
      <c r="P22" s="1372"/>
      <c r="Q22" s="1381"/>
      <c r="R22" s="1381"/>
      <c r="S22" s="739"/>
      <c r="T22" s="1376" t="s">
        <v>441</v>
      </c>
      <c r="AA22" s="605" t="s">
        <v>442</v>
      </c>
      <c r="AC22" s="605" t="s">
        <v>443</v>
      </c>
      <c r="AD22" s="1376" t="s">
        <v>441</v>
      </c>
      <c r="AI22" s="605" t="s">
        <v>444</v>
      </c>
      <c r="AK22" s="605" t="s">
        <v>443</v>
      </c>
      <c r="AN22" s="1646"/>
      <c r="AO22" s="1646"/>
      <c r="AP22" s="1646"/>
      <c r="AQ22" s="1646"/>
      <c r="AR22" s="1646"/>
      <c r="AS22" s="1376">
        <v>0</v>
      </c>
    </row>
    <row customHeight="1" ht="14.25" hidden="1">
      <c r="O23" s="1320"/>
      <c r="AS23" s="1641">
        <v>0</v>
      </c>
    </row>
    <row customHeight="1" ht="14.25" hidden="1">
      <c r="O24" s="1320"/>
      <c r="AS24" s="1641">
        <v>0</v>
      </c>
    </row>
    <row customHeight="1" ht="14.699999999999998">
      <c r="Q25" s="386"/>
      <c r="R25" s="386"/>
      <c r="S25" s="1285"/>
      <c r="T25" s="467"/>
      <c r="U25" s="467"/>
      <c r="V25" s="1645"/>
      <c r="W25" s="1645"/>
      <c r="X25" s="1645"/>
      <c r="Y25" s="1645"/>
      <c r="Z25" s="1645"/>
      <c r="AA25" s="1645"/>
      <c r="AB25" s="1645"/>
      <c r="AC25" s="1645"/>
      <c r="AD25" s="1645"/>
      <c r="AE25" s="1645"/>
      <c r="AF25" s="1645"/>
      <c r="AG25" s="1645"/>
      <c r="AH25" s="1645"/>
      <c r="AI25" s="1645"/>
      <c r="AJ25" s="1645"/>
      <c r="AK25" s="1645"/>
      <c r="AS25" s="1641">
        <v>14</v>
      </c>
    </row>
    <row customHeight="1" ht="14.699999999999998">
      <c r="Q26" s="386"/>
      <c r="R26" s="386"/>
      <c r="S26" s="225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8"/>
      <c r="U26" s="2258"/>
      <c r="V26" s="2258"/>
      <c r="W26" s="2258"/>
      <c r="X26" s="2258"/>
      <c r="Y26" s="2258"/>
      <c r="Z26" s="2258"/>
      <c r="AA26" s="2258"/>
      <c r="AB26" s="2258"/>
      <c r="AC26" s="2258"/>
      <c r="AD26" s="2258"/>
      <c r="AE26" s="2258"/>
      <c r="AF26" s="2258"/>
      <c r="AG26" s="2258"/>
      <c r="AH26" s="2258"/>
      <c r="AI26" s="2258"/>
      <c r="AJ26" s="2258"/>
      <c r="AK26" s="1253"/>
      <c r="AS26" s="1641">
        <v>14</v>
      </c>
    </row>
    <row customHeight="1" ht="14.699999999999998">
      <c r="Q27" s="386"/>
      <c r="R27" s="386"/>
      <c r="S27" s="2259" t="str">
        <f>IF(org=0,"Не определено",org)</f>
        <v>АО «ДГК» СП «Нерюнгринская ГРЭС»</v>
      </c>
      <c r="T27" s="2259"/>
      <c r="U27" s="2259"/>
      <c r="V27" s="2259"/>
      <c r="W27" s="2259"/>
      <c r="X27" s="2259"/>
      <c r="Y27" s="2259"/>
      <c r="Z27" s="2259"/>
      <c r="AA27" s="2259"/>
      <c r="AB27" s="2259"/>
      <c r="AC27" s="2259"/>
      <c r="AD27" s="2259"/>
      <c r="AE27" s="2259"/>
      <c r="AF27" s="2259"/>
      <c r="AG27" s="2259"/>
      <c r="AH27" s="2259"/>
      <c r="AI27" s="2259"/>
      <c r="AJ27" s="2259"/>
      <c r="AK27" s="1253"/>
      <c r="AS27" s="1641">
        <v>14</v>
      </c>
    </row>
    <row customHeight="1" ht="14.25" hidden="1">
      <c r="Q28" s="386"/>
      <c r="R28" s="386"/>
      <c r="S28" s="1285"/>
      <c r="T28" s="467"/>
      <c r="U28" s="467"/>
      <c r="V28" s="332"/>
      <c r="W28" s="332"/>
      <c r="X28" s="332"/>
      <c r="Y28" s="332"/>
      <c r="Z28" s="332"/>
      <c r="AA28" s="332"/>
      <c r="AB28" s="332"/>
      <c r="AC28" s="332"/>
      <c r="AD28" s="332"/>
      <c r="AE28" s="332"/>
      <c r="AF28" s="332"/>
      <c r="AG28" s="332"/>
      <c r="AH28" s="332"/>
      <c r="AI28" s="332"/>
      <c r="AJ28" s="332"/>
      <c r="AK28" s="332"/>
      <c r="AL28" s="1645"/>
      <c r="AS28" s="1641">
        <v>0</v>
      </c>
    </row>
    <row s="1863" customFormat="1" customHeight="1" ht="25.5" hidden="1">
      <c r="A29" s="1258"/>
      <c r="B29" s="1258"/>
      <c r="C29" s="1258"/>
      <c r="D29" s="1258"/>
      <c r="E29" s="1258"/>
      <c r="F29" s="1258"/>
      <c r="G29" s="1258"/>
      <c r="H29" s="1258"/>
      <c r="I29" s="1258"/>
      <c r="J29" s="1258"/>
      <c r="K29" s="1258"/>
      <c r="L29" s="1390"/>
      <c r="M29" s="1258"/>
      <c r="N29" s="1258"/>
      <c r="O29" s="1258"/>
      <c r="S29" s="2260" t="s">
        <v>42</v>
      </c>
      <c r="T29" s="2260"/>
      <c r="U29" s="1382"/>
      <c r="V29" s="2261" t="str">
        <f>IF(TITLE_NAME_OR_PR_CHANGE="",IF(TITLE_NAME_OR_PR="","",TITLE_NAME_OR_PR),TITLE_NAME_OR_PR_CHANGE)</f>
        <v/>
      </c>
      <c r="W29" s="2261"/>
      <c r="X29" s="2261"/>
      <c r="Y29" s="2261"/>
      <c r="Z29" s="2261"/>
      <c r="AA29" s="2261"/>
      <c r="AB29" s="2261"/>
      <c r="AC29" s="1645"/>
      <c r="AD29" s="2261" t="str">
        <f>IF(TITLE_NAME_OR_PR_CHANGE="",IF(TITLE_NAME_OR_PR="","",TITLE_NAME_OR_PR),TITLE_NAME_OR_PR_CHANGE)</f>
        <v/>
      </c>
      <c r="AE29" s="2261"/>
      <c r="AF29" s="2261"/>
      <c r="AG29" s="2261"/>
      <c r="AH29" s="2261"/>
      <c r="AI29" s="2261"/>
      <c r="AJ29" s="2261"/>
      <c r="AK29" s="1645"/>
      <c r="AL29" s="1645"/>
      <c r="AM29" s="290"/>
      <c r="AN29" s="378"/>
      <c r="AO29" s="378"/>
      <c r="AP29" s="378"/>
      <c r="AQ29" s="378"/>
      <c r="AR29" s="378"/>
      <c r="AS29" s="428">
        <v>0</v>
      </c>
    </row>
    <row s="1863" customFormat="1" customHeight="1" ht="18.75" hidden="1">
      <c r="A30" s="1258"/>
      <c r="B30" s="1258"/>
      <c r="C30" s="1258"/>
      <c r="D30" s="1258"/>
      <c r="E30" s="1258"/>
      <c r="F30" s="1258"/>
      <c r="G30" s="1258"/>
      <c r="H30" s="1258"/>
      <c r="I30" s="1258"/>
      <c r="J30" s="1258"/>
      <c r="K30" s="1258"/>
      <c r="L30" s="1390"/>
      <c r="M30" s="1258"/>
      <c r="N30" s="1258"/>
      <c r="O30" s="1258"/>
      <c r="S30" s="2260" t="s">
        <v>445</v>
      </c>
      <c r="T30" s="2260"/>
      <c r="U30" s="1382"/>
      <c r="V30" s="2274" t="str">
        <f>IF(TITLE_DATE_PR_CHANGE="",IF(TITLE_DATE_PR="","",TITLE_DATE_PR),TITLE_DATE_PR_CHANGE)</f>
        <v/>
      </c>
      <c r="W30" s="2274"/>
      <c r="X30" s="2274"/>
      <c r="Y30" s="2274"/>
      <c r="Z30" s="2274"/>
      <c r="AA30" s="2274"/>
      <c r="AB30" s="2274"/>
      <c r="AC30" s="1645"/>
      <c r="AD30" s="2274" t="str">
        <f>IF(TITLE_DATE_PR_CHANGE="",IF(TITLE_DATE_PR="","",TITLE_DATE_PR),TITLE_DATE_PR_CHANGE)</f>
        <v/>
      </c>
      <c r="AE30" s="2274"/>
      <c r="AF30" s="2274"/>
      <c r="AG30" s="2274"/>
      <c r="AH30" s="2274"/>
      <c r="AI30" s="2274"/>
      <c r="AJ30" s="2274"/>
      <c r="AK30" s="1645"/>
      <c r="AL30" s="1645"/>
      <c r="AM30" s="290"/>
      <c r="AN30" s="378"/>
      <c r="AO30" s="378"/>
      <c r="AP30" s="378"/>
      <c r="AQ30" s="378"/>
      <c r="AR30" s="378"/>
      <c r="AS30" s="428">
        <v>0</v>
      </c>
    </row>
    <row s="1863" customFormat="1" customHeight="1" ht="18.75" hidden="1">
      <c r="A31" s="1258"/>
      <c r="B31" s="1258"/>
      <c r="C31" s="1258"/>
      <c r="D31" s="1258"/>
      <c r="E31" s="1258"/>
      <c r="F31" s="1258"/>
      <c r="G31" s="1258"/>
      <c r="H31" s="1258"/>
      <c r="I31" s="1258"/>
      <c r="J31" s="1258"/>
      <c r="K31" s="1258"/>
      <c r="L31" s="1390"/>
      <c r="M31" s="1258"/>
      <c r="N31" s="1258"/>
      <c r="O31" s="1258"/>
      <c r="S31" s="2260" t="s">
        <v>446</v>
      </c>
      <c r="T31" s="2260"/>
      <c r="U31" s="1382"/>
      <c r="V31" s="2261" t="str">
        <f>IF(TITLE_NUMBER_PR_CHANGE="",IF(TITLE_NUMBER_PR="","",TITLE_NUMBER_PR),TITLE_NUMBER_PR_CHANGE)</f>
        <v/>
      </c>
      <c r="W31" s="2261"/>
      <c r="X31" s="2261"/>
      <c r="Y31" s="2261"/>
      <c r="Z31" s="2261"/>
      <c r="AA31" s="2261"/>
      <c r="AB31" s="2261"/>
      <c r="AC31" s="1645"/>
      <c r="AD31" s="2261" t="str">
        <f>IF(TITLE_NUMBER_PR_CHANGE="",IF(TITLE_NUMBER_PR="","",TITLE_NUMBER_PR),TITLE_NUMBER_PR_CHANGE)</f>
        <v/>
      </c>
      <c r="AE31" s="2261"/>
      <c r="AF31" s="2261"/>
      <c r="AG31" s="2261"/>
      <c r="AH31" s="2261"/>
      <c r="AI31" s="2261"/>
      <c r="AJ31" s="2261"/>
      <c r="AK31" s="1645"/>
      <c r="AL31" s="1645"/>
      <c r="AM31" s="290"/>
      <c r="AN31" s="378"/>
      <c r="AO31" s="378"/>
      <c r="AP31" s="378"/>
      <c r="AQ31" s="378"/>
      <c r="AR31" s="378"/>
      <c r="AS31" s="428">
        <v>0</v>
      </c>
    </row>
    <row s="1863" customFormat="1" customHeight="1" ht="18.75" hidden="1">
      <c r="A32" s="1258"/>
      <c r="B32" s="1258"/>
      <c r="C32" s="1258"/>
      <c r="D32" s="1258"/>
      <c r="E32" s="1258"/>
      <c r="F32" s="1258"/>
      <c r="G32" s="1258"/>
      <c r="H32" s="1258"/>
      <c r="I32" s="1258"/>
      <c r="J32" s="1258"/>
      <c r="K32" s="1258"/>
      <c r="L32" s="1390"/>
      <c r="M32" s="1258"/>
      <c r="N32" s="1258"/>
      <c r="O32" s="1258"/>
      <c r="S32" s="2260" t="s">
        <v>43</v>
      </c>
      <c r="T32" s="2260"/>
      <c r="U32" s="1382"/>
      <c r="V32" s="2261" t="str">
        <f>IF(TITLE_IST_PUB_CHANGE="",IF(TITLE_IST_PUB="","",TITLE_IST_PUB),TITLE_IST_PUB_CHANGE)</f>
        <v/>
      </c>
      <c r="W32" s="2261"/>
      <c r="X32" s="2261"/>
      <c r="Y32" s="2261"/>
      <c r="Z32" s="2261"/>
      <c r="AA32" s="2261"/>
      <c r="AB32" s="2261"/>
      <c r="AC32" s="1645"/>
      <c r="AD32" s="2261" t="str">
        <f>IF(TITLE_IST_PUB_CHANGE="",IF(TITLE_IST_PUB="","",TITLE_IST_PUB),TITLE_IST_PUB_CHANGE)</f>
        <v/>
      </c>
      <c r="AE32" s="2261"/>
      <c r="AF32" s="2261"/>
      <c r="AG32" s="2261"/>
      <c r="AH32" s="2261"/>
      <c r="AI32" s="2261"/>
      <c r="AJ32" s="2261"/>
      <c r="AK32" s="1645"/>
      <c r="AL32" s="1645"/>
      <c r="AM32" s="290"/>
      <c r="AN32" s="378"/>
      <c r="AO32" s="378"/>
      <c r="AP32" s="378"/>
      <c r="AQ32" s="378"/>
      <c r="AR32" s="378"/>
      <c r="AS32" s="428">
        <v>0</v>
      </c>
    </row>
    <row customHeight="1" ht="14.25" hidden="1">
      <c r="Q33" s="386"/>
      <c r="R33" s="386"/>
      <c r="S33" s="1285"/>
      <c r="T33" s="467"/>
      <c r="U33" s="467"/>
      <c r="V33" s="332"/>
      <c r="W33" s="332"/>
      <c r="X33" s="332"/>
      <c r="Y33" s="332"/>
      <c r="Z33" s="332"/>
      <c r="AA33" s="332"/>
      <c r="AB33" s="332"/>
      <c r="AC33" s="332"/>
      <c r="AD33" s="332"/>
      <c r="AE33" s="332"/>
      <c r="AF33" s="332"/>
      <c r="AG33" s="332"/>
      <c r="AH33" s="332"/>
      <c r="AI33" s="332"/>
      <c r="AJ33" s="332"/>
      <c r="AK33" s="332"/>
      <c r="AL33" s="1645"/>
      <c r="AS33" s="1641">
        <v>0</v>
      </c>
    </row>
    <row s="1863" customFormat="1" customHeight="1" ht="18.75" hidden="1">
      <c r="A34" s="1258"/>
      <c r="B34" s="1258"/>
      <c r="C34" s="1258"/>
      <c r="D34" s="1258"/>
      <c r="E34" s="1258"/>
      <c r="F34" s="1258"/>
      <c r="G34" s="1258"/>
      <c r="H34" s="1258"/>
      <c r="I34" s="1258"/>
      <c r="J34" s="1258"/>
      <c r="K34" s="1258"/>
      <c r="L34" s="1390"/>
      <c r="M34" s="1258"/>
      <c r="N34" s="1258"/>
      <c r="O34" s="1258"/>
      <c r="S34" s="2260" t="s">
        <v>447</v>
      </c>
      <c r="T34" s="2260"/>
      <c r="U34" s="1382"/>
      <c r="V34" s="2274" t="str">
        <f>IF(TITLE_DATE_PR_CHANGE="",IF(TITLE_DATE_PR="","",TITLE_DATE_PR),TITLE_DATE_PR_CHANGE)</f>
        <v/>
      </c>
      <c r="W34" s="2274"/>
      <c r="X34" s="2274"/>
      <c r="Y34" s="2274"/>
      <c r="Z34" s="2274"/>
      <c r="AA34" s="2274"/>
      <c r="AB34" s="2274"/>
      <c r="AC34" s="1645"/>
      <c r="AD34" s="2274" t="str">
        <f>IF(TITLE_DATE_PR_CHANGE="",IF(TITLE_DATE_PR="","",TITLE_DATE_PR),TITLE_DATE_PR_CHANGE)</f>
        <v/>
      </c>
      <c r="AE34" s="2274"/>
      <c r="AF34" s="2274"/>
      <c r="AG34" s="2274"/>
      <c r="AH34" s="2274"/>
      <c r="AI34" s="2274"/>
      <c r="AJ34" s="2274"/>
      <c r="AK34" s="1645"/>
      <c r="AL34" s="1645"/>
      <c r="AM34" s="290"/>
      <c r="AN34" s="378"/>
      <c r="AO34" s="378"/>
      <c r="AP34" s="378"/>
      <c r="AQ34" s="378"/>
      <c r="AR34" s="378"/>
      <c r="AS34" s="428">
        <v>0</v>
      </c>
    </row>
    <row s="1863" customFormat="1" customHeight="1" ht="18.75" hidden="1">
      <c r="A35" s="1258"/>
      <c r="B35" s="1258"/>
      <c r="C35" s="1258"/>
      <c r="D35" s="1258"/>
      <c r="E35" s="1258"/>
      <c r="F35" s="1258"/>
      <c r="G35" s="1258"/>
      <c r="H35" s="1258"/>
      <c r="I35" s="1258"/>
      <c r="J35" s="1258"/>
      <c r="K35" s="1258"/>
      <c r="L35" s="1390"/>
      <c r="M35" s="1258"/>
      <c r="N35" s="1258"/>
      <c r="O35" s="1258"/>
      <c r="S35" s="2260" t="s">
        <v>448</v>
      </c>
      <c r="T35" s="2260"/>
      <c r="U35" s="1382"/>
      <c r="V35" s="2261" t="str">
        <f>IF(TITLE_NUMBER_PR_CHANGE="",IF(TITLE_NUMBER_PR="","",TITLE_NUMBER_PR),TITLE_NUMBER_PR_CHANGE)</f>
        <v/>
      </c>
      <c r="W35" s="2261"/>
      <c r="X35" s="2261"/>
      <c r="Y35" s="2261"/>
      <c r="Z35" s="2261"/>
      <c r="AA35" s="2261"/>
      <c r="AB35" s="2261"/>
      <c r="AC35" s="1645"/>
      <c r="AD35" s="2261" t="str">
        <f>IF(TITLE_NUMBER_PR_CHANGE="",IF(TITLE_NUMBER_PR="","",TITLE_NUMBER_PR),TITLE_NUMBER_PR_CHANGE)</f>
        <v/>
      </c>
      <c r="AE35" s="2261"/>
      <c r="AF35" s="2261"/>
      <c r="AG35" s="2261"/>
      <c r="AH35" s="2261"/>
      <c r="AI35" s="2261"/>
      <c r="AJ35" s="2261"/>
      <c r="AK35" s="1645"/>
      <c r="AL35" s="1645"/>
      <c r="AM35" s="290"/>
      <c r="AN35" s="378"/>
      <c r="AO35" s="378"/>
      <c r="AP35" s="378"/>
      <c r="AQ35" s="378"/>
      <c r="AR35" s="378"/>
      <c r="AS35" s="428">
        <v>0</v>
      </c>
    </row>
    <row s="1863" customFormat="1" customHeight="1" ht="0">
      <c r="A36" s="1258"/>
      <c r="B36" s="1258"/>
      <c r="C36" s="1258"/>
      <c r="D36" s="1258"/>
      <c r="E36" s="1258"/>
      <c r="F36" s="1258"/>
      <c r="G36" s="1258"/>
      <c r="H36" s="1258"/>
      <c r="I36" s="1258"/>
      <c r="J36" s="1258"/>
      <c r="K36" s="1258"/>
      <c r="L36" s="1390"/>
      <c r="M36" s="1258"/>
      <c r="N36" s="1258"/>
      <c r="O36" s="1258"/>
      <c r="S36" s="1645"/>
      <c r="T36" s="1645"/>
      <c r="U36" s="1980"/>
      <c r="V36" s="1645"/>
      <c r="W36" s="1645"/>
      <c r="X36" s="1645"/>
      <c r="Y36" s="1645"/>
      <c r="Z36" s="1645"/>
      <c r="AA36" s="1645"/>
      <c r="AB36" s="1645"/>
      <c r="AC36" s="1652" t="s">
        <v>449</v>
      </c>
      <c r="AD36" s="1645"/>
      <c r="AE36" s="1645"/>
      <c r="AF36" s="1645"/>
      <c r="AG36" s="1645"/>
      <c r="AH36" s="1645"/>
      <c r="AI36" s="1645"/>
      <c r="AJ36" s="1645"/>
      <c r="AK36" s="1652" t="s">
        <v>449</v>
      </c>
      <c r="AN36" s="378"/>
      <c r="AO36" s="378"/>
      <c r="AP36" s="378"/>
      <c r="AQ36" s="378"/>
      <c r="AR36" s="378"/>
      <c r="AS36" s="428">
        <v>0</v>
      </c>
    </row>
    <row customHeight="1" ht="14.699999999999998">
      <c r="Q37" s="386"/>
      <c r="R37" s="386"/>
      <c r="S37" s="1285"/>
      <c r="T37" s="467"/>
      <c r="U37" s="1254"/>
      <c r="V37" s="2262"/>
      <c r="W37" s="2262"/>
      <c r="X37" s="2262"/>
      <c r="Y37" s="2262"/>
      <c r="Z37" s="2262"/>
      <c r="AA37" s="2262"/>
      <c r="AB37" s="2262"/>
      <c r="AC37" s="2262"/>
      <c r="AD37" s="2262"/>
      <c r="AE37" s="2262"/>
      <c r="AF37" s="2262"/>
      <c r="AG37" s="2262"/>
      <c r="AH37" s="2262"/>
      <c r="AI37" s="2262"/>
      <c r="AJ37" s="2262"/>
      <c r="AK37" s="2262"/>
      <c r="AS37" s="1641">
        <v>14</v>
      </c>
    </row>
    <row customHeight="1" ht="14.699999999999998">
      <c r="Q38" s="386"/>
      <c r="R38" s="386"/>
      <c r="S38" s="2137" t="s">
        <v>322</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323</v>
      </c>
      <c r="AS38" s="1641">
        <v>14</v>
      </c>
    </row>
    <row customHeight="1" ht="14.699999999999998">
      <c r="Q39" s="386"/>
      <c r="R39" s="386"/>
      <c r="S39" s="2283" t="s">
        <v>88</v>
      </c>
      <c r="T39" s="2219" t="s">
        <v>450</v>
      </c>
      <c r="U39" s="347"/>
      <c r="V39" s="2284" t="s">
        <v>451</v>
      </c>
      <c r="W39" s="2285"/>
      <c r="X39" s="2285"/>
      <c r="Y39" s="2285"/>
      <c r="Z39" s="2285"/>
      <c r="AA39" s="2285"/>
      <c r="AB39" s="2286"/>
      <c r="AC39" s="2287" t="s">
        <v>452</v>
      </c>
      <c r="AD39" s="2284" t="s">
        <v>451</v>
      </c>
      <c r="AE39" s="2285"/>
      <c r="AF39" s="2285"/>
      <c r="AG39" s="2285"/>
      <c r="AH39" s="2285"/>
      <c r="AI39" s="2285"/>
      <c r="AJ39" s="2286"/>
      <c r="AK39" s="2287" t="s">
        <v>453</v>
      </c>
      <c r="AL39" s="2290" t="s">
        <v>454</v>
      </c>
      <c r="AM39" s="2137"/>
      <c r="AS39" s="1641">
        <v>14</v>
      </c>
    </row>
    <row customHeight="1" ht="35.699999999999996">
      <c r="Q40" s="386"/>
      <c r="R40" s="386"/>
      <c r="S40" s="2283"/>
      <c r="T40" s="2219"/>
      <c r="U40" s="1041"/>
      <c r="V40" s="2270" t="s">
        <v>455</v>
      </c>
      <c r="W40" s="2293" t="s">
        <v>456</v>
      </c>
      <c r="X40" s="2272" t="s">
        <v>457</v>
      </c>
      <c r="Y40" s="2273"/>
      <c r="Z40" s="2272" t="s">
        <v>471</v>
      </c>
      <c r="AA40" s="2279"/>
      <c r="AB40" s="2273"/>
      <c r="AC40" s="2288"/>
      <c r="AD40" s="2270" t="s">
        <v>455</v>
      </c>
      <c r="AE40" s="2293" t="s">
        <v>456</v>
      </c>
      <c r="AF40" s="2272" t="s">
        <v>457</v>
      </c>
      <c r="AG40" s="2273"/>
      <c r="AH40" s="2272" t="s">
        <v>458</v>
      </c>
      <c r="AI40" s="2279"/>
      <c r="AJ40" s="2273"/>
      <c r="AK40" s="2288"/>
      <c r="AL40" s="2291"/>
      <c r="AM40" s="2137"/>
      <c r="AS40" s="1641">
        <v>34</v>
      </c>
    </row>
    <row customHeight="1" ht="35.699999999999996">
      <c r="A41" s="1276"/>
      <c r="B41" s="1276" t="s">
        <v>159</v>
      </c>
      <c r="C41" s="1276" t="s">
        <v>160</v>
      </c>
      <c r="D41" s="1276" t="s">
        <v>161</v>
      </c>
      <c r="E41" s="1320" t="s">
        <v>459</v>
      </c>
      <c r="F41" s="1320" t="s">
        <v>460</v>
      </c>
      <c r="G41" s="1320" t="s">
        <v>461</v>
      </c>
      <c r="H41" s="1320" t="s">
        <v>462</v>
      </c>
      <c r="I41" s="1320" t="s">
        <v>463</v>
      </c>
      <c r="J41" s="1320" t="s">
        <v>464</v>
      </c>
      <c r="K41" s="1320" t="s">
        <v>465</v>
      </c>
      <c r="L41" s="1320" t="s">
        <v>440</v>
      </c>
      <c r="Q41" s="386"/>
      <c r="R41" s="386"/>
      <c r="S41" s="2283"/>
      <c r="T41" s="2219"/>
      <c r="U41" s="312"/>
      <c r="V41" s="2271"/>
      <c r="W41" s="2294"/>
      <c r="X41" s="1948" t="s">
        <v>466</v>
      </c>
      <c r="Y41" s="1948" t="s">
        <v>467</v>
      </c>
      <c r="Z41" s="1948" t="s">
        <v>468</v>
      </c>
      <c r="AA41" s="2280" t="s">
        <v>469</v>
      </c>
      <c r="AB41" s="2281"/>
      <c r="AC41" s="2289"/>
      <c r="AD41" s="2271"/>
      <c r="AE41" s="2294"/>
      <c r="AF41" s="1948" t="s">
        <v>466</v>
      </c>
      <c r="AG41" s="1948" t="s">
        <v>467</v>
      </c>
      <c r="AH41" s="1948" t="s">
        <v>468</v>
      </c>
      <c r="AI41" s="2280" t="s">
        <v>469</v>
      </c>
      <c r="AJ41" s="2281"/>
      <c r="AK41" s="2289"/>
      <c r="AL41" s="2292"/>
      <c r="AM41" s="2137"/>
      <c r="AS41" s="1641">
        <v>34</v>
      </c>
    </row>
    <row s="1651" customFormat="1" customHeight="1" ht="11.25" hidden="1">
      <c r="A42" s="1276"/>
      <c r="B42" s="1276"/>
      <c r="C42" s="1276"/>
      <c r="D42" s="1276"/>
      <c r="E42" s="1276"/>
      <c r="F42" s="1276"/>
      <c r="G42" s="1276"/>
      <c r="H42" s="1276"/>
      <c r="I42" s="1276"/>
      <c r="J42" s="1276"/>
      <c r="K42" s="1276"/>
      <c r="L42" s="1320"/>
      <c r="M42" s="1975"/>
      <c r="N42" s="1975"/>
      <c r="O42" s="1975"/>
      <c r="P42" s="1256"/>
      <c r="Q42" s="1257"/>
      <c r="R42" s="1264">
        <v>1</v>
      </c>
      <c r="S42" s="1287" t="s">
        <v>124</v>
      </c>
      <c r="T42" s="1265" t="s">
        <v>104</v>
      </c>
      <c r="U42" s="1255" t="str">
        <f>OFFSET(U42,0,-1)</f>
        <v>2</v>
      </c>
      <c r="V42" s="1966">
        <f>OFFSET(V42,0,-1)+1</f>
        <v>3</v>
      </c>
      <c r="W42" s="1966"/>
      <c r="X42" s="1966">
        <f>OFFSET(X42,0,-1)+1</f>
        <v>1</v>
      </c>
      <c r="Y42" s="1966">
        <f>OFFSET(Y42,0,-1)+1</f>
        <v>2</v>
      </c>
      <c r="Z42" s="1966">
        <f>OFFSET(Z42,0,-1)+1</f>
        <v>3</v>
      </c>
      <c r="AA42" s="2282">
        <f>OFFSET(AA42,0,-1)+1</f>
        <v>4</v>
      </c>
      <c r="AB42" s="2282"/>
      <c r="AC42" s="1966">
        <f>OFFSET(AC42,0,-2)+1</f>
        <v>5</v>
      </c>
      <c r="AD42" s="1966">
        <f>OFFSET(AD42,0,-1)+1</f>
        <v>6</v>
      </c>
      <c r="AE42" s="1966"/>
      <c r="AF42" s="1966">
        <f>OFFSET(AF42,0,-1)+1</f>
        <v>1</v>
      </c>
      <c r="AG42" s="1966">
        <f>OFFSET(AG42,0,-1)+1</f>
        <v>2</v>
      </c>
      <c r="AH42" s="1966">
        <f>OFFSET(AH42,0,-1)+1</f>
        <v>3</v>
      </c>
      <c r="AI42" s="2282">
        <f>OFFSET(AI42,0,-1)+1</f>
        <v>4</v>
      </c>
      <c r="AJ42" s="2282"/>
      <c r="AK42" s="1966">
        <f>OFFSET(AK42,0,-2)+1</f>
        <v>5</v>
      </c>
      <c r="AL42" s="1255">
        <f>OFFSET(AL42,0,-1)</f>
        <v>5</v>
      </c>
      <c r="AM42" s="1966">
        <f>OFFSET(AM42,0,-1)+1</f>
        <v>6</v>
      </c>
      <c r="AN42" s="1646"/>
      <c r="AO42" s="1646"/>
      <c r="AP42" s="1646"/>
      <c r="AQ42" s="1646"/>
      <c r="AR42" s="1646"/>
      <c r="AS42" s="1651">
        <v>0</v>
      </c>
    </row>
    <row customHeight="1" ht="22.049999999999997">
      <c r="A43" s="1277" t="s">
        <v>234</v>
      </c>
      <c r="B43" s="1277"/>
      <c r="C43" s="1277"/>
      <c r="D43" s="1277"/>
      <c r="E43" s="2299">
        <v>1</v>
      </c>
      <c r="F43" s="1277"/>
      <c r="G43" s="1277"/>
      <c r="H43" s="1277"/>
      <c r="I43" s="1277"/>
      <c r="J43" s="1277"/>
      <c r="K43" s="1277"/>
      <c r="L43" s="1320"/>
      <c r="M43" s="1620"/>
      <c r="N43" s="1620"/>
      <c r="O43" s="1620"/>
      <c r="P43" s="1600"/>
      <c r="Q43" s="370"/>
      <c r="R43" s="365"/>
      <c r="S43" s="1968">
        <f>INDEX(PT_DIFFERENTIATION_NUM_NTAR,MATCH(A43,PT_DIFFERENTIATION_NTAR_ID,0))</f>
        <v>0</v>
      </c>
      <c r="T43" s="1535" t="s">
        <v>147</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4"/>
      <c r="AP43" s="1634" t="str">
        <f>IF(T43="","",T43)</f>
        <v>Наименование тарифа</v>
      </c>
      <c r="AQ43" s="1634"/>
      <c r="AR43" s="1634"/>
      <c r="AS43" s="1641">
        <v>21</v>
      </c>
    </row>
    <row customHeight="1" ht="22.049999999999997">
      <c r="A44" s="1277" t="s">
        <v>234</v>
      </c>
      <c r="B44" s="1277" t="s">
        <v>235</v>
      </c>
      <c r="C44" s="1277"/>
      <c r="D44" s="1277"/>
      <c r="E44" s="2300"/>
      <c r="F44" s="2299">
        <v>1</v>
      </c>
      <c r="G44" s="1277"/>
      <c r="H44" s="1277"/>
      <c r="I44" s="1277"/>
      <c r="J44" s="1277"/>
      <c r="K44" s="1277"/>
      <c r="L44" s="1320"/>
      <c r="M44" s="1620"/>
      <c r="N44" s="1620"/>
      <c r="O44" s="1620"/>
      <c r="P44" s="1950"/>
      <c r="Q44" s="362"/>
      <c r="R44" s="363"/>
      <c r="S44" s="1968" t="str">
        <f>INDEX(PT_DIFFERENTIATION_NUM_TER,MATCH(B44,PT_DIFFERENTIATION_TER_ID,0))</f>
        <v>.</v>
      </c>
      <c r="T44" s="1532" t="s">
        <v>419</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420</v>
      </c>
      <c r="AO44" s="1634"/>
      <c r="AP44" s="1634" t="str">
        <f>IF(T44="","",T44)</f>
        <v>Территория действия тарифа</v>
      </c>
      <c r="AQ44" s="1634"/>
      <c r="AR44" s="1634"/>
      <c r="AS44" s="1641">
        <v>21</v>
      </c>
    </row>
    <row customHeight="1" ht="24">
      <c r="A45" s="1277" t="s">
        <v>234</v>
      </c>
      <c r="B45" s="1277" t="s">
        <v>235</v>
      </c>
      <c r="C45" s="1277" t="s">
        <v>236</v>
      </c>
      <c r="D45" s="1277"/>
      <c r="E45" s="2300"/>
      <c r="F45" s="2300"/>
      <c r="G45" s="2299">
        <v>1</v>
      </c>
      <c r="H45" s="1277"/>
      <c r="I45" s="1277"/>
      <c r="J45" s="1277"/>
      <c r="K45" s="1277"/>
      <c r="L45" s="1320"/>
      <c r="M45" s="1620"/>
      <c r="N45" s="1620"/>
      <c r="O45" s="1620"/>
      <c r="P45" s="364"/>
      <c r="Q45" s="362"/>
      <c r="R45" s="363"/>
      <c r="S45" s="1968" t="str">
        <f>INDEX(PT_DIFFERENTIATION_NUM_CS,MATCH(C45,PT_DIFFERENTIATION_CS_ID,0))</f>
        <v>..</v>
      </c>
      <c r="T45" s="319" t="s">
        <v>421</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422</v>
      </c>
      <c r="AO45" s="1634"/>
      <c r="AP45" s="1634" t="str">
        <f>IF(T45="","",T45)</f>
        <v>Наименование системы теплоснабжения </v>
      </c>
      <c r="AQ45" s="1634"/>
      <c r="AR45" s="1634"/>
      <c r="AS45" s="1641">
        <v>23</v>
      </c>
    </row>
    <row customHeight="1" ht="22.049999999999997">
      <c r="A46" s="1277" t="s">
        <v>234</v>
      </c>
      <c r="B46" s="1277" t="s">
        <v>235</v>
      </c>
      <c r="C46" s="1277" t="s">
        <v>236</v>
      </c>
      <c r="D46" s="1277" t="s">
        <v>237</v>
      </c>
      <c r="E46" s="2300"/>
      <c r="F46" s="2300"/>
      <c r="G46" s="2300"/>
      <c r="H46" s="2299">
        <v>1</v>
      </c>
      <c r="I46" s="1277"/>
      <c r="J46" s="1277"/>
      <c r="K46" s="1277"/>
      <c r="L46" s="1320"/>
      <c r="M46" s="1620"/>
      <c r="N46" s="1620"/>
      <c r="O46" s="1620"/>
      <c r="P46" s="364"/>
      <c r="Q46" s="362"/>
      <c r="R46" s="363"/>
      <c r="S46" s="1968" t="str">
        <f>INDEX(PT_DIFFERENTIATION_NUM_IST_TE,MATCH(D46,PT_DIFFERENTIATION_IST_TE_ID,0))</f>
        <v>...</v>
      </c>
      <c r="T46" s="320" t="s">
        <v>423</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424</v>
      </c>
      <c r="AO46" s="1634"/>
      <c r="AP46" s="1634" t="str">
        <f>IF(T46="","",T46)</f>
        <v>Источник тепловой энергии  </v>
      </c>
      <c r="AQ46" s="1634"/>
      <c r="AR46" s="1634"/>
      <c r="AS46" s="1641">
        <v>21</v>
      </c>
    </row>
    <row customHeight="1" ht="49.5">
      <c r="A47" s="1277" t="s">
        <v>234</v>
      </c>
      <c r="B47" s="1277" t="s">
        <v>235</v>
      </c>
      <c r="C47" s="1277" t="s">
        <v>236</v>
      </c>
      <c r="D47" s="1277" t="s">
        <v>237</v>
      </c>
      <c r="E47" s="2300"/>
      <c r="F47" s="2300"/>
      <c r="G47" s="2300"/>
      <c r="H47" s="2300"/>
      <c r="I47" s="2137" t="str">
        <f>S46&amp;".1"</f>
        <v>....1</v>
      </c>
      <c r="J47" s="1277"/>
      <c r="K47" s="1277"/>
      <c r="L47" s="1320" t="s">
        <v>425</v>
      </c>
      <c r="P47" s="2267">
        <v>1</v>
      </c>
      <c r="Q47" s="1964"/>
      <c r="R47" s="366"/>
      <c r="S47" s="1968" t="str">
        <f>$I47</f>
        <v>....1</v>
      </c>
      <c r="T47" s="295" t="s">
        <v>426</v>
      </c>
      <c r="U47" s="310"/>
      <c r="V47" s="2255"/>
      <c r="W47" s="2256"/>
      <c r="X47" s="2256"/>
      <c r="Y47" s="2256"/>
      <c r="Z47" s="2256"/>
      <c r="AA47" s="2256"/>
      <c r="AB47" s="2256"/>
      <c r="AC47" s="2257"/>
      <c r="AD47" s="2255"/>
      <c r="AE47" s="2256"/>
      <c r="AF47" s="2256"/>
      <c r="AG47" s="2256"/>
      <c r="AH47" s="2256"/>
      <c r="AI47" s="2256"/>
      <c r="AJ47" s="2256"/>
      <c r="AK47" s="2256"/>
      <c r="AL47" s="2257"/>
      <c r="AM47" s="1268" t="s">
        <v>427</v>
      </c>
      <c r="AO47" s="1634"/>
      <c r="AP47" s="1634" t="str">
        <f>IF(T47="","",T47)</f>
        <v>Схема подключения теплопотребляющей установки к коллектору источника тепловой энергии</v>
      </c>
      <c r="AQ47" s="1634"/>
      <c r="AR47" s="1634"/>
      <c r="AS47" s="1641">
        <v>47</v>
      </c>
    </row>
    <row customHeight="1" ht="22.049999999999997">
      <c r="A48" s="1277" t="s">
        <v>234</v>
      </c>
      <c r="B48" s="1277" t="s">
        <v>235</v>
      </c>
      <c r="C48" s="1277" t="s">
        <v>236</v>
      </c>
      <c r="D48" s="1277" t="s">
        <v>237</v>
      </c>
      <c r="E48" s="2300"/>
      <c r="F48" s="2300"/>
      <c r="G48" s="2300"/>
      <c r="H48" s="2300"/>
      <c r="I48" s="2111"/>
      <c r="J48" s="2137" t="str">
        <f>I47&amp;".1"</f>
        <v>....1.1</v>
      </c>
      <c r="K48" s="1277"/>
      <c r="L48" s="1320" t="s">
        <v>428</v>
      </c>
      <c r="P48" s="2267"/>
      <c r="Q48" s="2267">
        <v>1</v>
      </c>
      <c r="R48" s="367"/>
      <c r="S48" s="1968" t="str">
        <f>$J48</f>
        <v>....1.1</v>
      </c>
      <c r="T48" s="296" t="s">
        <v>429</v>
      </c>
      <c r="U48" s="310"/>
      <c r="V48" s="2255"/>
      <c r="W48" s="2256"/>
      <c r="X48" s="2256"/>
      <c r="Y48" s="2256"/>
      <c r="Z48" s="2256"/>
      <c r="AA48" s="2256"/>
      <c r="AB48" s="2256"/>
      <c r="AC48" s="2257"/>
      <c r="AD48" s="2255"/>
      <c r="AE48" s="2256"/>
      <c r="AF48" s="2256"/>
      <c r="AG48" s="2256"/>
      <c r="AH48" s="2256"/>
      <c r="AI48" s="2256"/>
      <c r="AJ48" s="2256"/>
      <c r="AK48" s="2256"/>
      <c r="AL48" s="2257"/>
      <c r="AM48" s="1268" t="s">
        <v>430</v>
      </c>
      <c r="AO48" s="1634"/>
      <c r="AP48" s="1634" t="str">
        <f>IF(T48="","",T48)</f>
        <v>Группа потребителей</v>
      </c>
      <c r="AQ48" s="1634"/>
      <c r="AR48" s="1634"/>
      <c r="AS48" s="1641">
        <v>21</v>
      </c>
    </row>
    <row customHeight="1" ht="22.049999999999997">
      <c r="A49" s="1277" t="s">
        <v>234</v>
      </c>
      <c r="B49" s="1277" t="s">
        <v>235</v>
      </c>
      <c r="C49" s="1277" t="s">
        <v>236</v>
      </c>
      <c r="D49" s="1277" t="s">
        <v>237</v>
      </c>
      <c r="E49" s="2300"/>
      <c r="F49" s="2300"/>
      <c r="G49" s="2300"/>
      <c r="H49" s="2300"/>
      <c r="I49" s="2111"/>
      <c r="J49" s="2111"/>
      <c r="K49" s="2137" t="str">
        <f>J48&amp;".1"</f>
        <v>....1.1.1</v>
      </c>
      <c r="L49" s="1320" t="s">
        <v>431</v>
      </c>
      <c r="P49" s="2267"/>
      <c r="Q49" s="2267"/>
      <c r="R49" s="367">
        <v>1</v>
      </c>
      <c r="S49" s="1968" t="str">
        <f>$K49</f>
        <v>....1.1.1</v>
      </c>
      <c r="T49" s="1357"/>
      <c r="U49" s="310"/>
      <c r="V49" s="761"/>
      <c r="W49" s="335"/>
      <c r="X49" s="761"/>
      <c r="Y49" s="1267"/>
      <c r="Z49" s="2275"/>
      <c r="AA49" s="2117" t="s">
        <v>66</v>
      </c>
      <c r="AB49" s="2275"/>
      <c r="AC49" s="2117" t="s">
        <v>66</v>
      </c>
      <c r="AD49" s="761"/>
      <c r="AE49" s="335"/>
      <c r="AF49" s="761"/>
      <c r="AG49" s="1267"/>
      <c r="AH49" s="2275"/>
      <c r="AI49" s="2117" t="s">
        <v>66</v>
      </c>
      <c r="AJ49" s="2297"/>
      <c r="AK49" s="2117" t="s">
        <v>66</v>
      </c>
      <c r="AL49" s="1358"/>
      <c r="AM49" s="2263" t="s">
        <v>432</v>
      </c>
      <c r="AN49" s="1646">
        <f>STRCHECKDATE(V50:AL50)</f>
      </c>
      <c r="AO49" s="1634"/>
      <c r="AP49" s="1634" t="str">
        <f>IF(T49="","",T49)</f>
        <v/>
      </c>
      <c r="AQ49" s="1634"/>
      <c r="AR49" s="1634"/>
      <c r="AS49" s="1641">
        <v>21</v>
      </c>
    </row>
    <row customHeight="1" ht="1.05">
      <c r="A50" s="1277" t="s">
        <v>234</v>
      </c>
      <c r="B50" s="1277" t="s">
        <v>235</v>
      </c>
      <c r="C50" s="1277" t="s">
        <v>236</v>
      </c>
      <c r="D50" s="1277" t="s">
        <v>237</v>
      </c>
      <c r="E50" s="2300"/>
      <c r="F50" s="2300"/>
      <c r="G50" s="2300"/>
      <c r="H50" s="2300"/>
      <c r="I50" s="2111"/>
      <c r="J50" s="2111"/>
      <c r="K50" s="2137"/>
      <c r="L50" s="1320"/>
      <c r="P50" s="2267"/>
      <c r="Q50" s="2267"/>
      <c r="R50" s="367"/>
      <c r="S50" s="1977"/>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1634"/>
      <c r="AP50" s="1634" t="str">
        <f>IF(T50="","",T50)</f>
        <v/>
      </c>
      <c r="AQ50" s="1634"/>
      <c r="AR50" s="1634"/>
      <c r="AS50" s="1641">
        <v>1</v>
      </c>
    </row>
    <row customHeight="1" ht="11.549999999999999">
      <c r="A51" s="1277" t="s">
        <v>234</v>
      </c>
      <c r="B51" s="1277" t="s">
        <v>235</v>
      </c>
      <c r="C51" s="1277" t="s">
        <v>236</v>
      </c>
      <c r="D51" s="1277" t="s">
        <v>237</v>
      </c>
      <c r="E51" s="2300"/>
      <c r="F51" s="2300"/>
      <c r="G51" s="2300"/>
      <c r="H51" s="2300"/>
      <c r="I51" s="2111"/>
      <c r="J51" s="2137"/>
      <c r="K51" s="1277"/>
      <c r="L51" s="1320"/>
      <c r="P51" s="2267"/>
      <c r="Q51" s="2267"/>
      <c r="R51" s="366"/>
      <c r="S51" s="1288"/>
      <c r="T51" s="298" t="s">
        <v>433</v>
      </c>
      <c r="U51" s="610"/>
      <c r="V51" s="610"/>
      <c r="W51" s="610"/>
      <c r="X51" s="610"/>
      <c r="Y51" s="610"/>
      <c r="Z51" s="610"/>
      <c r="AA51" s="610"/>
      <c r="AB51" s="610"/>
      <c r="AC51" s="610"/>
      <c r="AD51" s="610"/>
      <c r="AE51" s="610"/>
      <c r="AF51" s="610"/>
      <c r="AG51" s="610"/>
      <c r="AH51" s="610"/>
      <c r="AI51" s="610"/>
      <c r="AJ51" s="610"/>
      <c r="AK51" s="610"/>
      <c r="AL51" s="334"/>
      <c r="AM51" s="2265"/>
      <c r="AO51" s="1634"/>
      <c r="AP51" s="1634" t="str">
        <f>IF(T51="","",T51)</f>
        <v>Добавить вид теплоносителя (параметры теплоносителя)</v>
      </c>
      <c r="AQ51" s="1634"/>
      <c r="AR51" s="1634"/>
      <c r="AS51" s="1641">
        <v>11</v>
      </c>
    </row>
    <row customHeight="1" ht="11.549999999999999">
      <c r="A52" s="1277" t="s">
        <v>234</v>
      </c>
      <c r="B52" s="1277" t="s">
        <v>235</v>
      </c>
      <c r="C52" s="1277" t="s">
        <v>236</v>
      </c>
      <c r="D52" s="1277" t="s">
        <v>237</v>
      </c>
      <c r="E52" s="2300"/>
      <c r="F52" s="2300"/>
      <c r="G52" s="2300"/>
      <c r="H52" s="2300"/>
      <c r="I52" s="2137"/>
      <c r="J52" s="1277"/>
      <c r="K52" s="1277"/>
      <c r="L52" s="1320"/>
      <c r="P52" s="2267"/>
      <c r="Q52" s="1964"/>
      <c r="R52" s="366"/>
      <c r="S52" s="1288"/>
      <c r="T52" s="297" t="s">
        <v>434</v>
      </c>
      <c r="U52" s="610"/>
      <c r="V52" s="610"/>
      <c r="W52" s="610"/>
      <c r="X52" s="610"/>
      <c r="Y52" s="610"/>
      <c r="Z52" s="610"/>
      <c r="AA52" s="610"/>
      <c r="AB52" s="610"/>
      <c r="AC52" s="376"/>
      <c r="AD52" s="610"/>
      <c r="AE52" s="610"/>
      <c r="AF52" s="610"/>
      <c r="AG52" s="610"/>
      <c r="AH52" s="610"/>
      <c r="AI52" s="610"/>
      <c r="AJ52" s="610"/>
      <c r="AK52" s="376"/>
      <c r="AL52" s="610"/>
      <c r="AM52" s="313"/>
      <c r="AO52" s="1634"/>
      <c r="AP52" s="1634" t="str">
        <f>IF(T52="","",T52)</f>
        <v>Добавить группу потребителей</v>
      </c>
      <c r="AQ52" s="1634"/>
      <c r="AR52" s="1634"/>
      <c r="AS52" s="1641">
        <v>11</v>
      </c>
    </row>
    <row customHeight="1" ht="14.699999999999998">
      <c r="A53" s="1277" t="s">
        <v>234</v>
      </c>
      <c r="B53" s="1277" t="s">
        <v>235</v>
      </c>
      <c r="C53" s="1277" t="s">
        <v>236</v>
      </c>
      <c r="D53" s="1277" t="s">
        <v>237</v>
      </c>
      <c r="E53" s="2300"/>
      <c r="F53" s="2300"/>
      <c r="G53" s="2300"/>
      <c r="H53" s="2299"/>
      <c r="I53" s="1277"/>
      <c r="J53" s="1277"/>
      <c r="K53" s="1277"/>
      <c r="L53" s="1320"/>
      <c r="M53" s="1620"/>
      <c r="N53" s="1620"/>
      <c r="O53" s="1645"/>
      <c r="P53" s="370"/>
      <c r="Q53" s="385"/>
      <c r="R53" s="365"/>
      <c r="S53" s="1288"/>
      <c r="T53" s="375" t="s">
        <v>435</v>
      </c>
      <c r="U53" s="610"/>
      <c r="V53" s="610"/>
      <c r="W53" s="610"/>
      <c r="X53" s="610"/>
      <c r="Y53" s="610"/>
      <c r="Z53" s="610"/>
      <c r="AA53" s="610"/>
      <c r="AB53" s="610"/>
      <c r="AC53" s="376"/>
      <c r="AD53" s="610"/>
      <c r="AE53" s="610"/>
      <c r="AF53" s="610"/>
      <c r="AG53" s="610"/>
      <c r="AH53" s="610"/>
      <c r="AI53" s="610"/>
      <c r="AJ53" s="610"/>
      <c r="AK53" s="376"/>
      <c r="AL53" s="610"/>
      <c r="AM53" s="313"/>
      <c r="AO53" s="1634"/>
      <c r="AP53" s="1634" t="str">
        <f>IF(T53="","",T53)</f>
        <v>Добавить схему подключения</v>
      </c>
      <c r="AQ53" s="1634"/>
      <c r="AR53" s="1634"/>
      <c r="AS53" s="1641">
        <v>14</v>
      </c>
    </row>
    <row s="1652" customFormat="1" customHeight="1" ht="1.05">
      <c r="A54" s="1277" t="s">
        <v>234</v>
      </c>
      <c r="B54" s="1277" t="s">
        <v>235</v>
      </c>
      <c r="C54" s="1277" t="s">
        <v>236</v>
      </c>
      <c r="D54" s="1984"/>
      <c r="E54" s="2300"/>
      <c r="F54" s="2300"/>
      <c r="G54" s="2299"/>
      <c r="H54" s="1984"/>
      <c r="I54" s="1984"/>
      <c r="J54" s="1984"/>
      <c r="K54" s="1984"/>
      <c r="L54" s="1390"/>
      <c r="M54" s="1620"/>
      <c r="N54" s="1620"/>
      <c r="O54" s="1645"/>
      <c r="P54" s="1326"/>
      <c r="Q54" s="1327"/>
      <c r="R54" s="1326"/>
      <c r="S54" s="1332"/>
      <c r="T54" s="1335" t="s">
        <v>436</v>
      </c>
      <c r="U54" s="1334"/>
      <c r="V54" s="1334"/>
      <c r="W54" s="1334"/>
      <c r="X54" s="1334"/>
      <c r="Y54" s="1334"/>
      <c r="Z54" s="1334"/>
      <c r="AA54" s="1334"/>
      <c r="AB54" s="1334"/>
      <c r="AC54" s="1334"/>
      <c r="AD54" s="1334"/>
      <c r="AE54" s="1334"/>
      <c r="AF54" s="1334"/>
      <c r="AG54" s="1334"/>
      <c r="AH54" s="1334"/>
      <c r="AI54" s="1334"/>
      <c r="AJ54" s="1334"/>
      <c r="AK54" s="1334"/>
      <c r="AL54" s="1334"/>
      <c r="AM54" s="1334"/>
      <c r="AO54" s="1261"/>
      <c r="AP54" s="1261" t="str">
        <f>IF(T54="","",T54)</f>
        <v>Добавить источник для дифференциации</v>
      </c>
      <c r="AQ54" s="1261"/>
      <c r="AR54" s="1261"/>
      <c r="AS54" s="1652">
        <v>1</v>
      </c>
    </row>
    <row s="1652" customFormat="1" customHeight="1" ht="1.05">
      <c r="A55" s="1277" t="s">
        <v>234</v>
      </c>
      <c r="B55" s="1277" t="s">
        <v>235</v>
      </c>
      <c r="C55" s="1984"/>
      <c r="D55" s="1984"/>
      <c r="E55" s="2300"/>
      <c r="F55" s="2299"/>
      <c r="G55" s="1984"/>
      <c r="H55" s="1984"/>
      <c r="I55" s="1984"/>
      <c r="J55" s="1984"/>
      <c r="K55" s="1984"/>
      <c r="L55" s="1390"/>
      <c r="M55" s="1985"/>
      <c r="N55" s="1985"/>
      <c r="O55" s="1645"/>
      <c r="P55" s="1326"/>
      <c r="Q55" s="1327"/>
      <c r="R55" s="1326"/>
      <c r="S55" s="1332"/>
      <c r="T55" s="1335" t="s">
        <v>437</v>
      </c>
      <c r="U55" s="1334"/>
      <c r="V55" s="1334"/>
      <c r="W55" s="1334"/>
      <c r="X55" s="1334"/>
      <c r="Y55" s="1334"/>
      <c r="Z55" s="1334"/>
      <c r="AA55" s="1334"/>
      <c r="AB55" s="1334"/>
      <c r="AC55" s="1334"/>
      <c r="AD55" s="1334"/>
      <c r="AE55" s="1334"/>
      <c r="AF55" s="1334"/>
      <c r="AG55" s="1334"/>
      <c r="AH55" s="1334"/>
      <c r="AI55" s="1334"/>
      <c r="AJ55" s="1334"/>
      <c r="AK55" s="1334"/>
      <c r="AL55" s="1334"/>
      <c r="AM55" s="1334"/>
      <c r="AO55" s="1261"/>
      <c r="AP55" s="1261" t="str">
        <f>IF(T55="","",T55)</f>
        <v>Добавить централизованную систему для дифференциации</v>
      </c>
      <c r="AQ55" s="1261"/>
      <c r="AR55" s="1261"/>
      <c r="AS55" s="1652">
        <v>1</v>
      </c>
    </row>
    <row s="1652" customFormat="1" customHeight="1" ht="1.05">
      <c r="A56" s="1277" t="s">
        <v>234</v>
      </c>
      <c r="B56" s="1277"/>
      <c r="C56" s="1277"/>
      <c r="D56" s="1277"/>
      <c r="E56" s="2299"/>
      <c r="F56" s="1277"/>
      <c r="G56" s="1277"/>
      <c r="H56" s="1277"/>
      <c r="I56" s="1277"/>
      <c r="J56" s="1277"/>
      <c r="K56" s="1277"/>
      <c r="L56" s="1320"/>
      <c r="M56" s="1985"/>
      <c r="N56" s="1985"/>
      <c r="O56" s="1645"/>
      <c r="P56" s="390"/>
      <c r="Q56" s="1354"/>
      <c r="R56" s="390"/>
      <c r="S56" s="1332"/>
      <c r="T56" s="1335" t="s">
        <v>438</v>
      </c>
      <c r="U56" s="1334"/>
      <c r="V56" s="1334"/>
      <c r="W56" s="1334"/>
      <c r="X56" s="1334"/>
      <c r="Y56" s="1334"/>
      <c r="Z56" s="1334"/>
      <c r="AA56" s="1334"/>
      <c r="AB56" s="1334"/>
      <c r="AC56" s="1334"/>
      <c r="AD56" s="1334"/>
      <c r="AE56" s="1334"/>
      <c r="AF56" s="1334"/>
      <c r="AG56" s="1334"/>
      <c r="AH56" s="1334"/>
      <c r="AI56" s="1334"/>
      <c r="AJ56" s="1334"/>
      <c r="AK56" s="1334"/>
      <c r="AL56" s="1334"/>
      <c r="AM56" s="1334"/>
      <c r="AO56" s="1634"/>
      <c r="AP56" s="1634" t="str">
        <f>IF(T56="","",T56)</f>
        <v>Добавить территорию для дифференциации</v>
      </c>
      <c r="AQ56" s="1634"/>
      <c r="AR56" s="1634"/>
      <c r="AS56" s="1646">
        <v>1</v>
      </c>
    </row>
    <row s="1652" customFormat="1" customHeight="1" ht="1.05">
      <c r="A57" s="1984"/>
      <c r="B57" s="1984"/>
      <c r="C57" s="1984"/>
      <c r="D57" s="1984"/>
      <c r="E57" s="1277"/>
      <c r="F57" s="1984"/>
      <c r="G57" s="1984"/>
      <c r="H57" s="1984"/>
      <c r="I57" s="1984"/>
      <c r="J57" s="1984"/>
      <c r="K57" s="1984"/>
      <c r="L57" s="1390"/>
      <c r="M57" s="1985"/>
      <c r="N57" s="1985"/>
      <c r="O57" s="1645"/>
      <c r="P57" s="1326"/>
      <c r="Q57" s="1327"/>
      <c r="R57" s="1326"/>
      <c r="S57" s="1332"/>
      <c r="T57" s="1335" t="s">
        <v>470</v>
      </c>
      <c r="U57" s="1334"/>
      <c r="V57" s="1334"/>
      <c r="W57" s="1334"/>
      <c r="X57" s="1334"/>
      <c r="Y57" s="1334"/>
      <c r="Z57" s="1334"/>
      <c r="AA57" s="1334"/>
      <c r="AB57" s="1334"/>
      <c r="AC57" s="1334"/>
      <c r="AD57" s="1334"/>
      <c r="AE57" s="1334"/>
      <c r="AF57" s="1334"/>
      <c r="AG57" s="1334"/>
      <c r="AH57" s="1334"/>
      <c r="AI57" s="1334"/>
      <c r="AJ57" s="1334"/>
      <c r="AK57" s="1334"/>
      <c r="AL57" s="1334"/>
      <c r="AM57" s="1334"/>
      <c r="AO57" s="1261"/>
      <c r="AP57" s="1261" t="str">
        <f>IF(T57="","",T57)</f>
        <v>Добавить наименование тарифа</v>
      </c>
      <c r="AQ57" s="1261"/>
      <c r="AR57" s="1261"/>
      <c r="AS57" s="1652">
        <v>1</v>
      </c>
    </row>
    <row customHeight="1" ht="11.549999999999999">
      <c r="M58" s="1641"/>
      <c r="N58" s="1641"/>
      <c r="O58" s="1645"/>
      <c r="P58" s="1641"/>
      <c r="Q58" s="1641"/>
      <c r="R58" s="1641"/>
      <c r="S58" s="1641"/>
      <c r="AN58" s="1641"/>
      <c r="AO58" s="1641"/>
      <c r="AP58" s="1641"/>
      <c r="AQ58" s="1641"/>
      <c r="AR58" s="1641"/>
      <c r="AS58" s="1641">
        <v>11</v>
      </c>
    </row>
    <row customHeight="1" ht="28.5">
      <c r="O59" s="1645"/>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641">
        <v>27</v>
      </c>
    </row>
    <row customHeight="1" ht="65.25">
      <c r="O60" s="1645"/>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641">
        <v>62</v>
      </c>
    </row>
    <row customHeight="1" ht="14.699999999999998">
      <c r="O61" s="1645"/>
      <c r="AS61" s="1641">
        <v>14</v>
      </c>
    </row>
    <row customHeight="1" ht="18.75">
      <c r="O62" s="1645"/>
      <c r="S62" s="1263"/>
      <c r="T62" s="2295"/>
      <c r="U62" s="2295"/>
      <c r="V62" s="2295"/>
      <c r="W62" s="2295"/>
      <c r="X62" s="2295"/>
      <c r="Y62" s="2295"/>
      <c r="Z62" s="2295"/>
      <c r="AA62" s="2295"/>
      <c r="AB62" s="2295"/>
      <c r="AC62" s="2295"/>
      <c r="AD62" s="2295"/>
      <c r="AE62" s="2295"/>
      <c r="AF62" s="2295"/>
      <c r="AG62" s="2295"/>
      <c r="AH62" s="2295"/>
      <c r="AI62" s="2295"/>
      <c r="AJ62" s="2295"/>
      <c r="AK62" s="2295"/>
      <c r="AL62" s="2295"/>
      <c r="AM62" s="2295"/>
      <c r="AS62" s="1641">
        <v>18</v>
      </c>
    </row>
    <row customHeight="1" ht="18.75">
      <c r="O63" s="1645"/>
      <c r="T63" s="2295"/>
      <c r="U63" s="2295"/>
      <c r="V63" s="2295"/>
      <c r="W63" s="2295"/>
      <c r="X63" s="2295"/>
      <c r="Y63" s="2295"/>
      <c r="Z63" s="2295"/>
      <c r="AA63" s="2295"/>
      <c r="AB63" s="2295"/>
      <c r="AC63" s="2295"/>
      <c r="AD63" s="2295"/>
      <c r="AE63" s="2295"/>
      <c r="AF63" s="2295"/>
      <c r="AG63" s="2295"/>
      <c r="AH63" s="2295"/>
      <c r="AI63" s="2295"/>
      <c r="AJ63" s="2295"/>
      <c r="AK63" s="2295"/>
      <c r="AL63" s="2295"/>
      <c r="AM63" s="2295"/>
      <c r="AS63" s="1641">
        <v>18</v>
      </c>
    </row>
    <row customHeight="1" ht="29.25">
      <c r="O64" s="1645"/>
      <c r="S64" s="1263"/>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641">
        <v>28</v>
      </c>
    </row>
    <row customHeight="1" ht="22.5" hidden="1">
      <c r="A65" s="1641" t="s">
        <v>82</v>
      </c>
      <c r="B65" s="1641">
        <v>0</v>
      </c>
      <c r="C65" s="1641">
        <v>0</v>
      </c>
      <c r="D65" s="1641">
        <v>0</v>
      </c>
      <c r="E65" s="1641">
        <v>0</v>
      </c>
      <c r="F65" s="1641">
        <v>0</v>
      </c>
      <c r="G65" s="1641">
        <v>0</v>
      </c>
      <c r="H65" s="1641">
        <v>0</v>
      </c>
      <c r="I65" s="1641">
        <v>0</v>
      </c>
      <c r="J65" s="1641">
        <v>0</v>
      </c>
      <c r="K65" s="1641">
        <v>0</v>
      </c>
      <c r="L65" s="1949">
        <v>0</v>
      </c>
      <c r="M65" s="1975">
        <v>0</v>
      </c>
      <c r="N65" s="1975">
        <v>0</v>
      </c>
      <c r="O65" s="1975">
        <v>0</v>
      </c>
      <c r="P65" s="1975">
        <v>3</v>
      </c>
      <c r="Q65" s="354">
        <v>3</v>
      </c>
      <c r="R65" s="354">
        <v>3</v>
      </c>
      <c r="S65" s="591">
        <v>12</v>
      </c>
      <c r="T65" s="1641">
        <v>31</v>
      </c>
      <c r="U65" s="1641">
        <v>0</v>
      </c>
      <c r="V65" s="1641">
        <v>0</v>
      </c>
      <c r="W65" s="1641">
        <v>0</v>
      </c>
      <c r="X65" s="1641">
        <v>0</v>
      </c>
      <c r="Y65" s="1641">
        <v>0</v>
      </c>
      <c r="Z65" s="1641">
        <v>0</v>
      </c>
      <c r="AA65" s="1641">
        <v>0</v>
      </c>
      <c r="AB65" s="1641">
        <v>0</v>
      </c>
      <c r="AC65" s="1641">
        <v>0</v>
      </c>
      <c r="AD65" s="1641">
        <v>24</v>
      </c>
      <c r="AE65" s="1641">
        <v>0</v>
      </c>
      <c r="AF65" s="1641">
        <v>24</v>
      </c>
      <c r="AG65" s="1641">
        <v>24</v>
      </c>
      <c r="AH65" s="1641">
        <v>11</v>
      </c>
      <c r="AI65" s="1641">
        <v>3</v>
      </c>
      <c r="AJ65" s="1641">
        <v>11</v>
      </c>
      <c r="AK65" s="1641">
        <v>0</v>
      </c>
      <c r="AL65" s="1641">
        <v>4</v>
      </c>
      <c r="AM65" s="1641">
        <v>115</v>
      </c>
      <c r="AN65" s="1646">
        <v>10</v>
      </c>
      <c r="AO65" s="1646">
        <v>10</v>
      </c>
      <c r="AP65" s="1646">
        <v>10</v>
      </c>
      <c r="AQ65" s="1646">
        <v>10</v>
      </c>
      <c r="AR65" s="1646">
        <v>10</v>
      </c>
      <c r="AS65" s="1641">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FCDECF-B514-0E7D-B032-0.5B62EA03}"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1.00390625" customWidth="1"/>
    <col min="21" max="21" style="1645" width="0.7109375" hidden="1" customWidth="1"/>
    <col min="22" max="22" style="1645" width="1.7109375" hidden="1" customWidth="1"/>
    <col min="23" max="23" style="1645" width="24.7109375" hidden="1" customWidth="1"/>
    <col min="24" max="25" style="1645" width="0.14062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0.140625" customWidth="1"/>
    <col min="31" max="31" style="1645" width="24.00390625" customWidth="1"/>
    <col min="32" max="33" style="1645" width="0.14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Y1" s="337"/>
      <c r="Z1" s="337"/>
      <c r="AG1" s="337"/>
      <c r="AH1" s="337"/>
      <c r="AS1" s="1165" t="s">
        <v>14</v>
      </c>
    </row>
    <row customHeight="1" ht="21" hidden="1">
      <c r="A2" s="1373"/>
      <c r="B2" s="1373"/>
      <c r="C2" s="1373"/>
      <c r="D2" s="1373"/>
      <c r="E2" s="2268">
        <v>1</v>
      </c>
      <c r="F2" s="1373"/>
      <c r="G2" s="1373"/>
      <c r="H2" s="1373"/>
      <c r="I2" s="1373"/>
      <c r="J2" s="1373"/>
      <c r="K2" s="1373"/>
      <c r="L2" s="1374"/>
      <c r="M2" s="1375"/>
      <c r="N2" s="1375"/>
      <c r="O2" s="1375"/>
      <c r="P2" s="371"/>
      <c r="Q2" s="370"/>
      <c r="R2" s="365"/>
      <c r="S2" s="1346">
        <f>INDEX(PT_DIFFERENTIATION_NUM_NTAR,MATCH(A2,PT_DIFFERENTIATION_NTAR_ID,0))</f>
      </c>
      <c r="T2" s="308" t="s">
        <v>147</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418</v>
      </c>
      <c r="AO2" s="510"/>
      <c r="AP2" s="510" t="str">
        <f>IF(T2="","",T2)</f>
        <v>Наименование тарифа</v>
      </c>
      <c r="AQ2" s="510"/>
      <c r="AR2" s="510"/>
      <c r="AS2" s="1165">
        <v>0</v>
      </c>
    </row>
    <row customHeight="1" ht="21" hidden="1">
      <c r="A3" s="1373"/>
      <c r="B3" s="1373"/>
      <c r="C3" s="1373"/>
      <c r="D3" s="1373"/>
      <c r="E3" s="2269"/>
      <c r="F3" s="2268">
        <v>1</v>
      </c>
      <c r="G3" s="1373"/>
      <c r="H3" s="1373"/>
      <c r="I3" s="1373"/>
      <c r="J3" s="1373"/>
      <c r="K3" s="1373"/>
      <c r="L3" s="1374"/>
      <c r="M3" s="1375"/>
      <c r="N3" s="1375"/>
      <c r="O3" s="1375"/>
      <c r="P3" s="1342"/>
      <c r="Q3" s="362"/>
      <c r="R3" s="363"/>
      <c r="S3" s="1346">
        <f>INDEX(PT_DIFFERENTIATION_NUM_TER,MATCH(B3,PT_DIFFERENTIATION_TER_ID,0))</f>
      </c>
      <c r="T3" s="318" t="s">
        <v>419</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420</v>
      </c>
      <c r="AO3" s="510"/>
      <c r="AP3" s="510" t="str">
        <f>IF(T3="","",T3)</f>
        <v>Территория действия тарифа</v>
      </c>
      <c r="AQ3" s="510"/>
      <c r="AR3" s="510"/>
      <c r="AS3" s="1165">
        <v>0</v>
      </c>
    </row>
    <row customHeight="1" ht="23.25" hidden="1">
      <c r="A4" s="1373"/>
      <c r="B4" s="1373"/>
      <c r="C4" s="1373"/>
      <c r="D4" s="1373"/>
      <c r="E4" s="2269"/>
      <c r="F4" s="2269"/>
      <c r="G4" s="2268">
        <v>1</v>
      </c>
      <c r="H4" s="1373"/>
      <c r="I4" s="1373"/>
      <c r="J4" s="1373"/>
      <c r="K4" s="1373"/>
      <c r="L4" s="1374"/>
      <c r="M4" s="1375"/>
      <c r="N4" s="1375"/>
      <c r="O4" s="1375"/>
      <c r="P4" s="364"/>
      <c r="Q4" s="362"/>
      <c r="R4" s="363"/>
      <c r="S4" s="1346">
        <f>INDEX(PT_DIFFERENTIATION_NUM_CS,MATCH(C4,PT_DIFFERENTIATION_CS_ID,0))</f>
      </c>
      <c r="T4" s="319" t="s">
        <v>421</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422</v>
      </c>
      <c r="AO4" s="510"/>
      <c r="AP4" s="510" t="str">
        <f>IF(T4="","",T4)</f>
        <v>Наименование системы теплоснабжения </v>
      </c>
      <c r="AQ4" s="510"/>
      <c r="AR4" s="510"/>
      <c r="AS4" s="1165">
        <v>0</v>
      </c>
    </row>
    <row customHeight="1" ht="21" hidden="1">
      <c r="A5" s="1373"/>
      <c r="B5" s="1373"/>
      <c r="C5" s="1373"/>
      <c r="D5" s="1373"/>
      <c r="E5" s="2269"/>
      <c r="F5" s="2269"/>
      <c r="G5" s="2269"/>
      <c r="H5" s="2268">
        <v>1</v>
      </c>
      <c r="I5" s="1373"/>
      <c r="J5" s="1373"/>
      <c r="K5" s="1373"/>
      <c r="L5" s="1374"/>
      <c r="M5" s="1375"/>
      <c r="N5" s="1375"/>
      <c r="O5" s="1375"/>
      <c r="P5" s="364"/>
      <c r="Q5" s="362"/>
      <c r="R5" s="363"/>
      <c r="S5" s="1346">
        <f>INDEX(PT_DIFFERENTIATION_NUM_IST_TE,MATCH(D5,PT_DIFFERENTIATION_IST_TE_ID,0))</f>
      </c>
      <c r="T5" s="320" t="s">
        <v>423</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424</v>
      </c>
      <c r="AO5" s="510"/>
      <c r="AP5" s="510" t="str">
        <f>IF(T5="","",T5)</f>
        <v>Источник тепловой энергии  </v>
      </c>
      <c r="AQ5" s="510"/>
      <c r="AR5" s="510"/>
      <c r="AS5" s="1165">
        <v>0</v>
      </c>
    </row>
    <row customHeight="1" ht="47.25" hidden="1">
      <c r="A6" s="1373"/>
      <c r="B6" s="1373"/>
      <c r="C6" s="1373"/>
      <c r="D6" s="1373"/>
      <c r="E6" s="2269"/>
      <c r="F6" s="2269"/>
      <c r="G6" s="2269"/>
      <c r="H6" s="2269"/>
      <c r="I6" s="2266">
        <f>S5&amp;".1"</f>
      </c>
      <c r="J6" s="1373"/>
      <c r="K6" s="1373"/>
      <c r="L6" s="1374" t="s">
        <v>425</v>
      </c>
      <c r="M6" s="547"/>
      <c r="P6" s="2267">
        <v>1</v>
      </c>
      <c r="Q6" s="1341"/>
      <c r="R6" s="366"/>
      <c r="S6" s="1346">
        <f>$I6</f>
      </c>
      <c r="T6" s="295" t="s">
        <v>426</v>
      </c>
      <c r="U6" s="310"/>
      <c r="V6" s="2255"/>
      <c r="W6" s="2256"/>
      <c r="X6" s="2256"/>
      <c r="Y6" s="2256"/>
      <c r="Z6" s="2256"/>
      <c r="AA6" s="2256"/>
      <c r="AB6" s="2256"/>
      <c r="AC6" s="2257"/>
      <c r="AD6" s="2255"/>
      <c r="AE6" s="2256"/>
      <c r="AF6" s="2256"/>
      <c r="AG6" s="2256"/>
      <c r="AH6" s="2256"/>
      <c r="AI6" s="2256"/>
      <c r="AJ6" s="2256"/>
      <c r="AK6" s="2256"/>
      <c r="AL6" s="2257"/>
      <c r="AM6" s="1268" t="s">
        <v>427</v>
      </c>
      <c r="AO6" s="510"/>
      <c r="AP6" s="510" t="str">
        <f>IF(T6="","",T6)</f>
        <v>Схема подключения теплопотребляющей установки к коллектору источника тепловой энергии</v>
      </c>
      <c r="AQ6" s="510"/>
      <c r="AR6" s="510"/>
      <c r="AS6" s="1165">
        <v>0</v>
      </c>
    </row>
    <row customHeight="1" ht="21" hidden="1">
      <c r="A7" s="1373"/>
      <c r="B7" s="1373"/>
      <c r="C7" s="1373"/>
      <c r="D7" s="1373"/>
      <c r="E7" s="2269"/>
      <c r="F7" s="2269"/>
      <c r="G7" s="2269"/>
      <c r="H7" s="2269"/>
      <c r="I7" s="2296"/>
      <c r="J7" s="2266">
        <f>I6&amp;".1"</f>
      </c>
      <c r="K7" s="1373"/>
      <c r="L7" s="1374" t="s">
        <v>428</v>
      </c>
      <c r="M7" s="547"/>
      <c r="N7" s="1376"/>
      <c r="P7" s="2267"/>
      <c r="Q7" s="2267">
        <v>1</v>
      </c>
      <c r="R7" s="367"/>
      <c r="S7" s="1346">
        <f>$J7</f>
      </c>
      <c r="T7" s="296" t="s">
        <v>429</v>
      </c>
      <c r="U7" s="310"/>
      <c r="V7" s="2255"/>
      <c r="W7" s="2256"/>
      <c r="X7" s="2256"/>
      <c r="Y7" s="2256"/>
      <c r="Z7" s="2256"/>
      <c r="AA7" s="2256"/>
      <c r="AB7" s="2256"/>
      <c r="AC7" s="2257"/>
      <c r="AD7" s="2255"/>
      <c r="AE7" s="2256"/>
      <c r="AF7" s="2256"/>
      <c r="AG7" s="2256"/>
      <c r="AH7" s="2256"/>
      <c r="AI7" s="2256"/>
      <c r="AJ7" s="2256"/>
      <c r="AK7" s="2256"/>
      <c r="AL7" s="2257"/>
      <c r="AM7" s="1268" t="s">
        <v>430</v>
      </c>
      <c r="AO7" s="510"/>
      <c r="AP7" s="510" t="str">
        <f>IF(T7="","",T7)</f>
        <v>Группа потребителей</v>
      </c>
      <c r="AQ7" s="510"/>
      <c r="AR7" s="510"/>
      <c r="AS7" s="1165">
        <v>0</v>
      </c>
    </row>
    <row customHeight="1" ht="21" hidden="1">
      <c r="A8" s="1373"/>
      <c r="B8" s="1373"/>
      <c r="C8" s="1373"/>
      <c r="D8" s="1373"/>
      <c r="E8" s="2269"/>
      <c r="F8" s="2269"/>
      <c r="G8" s="2269"/>
      <c r="H8" s="2269"/>
      <c r="I8" s="2296"/>
      <c r="J8" s="2296"/>
      <c r="K8" s="2266">
        <f>J7&amp;".1"</f>
      </c>
      <c r="L8" s="1374" t="s">
        <v>431</v>
      </c>
      <c r="M8" s="547"/>
      <c r="N8" s="1376"/>
      <c r="O8" s="1376"/>
      <c r="P8" s="2267"/>
      <c r="Q8" s="2267"/>
      <c r="R8" s="367">
        <v>1</v>
      </c>
      <c r="S8" s="1346">
        <f>$K8</f>
      </c>
      <c r="T8" s="1357"/>
      <c r="U8" s="310"/>
      <c r="V8" s="335"/>
      <c r="W8" s="761"/>
      <c r="X8" s="335"/>
      <c r="Y8" s="394"/>
      <c r="Z8" s="2275"/>
      <c r="AA8" s="2117" t="s">
        <v>66</v>
      </c>
      <c r="AB8" s="2275"/>
      <c r="AC8" s="2117" t="s">
        <v>66</v>
      </c>
      <c r="AD8" s="335"/>
      <c r="AE8" s="761"/>
      <c r="AF8" s="335"/>
      <c r="AG8" s="394"/>
      <c r="AH8" s="2275"/>
      <c r="AI8" s="2117" t="s">
        <v>66</v>
      </c>
      <c r="AJ8" s="2275"/>
      <c r="AK8" s="2117" t="s">
        <v>66</v>
      </c>
      <c r="AL8" s="335"/>
      <c r="AM8" s="2263" t="s">
        <v>432</v>
      </c>
      <c r="AN8" s="521">
        <f>STRCHECKDATE(V9:AL9)</f>
      </c>
      <c r="AO8" s="510"/>
      <c r="AP8" s="510" t="str">
        <f>IF(T8="","",T8)</f>
        <v/>
      </c>
      <c r="AQ8" s="510"/>
      <c r="AR8" s="510"/>
      <c r="AS8" s="1165">
        <v>0</v>
      </c>
    </row>
    <row customHeight="1" ht="0.75" hidden="1">
      <c r="A9" s="1373"/>
      <c r="B9" s="1373"/>
      <c r="C9" s="1373"/>
      <c r="D9" s="1373"/>
      <c r="E9" s="2269"/>
      <c r="F9" s="2269"/>
      <c r="G9" s="2269"/>
      <c r="H9" s="2269"/>
      <c r="I9" s="2296"/>
      <c r="J9" s="2296"/>
      <c r="K9" s="2266"/>
      <c r="L9" s="1374"/>
      <c r="M9" s="547"/>
      <c r="N9" s="1376"/>
      <c r="O9" s="1376"/>
      <c r="P9" s="2267"/>
      <c r="Q9" s="2267"/>
      <c r="R9" s="367"/>
      <c r="S9" s="1352"/>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510"/>
      <c r="AP9" s="510" t="str">
        <f>IF(T9="","",T9)</f>
        <v/>
      </c>
      <c r="AQ9" s="510"/>
      <c r="AR9" s="510"/>
      <c r="AS9" s="1165">
        <v>0</v>
      </c>
    </row>
    <row customHeight="1" ht="15" hidden="1">
      <c r="A10" s="1373"/>
      <c r="B10" s="1373"/>
      <c r="C10" s="1373"/>
      <c r="D10" s="1373"/>
      <c r="E10" s="2269"/>
      <c r="F10" s="2269"/>
      <c r="G10" s="2269"/>
      <c r="H10" s="2269"/>
      <c r="I10" s="2296"/>
      <c r="J10" s="2266"/>
      <c r="K10" s="1373"/>
      <c r="L10" s="1374"/>
      <c r="M10" s="547"/>
      <c r="N10" s="1376"/>
      <c r="P10" s="2267"/>
      <c r="Q10" s="2267"/>
      <c r="R10" s="366"/>
      <c r="S10" s="1288"/>
      <c r="T10" s="298" t="s">
        <v>433</v>
      </c>
      <c r="U10" s="377"/>
      <c r="V10" s="377"/>
      <c r="W10" s="377"/>
      <c r="X10" s="377"/>
      <c r="Y10" s="377"/>
      <c r="Z10" s="377"/>
      <c r="AA10" s="377"/>
      <c r="AB10" s="377"/>
      <c r="AC10" s="377"/>
      <c r="AD10" s="377"/>
      <c r="AE10" s="377"/>
      <c r="AF10" s="377"/>
      <c r="AG10" s="377"/>
      <c r="AH10" s="377"/>
      <c r="AI10" s="377"/>
      <c r="AJ10" s="377"/>
      <c r="AK10" s="377"/>
      <c r="AL10" s="334"/>
      <c r="AM10" s="2265"/>
      <c r="AO10" s="510"/>
      <c r="AP10" s="510" t="str">
        <f>IF(T10="","",T10)</f>
        <v>Добавить вид теплоносителя (параметры теплоносителя)</v>
      </c>
      <c r="AQ10" s="510"/>
      <c r="AR10" s="510"/>
      <c r="AS10" s="1165">
        <v>0</v>
      </c>
    </row>
    <row customHeight="1" ht="15" hidden="1">
      <c r="A11" s="1373"/>
      <c r="B11" s="1373"/>
      <c r="C11" s="1373"/>
      <c r="D11" s="1373"/>
      <c r="E11" s="2269"/>
      <c r="F11" s="2269"/>
      <c r="G11" s="2269"/>
      <c r="H11" s="2269"/>
      <c r="I11" s="2266"/>
      <c r="J11" s="1373"/>
      <c r="K11" s="1373"/>
      <c r="L11" s="1374"/>
      <c r="M11" s="547"/>
      <c r="P11" s="2267"/>
      <c r="Q11" s="1341"/>
      <c r="R11" s="366"/>
      <c r="S11" s="1288"/>
      <c r="T11" s="297" t="s">
        <v>434</v>
      </c>
      <c r="U11" s="377"/>
      <c r="V11" s="377"/>
      <c r="W11" s="377"/>
      <c r="X11" s="377"/>
      <c r="Y11" s="377"/>
      <c r="Z11" s="377"/>
      <c r="AA11" s="377"/>
      <c r="AB11" s="377"/>
      <c r="AC11" s="376"/>
      <c r="AD11" s="377"/>
      <c r="AE11" s="377"/>
      <c r="AF11" s="377"/>
      <c r="AG11" s="377"/>
      <c r="AH11" s="377"/>
      <c r="AI11" s="377"/>
      <c r="AJ11" s="377"/>
      <c r="AK11" s="376"/>
      <c r="AL11" s="377"/>
      <c r="AM11" s="313"/>
      <c r="AO11" s="510"/>
      <c r="AP11" s="510" t="str">
        <f>IF(T11="","",T11)</f>
        <v>Добавить группу потребителей</v>
      </c>
      <c r="AQ11" s="510"/>
      <c r="AR11" s="510"/>
      <c r="AS11" s="1165">
        <v>0</v>
      </c>
    </row>
    <row customHeight="1" ht="14.25" hidden="1">
      <c r="A12" s="1373"/>
      <c r="B12" s="1373"/>
      <c r="C12" s="1373"/>
      <c r="D12" s="1373"/>
      <c r="E12" s="2269"/>
      <c r="F12" s="2269"/>
      <c r="G12" s="2269"/>
      <c r="H12" s="2268"/>
      <c r="I12" s="1373"/>
      <c r="J12" s="1373"/>
      <c r="K12" s="1373"/>
      <c r="L12" s="1374"/>
      <c r="M12" s="1375"/>
      <c r="N12" s="1375"/>
      <c r="O12" s="547"/>
      <c r="P12" s="370"/>
      <c r="Q12" s="385"/>
      <c r="R12" s="365"/>
      <c r="S12" s="1288"/>
      <c r="T12" s="375" t="s">
        <v>435</v>
      </c>
      <c r="U12" s="377"/>
      <c r="V12" s="377"/>
      <c r="W12" s="377"/>
      <c r="X12" s="377"/>
      <c r="Y12" s="377"/>
      <c r="Z12" s="377"/>
      <c r="AA12" s="377"/>
      <c r="AB12" s="377"/>
      <c r="AC12" s="376"/>
      <c r="AD12" s="377"/>
      <c r="AE12" s="377"/>
      <c r="AF12" s="377"/>
      <c r="AG12" s="377"/>
      <c r="AH12" s="377"/>
      <c r="AI12" s="377"/>
      <c r="AJ12" s="377"/>
      <c r="AK12" s="376"/>
      <c r="AL12" s="377"/>
      <c r="AM12" s="313"/>
      <c r="AO12" s="510"/>
      <c r="AP12" s="510" t="str">
        <f>IF(T12="","",T12)</f>
        <v>Добавить схему подключения</v>
      </c>
      <c r="AQ12" s="510"/>
      <c r="AR12" s="510"/>
      <c r="AS12" s="1165">
        <v>0</v>
      </c>
    </row>
    <row s="1652" customFormat="1" customHeight="1" ht="0.75" hidden="1">
      <c r="A13" s="1324"/>
      <c r="B13" s="1324"/>
      <c r="C13" s="1324"/>
      <c r="D13" s="1324"/>
      <c r="E13" s="2269"/>
      <c r="F13" s="2269"/>
      <c r="G13" s="2268"/>
      <c r="H13" s="1324"/>
      <c r="I13" s="1324"/>
      <c r="J13" s="1324"/>
      <c r="K13" s="1324"/>
      <c r="L13" s="1349"/>
      <c r="M13" s="1325"/>
      <c r="N13" s="1325"/>
      <c r="P13" s="1326"/>
      <c r="Q13" s="1327"/>
      <c r="R13" s="1326"/>
      <c r="S13" s="1328"/>
      <c r="T13" s="1329" t="s">
        <v>436</v>
      </c>
      <c r="U13" s="1330"/>
      <c r="V13" s="1330"/>
      <c r="W13" s="1330"/>
      <c r="X13" s="1330"/>
      <c r="Y13" s="1330"/>
      <c r="Z13" s="1330"/>
      <c r="AA13" s="1330"/>
      <c r="AB13" s="1330"/>
      <c r="AC13" s="1330"/>
      <c r="AD13" s="1330"/>
      <c r="AE13" s="1330"/>
      <c r="AF13" s="1330"/>
      <c r="AG13" s="1330"/>
      <c r="AH13" s="1330"/>
      <c r="AI13" s="1330"/>
      <c r="AJ13" s="1330"/>
      <c r="AK13" s="1330"/>
      <c r="AL13" s="1330"/>
      <c r="AM13" s="1330"/>
      <c r="AO13" s="799"/>
      <c r="AP13" s="799" t="str">
        <f>IF(T13="","",T13)</f>
        <v>Добавить источник для дифференциации</v>
      </c>
      <c r="AQ13" s="799"/>
      <c r="AR13" s="799"/>
      <c r="AS13" s="528">
        <v>0</v>
      </c>
    </row>
    <row s="1652" customFormat="1" customHeight="1" ht="0.75" hidden="1">
      <c r="A14" s="1324"/>
      <c r="B14" s="1324"/>
      <c r="C14" s="1324"/>
      <c r="D14" s="1324"/>
      <c r="E14" s="2269"/>
      <c r="F14" s="2268"/>
      <c r="G14" s="1324"/>
      <c r="H14" s="1324"/>
      <c r="I14" s="1324"/>
      <c r="J14" s="1324"/>
      <c r="K14" s="1324"/>
      <c r="L14" s="1349"/>
      <c r="M14" s="1331"/>
      <c r="N14" s="1331"/>
      <c r="P14" s="1326"/>
      <c r="Q14" s="1327"/>
      <c r="R14" s="1326"/>
      <c r="S14" s="1332"/>
      <c r="T14" s="1333" t="s">
        <v>437</v>
      </c>
      <c r="U14" s="1334"/>
      <c r="V14" s="1334"/>
      <c r="W14" s="1334"/>
      <c r="X14" s="1334"/>
      <c r="Y14" s="1334"/>
      <c r="Z14" s="1334"/>
      <c r="AA14" s="1334"/>
      <c r="AB14" s="1334"/>
      <c r="AC14" s="1334"/>
      <c r="AD14" s="1334"/>
      <c r="AE14" s="1334"/>
      <c r="AF14" s="1334"/>
      <c r="AG14" s="1334"/>
      <c r="AH14" s="1334"/>
      <c r="AI14" s="1334"/>
      <c r="AJ14" s="1334"/>
      <c r="AK14" s="1334"/>
      <c r="AL14" s="1334"/>
      <c r="AM14" s="1334"/>
      <c r="AO14" s="799"/>
      <c r="AP14" s="799" t="str">
        <f>IF(T14="","",T14)</f>
        <v>Добавить централизованную систему для дифференциации</v>
      </c>
      <c r="AQ14" s="799"/>
      <c r="AR14" s="799"/>
      <c r="AS14" s="528">
        <v>0</v>
      </c>
    </row>
    <row s="1652" customFormat="1" customHeight="1" ht="0.75" hidden="1">
      <c r="A15" s="1324"/>
      <c r="B15" s="1324"/>
      <c r="C15" s="1324"/>
      <c r="D15" s="1324"/>
      <c r="E15" s="2268"/>
      <c r="F15" s="1324"/>
      <c r="G15" s="1324"/>
      <c r="H15" s="1324"/>
      <c r="I15" s="1324"/>
      <c r="J15" s="1324"/>
      <c r="K15" s="1324"/>
      <c r="L15" s="1349"/>
      <c r="M15" s="1331"/>
      <c r="N15" s="1331"/>
      <c r="P15" s="1326"/>
      <c r="Q15" s="1327"/>
      <c r="R15" s="1326"/>
      <c r="S15" s="1332"/>
      <c r="T15" s="1335" t="s">
        <v>438</v>
      </c>
      <c r="U15" s="1334"/>
      <c r="V15" s="1334"/>
      <c r="W15" s="1334"/>
      <c r="X15" s="1334"/>
      <c r="Y15" s="1334"/>
      <c r="Z15" s="1334"/>
      <c r="AA15" s="1334"/>
      <c r="AB15" s="1334"/>
      <c r="AC15" s="1334"/>
      <c r="AD15" s="1334"/>
      <c r="AE15" s="1334"/>
      <c r="AF15" s="1334"/>
      <c r="AG15" s="1334"/>
      <c r="AH15" s="1334"/>
      <c r="AI15" s="1334"/>
      <c r="AJ15" s="1334"/>
      <c r="AK15" s="1334"/>
      <c r="AL15" s="1334"/>
      <c r="AM15" s="1334"/>
      <c r="AO15" s="799"/>
      <c r="AP15" s="799" t="str">
        <f>IF(T15="","",T15)</f>
        <v>Добавить территорию для дифференциации</v>
      </c>
      <c r="AQ15" s="799"/>
      <c r="AR15" s="799"/>
      <c r="AS15" s="528">
        <v>0</v>
      </c>
    </row>
    <row customHeight="1" ht="14.25" hidden="1">
      <c r="AC16" s="337"/>
      <c r="AK16" s="337"/>
      <c r="AS16" s="1165">
        <v>0</v>
      </c>
    </row>
    <row customHeight="1" ht="14.25" hidden="1">
      <c r="AD17" s="1370"/>
      <c r="AE17" s="1370"/>
      <c r="AF17" s="1370"/>
      <c r="AG17" s="1371"/>
      <c r="AH17" s="2277"/>
      <c r="AI17" s="2278" t="s">
        <v>66</v>
      </c>
      <c r="AJ17" s="2277"/>
      <c r="AK17" s="2278" t="s">
        <v>66</v>
      </c>
      <c r="AS17" s="1165">
        <v>0</v>
      </c>
    </row>
    <row customHeight="1" ht="14.25" hidden="1">
      <c r="AD18" s="1370"/>
      <c r="AE18" s="1370"/>
      <c r="AF18" s="1370"/>
      <c r="AG18" s="338" t="str">
        <f>AH17&amp;"-"&amp;AJ17</f>
        <v>-</v>
      </c>
      <c r="AH18" s="2278"/>
      <c r="AI18" s="2278"/>
      <c r="AJ18" s="2278"/>
      <c r="AK18" s="2278"/>
      <c r="AS18" s="1165">
        <v>0</v>
      </c>
    </row>
    <row customHeight="1" ht="14.25" hidden="1">
      <c r="AK19" s="337"/>
      <c r="AS19" s="1165">
        <v>0</v>
      </c>
    </row>
    <row s="1376" customFormat="1" customHeight="1" ht="22.5" hidden="1">
      <c r="L20" s="1339"/>
      <c r="M20" s="1372"/>
      <c r="N20" s="1372"/>
      <c r="O20" s="1377" t="s">
        <v>439</v>
      </c>
      <c r="P20" s="1372"/>
      <c r="Q20" s="1381"/>
      <c r="R20" s="1381"/>
      <c r="S20" s="739"/>
      <c r="Z20" s="1377"/>
      <c r="AB20" s="1377"/>
      <c r="AC20" s="1376"/>
      <c r="AH20" s="1377"/>
      <c r="AJ20" s="1377"/>
      <c r="AK20" s="1376"/>
      <c r="AN20" s="521"/>
      <c r="AO20" s="521"/>
      <c r="AP20" s="521"/>
      <c r="AQ20" s="521"/>
      <c r="AR20" s="521"/>
      <c r="AS20" s="1170">
        <v>0</v>
      </c>
    </row>
    <row s="1376" customFormat="1" customHeight="1" ht="14.25" hidden="1">
      <c r="L21" s="1339"/>
      <c r="M21" s="1372"/>
      <c r="N21" s="1372"/>
      <c r="O21" s="1372"/>
      <c r="P21" s="1372"/>
      <c r="Q21" s="1381"/>
      <c r="R21" s="1381"/>
      <c r="S21" s="739"/>
      <c r="AC21" s="1376"/>
      <c r="AK21" s="1376"/>
      <c r="AN21" s="521"/>
      <c r="AO21" s="521"/>
      <c r="AP21" s="521"/>
      <c r="AQ21" s="521"/>
      <c r="AR21" s="521"/>
      <c r="AS21" s="1170">
        <v>0</v>
      </c>
    </row>
    <row s="1376" customFormat="1" customHeight="1" ht="33.75" hidden="1">
      <c r="L22" s="1339"/>
      <c r="M22" s="1372"/>
      <c r="N22" s="1372"/>
      <c r="O22" s="1374" t="s">
        <v>440</v>
      </c>
      <c r="P22" s="1372"/>
      <c r="Q22" s="1381"/>
      <c r="R22" s="1381"/>
      <c r="S22" s="739"/>
      <c r="T22" s="1170" t="s">
        <v>441</v>
      </c>
      <c r="AA22" s="196" t="s">
        <v>442</v>
      </c>
      <c r="AC22" s="196" t="s">
        <v>443</v>
      </c>
      <c r="AD22" s="1170" t="s">
        <v>441</v>
      </c>
      <c r="AI22" s="196" t="s">
        <v>444</v>
      </c>
      <c r="AK22" s="196" t="s">
        <v>443</v>
      </c>
      <c r="AN22" s="521"/>
      <c r="AO22" s="521"/>
      <c r="AP22" s="521"/>
      <c r="AQ22" s="521"/>
      <c r="AR22" s="521"/>
      <c r="AS22" s="1170">
        <v>0</v>
      </c>
    </row>
    <row customHeight="1" ht="14.25" hidden="1">
      <c r="O23" s="1374"/>
      <c r="AS23" s="1165">
        <v>0</v>
      </c>
    </row>
    <row customHeight="1" ht="14.25" hidden="1">
      <c r="O24" s="1374"/>
      <c r="AS24" s="1165">
        <v>0</v>
      </c>
    </row>
    <row customHeight="1" ht="14.699999999999998">
      <c r="Q25" s="386"/>
      <c r="R25" s="386"/>
      <c r="S25" s="1285"/>
      <c r="T25" s="373"/>
      <c r="U25" s="373"/>
      <c r="V25" s="519"/>
      <c r="W25" s="519"/>
      <c r="X25" s="519"/>
      <c r="Y25" s="519"/>
      <c r="Z25" s="519"/>
      <c r="AA25" s="519"/>
      <c r="AB25" s="519"/>
      <c r="AC25" s="519"/>
      <c r="AD25" s="519"/>
      <c r="AE25" s="519"/>
      <c r="AF25" s="519"/>
      <c r="AG25" s="519"/>
      <c r="AH25" s="519"/>
      <c r="AI25" s="519"/>
      <c r="AJ25" s="519"/>
      <c r="AK25" s="519"/>
      <c r="AS25" s="1165">
        <v>14</v>
      </c>
    </row>
    <row customHeight="1" ht="29.25">
      <c r="Q26" s="386"/>
      <c r="R26" s="386"/>
      <c r="S26" s="225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8"/>
      <c r="U26" s="2258"/>
      <c r="V26" s="2258"/>
      <c r="W26" s="2258"/>
      <c r="X26" s="2258"/>
      <c r="Y26" s="2258"/>
      <c r="Z26" s="2258"/>
      <c r="AA26" s="2258"/>
      <c r="AB26" s="2258"/>
      <c r="AC26" s="2258"/>
      <c r="AD26" s="2258"/>
      <c r="AE26" s="2258"/>
      <c r="AF26" s="2258"/>
      <c r="AG26" s="2258"/>
      <c r="AH26" s="2258"/>
      <c r="AI26" s="2258"/>
      <c r="AJ26" s="2258"/>
      <c r="AK26" s="1253"/>
      <c r="AS26" s="1165">
        <v>28</v>
      </c>
    </row>
    <row customHeight="1" ht="14.699999999999998">
      <c r="Q27" s="386"/>
      <c r="R27" s="386"/>
      <c r="S27" s="2259" t="str">
        <f>IF(org=0,"Не определено",org)</f>
        <v>АО «ДГК» СП «Нерюнгринская ГРЭС»</v>
      </c>
      <c r="T27" s="2259"/>
      <c r="U27" s="2259"/>
      <c r="V27" s="2259"/>
      <c r="W27" s="2259"/>
      <c r="X27" s="2259"/>
      <c r="Y27" s="2259"/>
      <c r="Z27" s="2259"/>
      <c r="AA27" s="2259"/>
      <c r="AB27" s="2259"/>
      <c r="AC27" s="2259"/>
      <c r="AD27" s="2259"/>
      <c r="AE27" s="2259"/>
      <c r="AF27" s="2259"/>
      <c r="AG27" s="2259"/>
      <c r="AH27" s="2259"/>
      <c r="AI27" s="2259"/>
      <c r="AJ27" s="2259"/>
      <c r="AK27" s="1253"/>
      <c r="AS27" s="1165">
        <v>14</v>
      </c>
    </row>
    <row customHeight="1" ht="14.25" hidden="1">
      <c r="Q28" s="386"/>
      <c r="R28" s="386"/>
      <c r="S28" s="1285"/>
      <c r="T28" s="373"/>
      <c r="U28" s="373"/>
      <c r="V28" s="332"/>
      <c r="W28" s="332"/>
      <c r="X28" s="332"/>
      <c r="Y28" s="332"/>
      <c r="Z28" s="332"/>
      <c r="AA28" s="332"/>
      <c r="AB28" s="332"/>
      <c r="AC28" s="332"/>
      <c r="AD28" s="332"/>
      <c r="AE28" s="332"/>
      <c r="AF28" s="332"/>
      <c r="AG28" s="332"/>
      <c r="AH28" s="332"/>
      <c r="AI28" s="332"/>
      <c r="AJ28" s="332"/>
      <c r="AK28" s="332"/>
      <c r="AL28" s="519"/>
      <c r="AS28" s="1165">
        <v>0</v>
      </c>
    </row>
    <row s="1863" customFormat="1" customHeight="1" ht="25.5" hidden="1">
      <c r="A29" s="1378"/>
      <c r="B29" s="1378"/>
      <c r="C29" s="1378"/>
      <c r="D29" s="1378"/>
      <c r="E29" s="1378"/>
      <c r="F29" s="1378"/>
      <c r="G29" s="1378"/>
      <c r="H29" s="1378"/>
      <c r="I29" s="1378"/>
      <c r="J29" s="1378"/>
      <c r="K29" s="1378"/>
      <c r="L29" s="1379"/>
      <c r="M29" s="1378"/>
      <c r="N29" s="1378"/>
      <c r="O29" s="1378"/>
      <c r="S29" s="2260" t="s">
        <v>42</v>
      </c>
      <c r="T29" s="2260"/>
      <c r="U29" s="1382"/>
      <c r="V29" s="2261" t="str">
        <f>IF(TITLE_NAME_OR_PR_CHANGE="",IF(TITLE_NAME_OR_PR="","",TITLE_NAME_OR_PR),TITLE_NAME_OR_PR_CHANGE)</f>
        <v/>
      </c>
      <c r="W29" s="2261"/>
      <c r="X29" s="2261"/>
      <c r="Y29" s="2261"/>
      <c r="Z29" s="2261"/>
      <c r="AA29" s="2261"/>
      <c r="AB29" s="2261"/>
      <c r="AC29" s="336"/>
      <c r="AD29" s="2261" t="str">
        <f>IF(TITLE_NAME_OR_PR_CHANGE="",IF(TITLE_NAME_OR_PR="","",TITLE_NAME_OR_PR),TITLE_NAME_OR_PR_CHANGE)</f>
        <v/>
      </c>
      <c r="AE29" s="2261"/>
      <c r="AF29" s="2261"/>
      <c r="AG29" s="2261"/>
      <c r="AH29" s="2261"/>
      <c r="AI29" s="2261"/>
      <c r="AJ29" s="2261"/>
      <c r="AK29" s="336"/>
      <c r="AL29" s="336"/>
      <c r="AM29" s="290"/>
      <c r="AN29" s="378"/>
      <c r="AO29" s="378"/>
      <c r="AP29" s="378"/>
      <c r="AQ29" s="378"/>
      <c r="AR29" s="378"/>
      <c r="AS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445</v>
      </c>
      <c r="T30" s="2260"/>
      <c r="U30" s="1382"/>
      <c r="V30" s="2274" t="str">
        <f>IF(TITLE_DATE_PR_CHANGE="",IF(TITLE_DATE_PR="","",TITLE_DATE_PR),TITLE_DATE_PR_CHANGE)</f>
        <v/>
      </c>
      <c r="W30" s="2274"/>
      <c r="X30" s="2274"/>
      <c r="Y30" s="2274"/>
      <c r="Z30" s="2274"/>
      <c r="AA30" s="2274"/>
      <c r="AB30" s="2274"/>
      <c r="AC30" s="336"/>
      <c r="AD30" s="2274" t="str">
        <f>IF(TITLE_DATE_PR_CHANGE="",IF(TITLE_DATE_PR="","",TITLE_DATE_PR),TITLE_DATE_PR_CHANGE)</f>
        <v/>
      </c>
      <c r="AE30" s="2274"/>
      <c r="AF30" s="2274"/>
      <c r="AG30" s="2274"/>
      <c r="AH30" s="2274"/>
      <c r="AI30" s="2274"/>
      <c r="AJ30" s="2274"/>
      <c r="AK30" s="336"/>
      <c r="AL30" s="336"/>
      <c r="AM30" s="290"/>
      <c r="AN30" s="378"/>
      <c r="AO30" s="378"/>
      <c r="AP30" s="378"/>
      <c r="AQ30" s="378"/>
      <c r="AR30" s="378"/>
      <c r="AS30" s="428">
        <v>0</v>
      </c>
    </row>
    <row s="1863" customFormat="1" customHeight="1" ht="18.75" hidden="1">
      <c r="A31" s="1378"/>
      <c r="B31" s="1378"/>
      <c r="C31" s="1378"/>
      <c r="D31" s="1378"/>
      <c r="E31" s="1378"/>
      <c r="F31" s="1378"/>
      <c r="G31" s="1378"/>
      <c r="H31" s="1378"/>
      <c r="I31" s="1378"/>
      <c r="J31" s="1378"/>
      <c r="K31" s="1378"/>
      <c r="L31" s="1379"/>
      <c r="M31" s="1378"/>
      <c r="N31" s="1378"/>
      <c r="O31" s="1378"/>
      <c r="S31" s="2260" t="s">
        <v>446</v>
      </c>
      <c r="T31" s="2260"/>
      <c r="U31" s="1382"/>
      <c r="V31" s="2261" t="str">
        <f>IF(TITLE_NUMBER_PR_CHANGE="",IF(TITLE_NUMBER_PR="","",TITLE_NUMBER_PR),TITLE_NUMBER_PR_CHANGE)</f>
        <v/>
      </c>
      <c r="W31" s="2261"/>
      <c r="X31" s="2261"/>
      <c r="Y31" s="2261"/>
      <c r="Z31" s="2261"/>
      <c r="AA31" s="2261"/>
      <c r="AB31" s="2261"/>
      <c r="AC31" s="336"/>
      <c r="AD31" s="2261" t="str">
        <f>IF(TITLE_NUMBER_PR_CHANGE="",IF(TITLE_NUMBER_PR="","",TITLE_NUMBER_PR),TITLE_NUMBER_PR_CHANGE)</f>
        <v/>
      </c>
      <c r="AE31" s="2261"/>
      <c r="AF31" s="2261"/>
      <c r="AG31" s="2261"/>
      <c r="AH31" s="2261"/>
      <c r="AI31" s="2261"/>
      <c r="AJ31" s="2261"/>
      <c r="AK31" s="336"/>
      <c r="AL31" s="336"/>
      <c r="AM31" s="290"/>
      <c r="AN31" s="378"/>
      <c r="AO31" s="378"/>
      <c r="AP31" s="378"/>
      <c r="AQ31" s="378"/>
      <c r="AR31" s="378"/>
      <c r="AS31" s="428">
        <v>0</v>
      </c>
    </row>
    <row s="1863" customFormat="1" customHeight="1" ht="18.75" hidden="1">
      <c r="A32" s="1378"/>
      <c r="B32" s="1378"/>
      <c r="C32" s="1378"/>
      <c r="D32" s="1378"/>
      <c r="E32" s="1378"/>
      <c r="F32" s="1378"/>
      <c r="G32" s="1378"/>
      <c r="H32" s="1378"/>
      <c r="I32" s="1378"/>
      <c r="J32" s="1378"/>
      <c r="K32" s="1378"/>
      <c r="L32" s="1379"/>
      <c r="M32" s="1378"/>
      <c r="N32" s="1378"/>
      <c r="O32" s="1378"/>
      <c r="S32" s="2260" t="s">
        <v>43</v>
      </c>
      <c r="T32" s="2260"/>
      <c r="U32" s="1382"/>
      <c r="V32" s="2261" t="str">
        <f>IF(TITLE_IST_PUB_CHANGE="",IF(TITLE_IST_PUB="","",TITLE_IST_PUB),TITLE_IST_PUB_CHANGE)</f>
        <v/>
      </c>
      <c r="W32" s="2261"/>
      <c r="X32" s="2261"/>
      <c r="Y32" s="2261"/>
      <c r="Z32" s="2261"/>
      <c r="AA32" s="2261"/>
      <c r="AB32" s="2261"/>
      <c r="AC32" s="336"/>
      <c r="AD32" s="2261" t="str">
        <f>IF(TITLE_IST_PUB_CHANGE="",IF(TITLE_IST_PUB="","",TITLE_IST_PUB),TITLE_IST_PUB_CHANGE)</f>
        <v/>
      </c>
      <c r="AE32" s="2261"/>
      <c r="AF32" s="2261"/>
      <c r="AG32" s="2261"/>
      <c r="AH32" s="2261"/>
      <c r="AI32" s="2261"/>
      <c r="AJ32" s="2261"/>
      <c r="AK32" s="336"/>
      <c r="AL32" s="336"/>
      <c r="AM32" s="290"/>
      <c r="AN32" s="378"/>
      <c r="AO32" s="378"/>
      <c r="AP32" s="378"/>
      <c r="AQ32" s="378"/>
      <c r="AR32" s="378"/>
      <c r="AS32" s="428">
        <v>0</v>
      </c>
    </row>
    <row customHeight="1" ht="14.25" hidden="1">
      <c r="Q33" s="386"/>
      <c r="R33" s="386"/>
      <c r="S33" s="1285"/>
      <c r="T33" s="373"/>
      <c r="U33" s="373"/>
      <c r="V33" s="332"/>
      <c r="W33" s="332"/>
      <c r="X33" s="332"/>
      <c r="Y33" s="332"/>
      <c r="Z33" s="332"/>
      <c r="AA33" s="332"/>
      <c r="AB33" s="332"/>
      <c r="AC33" s="332"/>
      <c r="AD33" s="332"/>
      <c r="AE33" s="332"/>
      <c r="AF33" s="332"/>
      <c r="AG33" s="332"/>
      <c r="AH33" s="332"/>
      <c r="AI33" s="332"/>
      <c r="AJ33" s="332"/>
      <c r="AK33" s="332"/>
      <c r="AL33" s="519"/>
      <c r="AS33" s="1165">
        <v>0</v>
      </c>
    </row>
    <row s="1863" customFormat="1" customHeight="1" ht="18.75" hidden="1">
      <c r="A34" s="1378"/>
      <c r="B34" s="1378"/>
      <c r="C34" s="1378"/>
      <c r="D34" s="1378"/>
      <c r="E34" s="1378"/>
      <c r="F34" s="1378"/>
      <c r="G34" s="1378"/>
      <c r="H34" s="1378"/>
      <c r="I34" s="1378"/>
      <c r="J34" s="1378"/>
      <c r="K34" s="1378"/>
      <c r="L34" s="1379"/>
      <c r="M34" s="1378"/>
      <c r="N34" s="1378"/>
      <c r="O34" s="1378"/>
      <c r="S34" s="2260" t="s">
        <v>447</v>
      </c>
      <c r="T34" s="2260"/>
      <c r="U34" s="1382"/>
      <c r="V34" s="2274" t="str">
        <f>IF(TITLE_DATE_PR_CHANGE="",IF(TITLE_DATE_PR="","",TITLE_DATE_PR),TITLE_DATE_PR_CHANGE)</f>
        <v/>
      </c>
      <c r="W34" s="2274"/>
      <c r="X34" s="2274"/>
      <c r="Y34" s="2274"/>
      <c r="Z34" s="2274"/>
      <c r="AA34" s="2274"/>
      <c r="AB34" s="2274"/>
      <c r="AC34" s="336"/>
      <c r="AD34" s="2274" t="str">
        <f>IF(TITLE_DATE_PR_CHANGE="",IF(TITLE_DATE_PR="","",TITLE_DATE_PR),TITLE_DATE_PR_CHANGE)</f>
        <v/>
      </c>
      <c r="AE34" s="2274"/>
      <c r="AF34" s="2274"/>
      <c r="AG34" s="2274"/>
      <c r="AH34" s="2274"/>
      <c r="AI34" s="2274"/>
      <c r="AJ34" s="2274"/>
      <c r="AK34" s="336"/>
      <c r="AL34" s="336"/>
      <c r="AM34" s="290"/>
      <c r="AN34" s="378"/>
      <c r="AO34" s="378"/>
      <c r="AP34" s="378"/>
      <c r="AQ34" s="378"/>
      <c r="AR34" s="378"/>
      <c r="AS34" s="428">
        <v>0</v>
      </c>
    </row>
    <row s="1863" customFormat="1" customHeight="1" ht="18.75" hidden="1">
      <c r="A35" s="1378"/>
      <c r="B35" s="1378"/>
      <c r="C35" s="1378"/>
      <c r="D35" s="1378"/>
      <c r="E35" s="1378"/>
      <c r="F35" s="1378"/>
      <c r="G35" s="1378"/>
      <c r="H35" s="1378"/>
      <c r="I35" s="1378"/>
      <c r="J35" s="1378"/>
      <c r="K35" s="1378"/>
      <c r="L35" s="1379"/>
      <c r="M35" s="1378"/>
      <c r="N35" s="1378"/>
      <c r="O35" s="1378"/>
      <c r="S35" s="2260" t="s">
        <v>448</v>
      </c>
      <c r="T35" s="2260"/>
      <c r="U35" s="1382"/>
      <c r="V35" s="2261" t="str">
        <f>IF(TITLE_NUMBER_PR_CHANGE="",IF(TITLE_NUMBER_PR="","",TITLE_NUMBER_PR),TITLE_NUMBER_PR_CHANGE)</f>
        <v/>
      </c>
      <c r="W35" s="2261"/>
      <c r="X35" s="2261"/>
      <c r="Y35" s="2261"/>
      <c r="Z35" s="2261"/>
      <c r="AA35" s="2261"/>
      <c r="AB35" s="2261"/>
      <c r="AC35" s="336"/>
      <c r="AD35" s="2261" t="str">
        <f>IF(TITLE_NUMBER_PR_CHANGE="",IF(TITLE_NUMBER_PR="","",TITLE_NUMBER_PR),TITLE_NUMBER_PR_CHANGE)</f>
        <v/>
      </c>
      <c r="AE35" s="2261"/>
      <c r="AF35" s="2261"/>
      <c r="AG35" s="2261"/>
      <c r="AH35" s="2261"/>
      <c r="AI35" s="2261"/>
      <c r="AJ35" s="2261"/>
      <c r="AK35" s="336"/>
      <c r="AL35" s="336"/>
      <c r="AM35" s="290"/>
      <c r="AN35" s="378"/>
      <c r="AO35" s="378"/>
      <c r="AP35" s="378"/>
      <c r="AQ35" s="378"/>
      <c r="AR35" s="378"/>
      <c r="AS35" s="428">
        <v>0</v>
      </c>
    </row>
    <row s="1863" customFormat="1" customHeight="1" ht="0">
      <c r="A36" s="1378"/>
      <c r="B36" s="1378"/>
      <c r="C36" s="1378"/>
      <c r="D36" s="1378"/>
      <c r="E36" s="1378"/>
      <c r="F36" s="1378"/>
      <c r="G36" s="1378"/>
      <c r="H36" s="1378"/>
      <c r="I36" s="1378"/>
      <c r="J36" s="1378"/>
      <c r="K36" s="1378"/>
      <c r="L36" s="1379"/>
      <c r="M36" s="1378"/>
      <c r="N36" s="1378"/>
      <c r="O36" s="1378"/>
      <c r="S36" s="333"/>
      <c r="T36" s="333"/>
      <c r="U36" s="1350"/>
      <c r="V36" s="336"/>
      <c r="W36" s="336"/>
      <c r="X36" s="336"/>
      <c r="Y36" s="336"/>
      <c r="Z36" s="336"/>
      <c r="AA36" s="336"/>
      <c r="AB36" s="336"/>
      <c r="AC36" s="288" t="s">
        <v>449</v>
      </c>
      <c r="AD36" s="336"/>
      <c r="AE36" s="336"/>
      <c r="AF36" s="336"/>
      <c r="AG36" s="336"/>
      <c r="AH36" s="336"/>
      <c r="AI36" s="336"/>
      <c r="AJ36" s="336"/>
      <c r="AK36" s="288" t="s">
        <v>449</v>
      </c>
      <c r="AN36" s="378"/>
      <c r="AO36" s="378"/>
      <c r="AP36" s="378"/>
      <c r="AQ36" s="378"/>
      <c r="AR36" s="378"/>
      <c r="AS36" s="428">
        <v>0</v>
      </c>
    </row>
    <row customHeight="1" ht="14.699999999999998">
      <c r="Q37" s="386"/>
      <c r="R37" s="386"/>
      <c r="S37" s="1285"/>
      <c r="T37" s="373"/>
      <c r="U37" s="1254"/>
      <c r="V37" s="2262"/>
      <c r="W37" s="2262"/>
      <c r="X37" s="2262"/>
      <c r="Y37" s="2262"/>
      <c r="Z37" s="2262"/>
      <c r="AA37" s="2262"/>
      <c r="AB37" s="2262"/>
      <c r="AC37" s="2262"/>
      <c r="AD37" s="2262"/>
      <c r="AE37" s="2262"/>
      <c r="AF37" s="2262"/>
      <c r="AG37" s="2262"/>
      <c r="AH37" s="2262"/>
      <c r="AI37" s="2262"/>
      <c r="AJ37" s="2262"/>
      <c r="AK37" s="2262"/>
      <c r="AS37" s="1165">
        <v>14</v>
      </c>
    </row>
    <row customHeight="1" ht="14.699999999999998">
      <c r="Q38" s="386"/>
      <c r="R38" s="386"/>
      <c r="S38" s="2137" t="s">
        <v>322</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323</v>
      </c>
      <c r="AS38" s="1165">
        <v>14</v>
      </c>
    </row>
    <row customHeight="1" ht="14.699999999999998">
      <c r="Q39" s="386"/>
      <c r="R39" s="386"/>
      <c r="S39" s="2283" t="s">
        <v>88</v>
      </c>
      <c r="T39" s="2219" t="s">
        <v>450</v>
      </c>
      <c r="U39" s="311"/>
      <c r="V39" s="2284" t="s">
        <v>451</v>
      </c>
      <c r="W39" s="2285"/>
      <c r="X39" s="2301"/>
      <c r="Y39" s="2301"/>
      <c r="Z39" s="2285"/>
      <c r="AA39" s="2285"/>
      <c r="AB39" s="2286"/>
      <c r="AC39" s="2287" t="s">
        <v>452</v>
      </c>
      <c r="AD39" s="2284" t="s">
        <v>451</v>
      </c>
      <c r="AE39" s="2285"/>
      <c r="AF39" s="2301"/>
      <c r="AG39" s="2301"/>
      <c r="AH39" s="2285"/>
      <c r="AI39" s="2285"/>
      <c r="AJ39" s="2286"/>
      <c r="AK39" s="2287" t="s">
        <v>453</v>
      </c>
      <c r="AL39" s="2290" t="s">
        <v>454</v>
      </c>
      <c r="AM39" s="2137"/>
      <c r="AS39" s="1165">
        <v>14</v>
      </c>
    </row>
    <row customHeight="1" ht="24">
      <c r="Q40" s="386"/>
      <c r="R40" s="386"/>
      <c r="S40" s="2283"/>
      <c r="T40" s="2219"/>
      <c r="U40" s="1041"/>
      <c r="V40" s="2302" t="s">
        <v>455</v>
      </c>
      <c r="W40" s="2304" t="s">
        <v>456</v>
      </c>
      <c r="X40" s="1386" t="s">
        <v>457</v>
      </c>
      <c r="Y40" s="1386"/>
      <c r="Z40" s="2279" t="s">
        <v>458</v>
      </c>
      <c r="AA40" s="2279"/>
      <c r="AB40" s="2273"/>
      <c r="AC40" s="2288"/>
      <c r="AD40" s="2302" t="s">
        <v>455</v>
      </c>
      <c r="AE40" s="2304" t="s">
        <v>456</v>
      </c>
      <c r="AF40" s="1386" t="s">
        <v>457</v>
      </c>
      <c r="AG40" s="1386"/>
      <c r="AH40" s="2279" t="s">
        <v>458</v>
      </c>
      <c r="AI40" s="2279"/>
      <c r="AJ40" s="2273"/>
      <c r="AK40" s="2288"/>
      <c r="AL40" s="2291"/>
      <c r="AM40" s="2137"/>
      <c r="AS40" s="1165">
        <v>23</v>
      </c>
    </row>
    <row s="1276" customFormat="1" customHeight="1" ht="24">
      <c r="A41" s="1380"/>
      <c r="B41" s="1380" t="s">
        <v>159</v>
      </c>
      <c r="C41" s="1380" t="s">
        <v>160</v>
      </c>
      <c r="D41" s="1380" t="s">
        <v>161</v>
      </c>
      <c r="E41" s="1374" t="s">
        <v>459</v>
      </c>
      <c r="F41" s="1374" t="s">
        <v>460</v>
      </c>
      <c r="G41" s="1374" t="s">
        <v>461</v>
      </c>
      <c r="H41" s="1374" t="s">
        <v>462</v>
      </c>
      <c r="I41" s="1374" t="s">
        <v>463</v>
      </c>
      <c r="J41" s="1374" t="s">
        <v>464</v>
      </c>
      <c r="K41" s="1374" t="s">
        <v>465</v>
      </c>
      <c r="L41" s="1374" t="s">
        <v>440</v>
      </c>
      <c r="M41" s="1372"/>
      <c r="N41" s="1372"/>
      <c r="O41" s="1372"/>
      <c r="P41" s="1338"/>
      <c r="Q41" s="386"/>
      <c r="R41" s="386"/>
      <c r="S41" s="2283"/>
      <c r="T41" s="2219"/>
      <c r="U41" s="312"/>
      <c r="V41" s="2303"/>
      <c r="W41" s="2305"/>
      <c r="X41" s="1383" t="s">
        <v>466</v>
      </c>
      <c r="Y41" s="1383" t="s">
        <v>467</v>
      </c>
      <c r="Z41" s="1344" t="s">
        <v>468</v>
      </c>
      <c r="AA41" s="2280" t="s">
        <v>469</v>
      </c>
      <c r="AB41" s="2281"/>
      <c r="AC41" s="2289"/>
      <c r="AD41" s="2303"/>
      <c r="AE41" s="2305"/>
      <c r="AF41" s="1383" t="s">
        <v>466</v>
      </c>
      <c r="AG41" s="1383" t="s">
        <v>467</v>
      </c>
      <c r="AH41" s="1344" t="s">
        <v>468</v>
      </c>
      <c r="AI41" s="2280" t="s">
        <v>469</v>
      </c>
      <c r="AJ41" s="2281"/>
      <c r="AK41" s="2289"/>
      <c r="AL41" s="2292"/>
      <c r="AM41" s="2137"/>
      <c r="AN41" s="521"/>
      <c r="AO41" s="510"/>
      <c r="AP41" s="510"/>
      <c r="AQ41" s="510"/>
      <c r="AR41" s="510"/>
      <c r="AS41" s="592">
        <v>23</v>
      </c>
    </row>
    <row s="1651" customFormat="1" customHeight="1" ht="11.25" hidden="1">
      <c r="A42" s="1380"/>
      <c r="B42" s="1380"/>
      <c r="C42" s="1380"/>
      <c r="D42" s="1380"/>
      <c r="E42" s="1380"/>
      <c r="F42" s="1380"/>
      <c r="G42" s="1380"/>
      <c r="H42" s="1380"/>
      <c r="I42" s="1380"/>
      <c r="J42" s="1380"/>
      <c r="K42" s="1380"/>
      <c r="L42" s="1374"/>
      <c r="M42" s="1372"/>
      <c r="N42" s="1372"/>
      <c r="O42" s="1372"/>
      <c r="P42" s="1256"/>
      <c r="Q42" s="1257"/>
      <c r="R42" s="1264">
        <v>1</v>
      </c>
      <c r="S42" s="1287" t="s">
        <v>124</v>
      </c>
      <c r="T42" s="1265" t="s">
        <v>104</v>
      </c>
      <c r="U42" s="1255" t="str">
        <f>OFFSET(U42,0,-1)</f>
        <v>2</v>
      </c>
      <c r="V42" s="1345">
        <f>OFFSET(V42,0,-1)+1</f>
        <v>3</v>
      </c>
      <c r="W42" s="1345"/>
      <c r="X42" s="1351">
        <f>OFFSET(X42,0,-1)+1</f>
        <v>1</v>
      </c>
      <c r="Y42" s="1351">
        <f>OFFSET(Y42,0,-1)+1</f>
        <v>2</v>
      </c>
      <c r="Z42" s="1345">
        <f>OFFSET(Z42,0,-1)+1</f>
        <v>3</v>
      </c>
      <c r="AA42" s="2282">
        <f>OFFSET(AA42,0,-1)+1</f>
        <v>4</v>
      </c>
      <c r="AB42" s="2282"/>
      <c r="AC42" s="1345">
        <f>OFFSET(AC42,0,-2)+1</f>
        <v>5</v>
      </c>
      <c r="AD42" s="1345">
        <f>OFFSET(AD42,0,-1)+1</f>
        <v>6</v>
      </c>
      <c r="AE42" s="1345"/>
      <c r="AF42" s="1351">
        <f>OFFSET(AF42,0,-1)+1</f>
        <v>1</v>
      </c>
      <c r="AG42" s="1351">
        <f>OFFSET(AG42,0,-1)+1</f>
        <v>2</v>
      </c>
      <c r="AH42" s="1345">
        <f>OFFSET(AH42,0,-1)+1</f>
        <v>3</v>
      </c>
      <c r="AI42" s="2282">
        <f>OFFSET(AI42,0,-1)+1</f>
        <v>4</v>
      </c>
      <c r="AJ42" s="2282"/>
      <c r="AK42" s="1345">
        <f>OFFSET(AK42,0,-2)+1</f>
        <v>5</v>
      </c>
      <c r="AL42" s="1255">
        <f>OFFSET(AL42,0,-1)</f>
        <v>5</v>
      </c>
      <c r="AM42" s="1345">
        <f>OFFSET(AM42,0,-1)+1</f>
        <v>6</v>
      </c>
      <c r="AN42" s="521"/>
      <c r="AO42" s="521"/>
      <c r="AP42" s="521"/>
      <c r="AQ42" s="521"/>
      <c r="AR42" s="521"/>
      <c r="AS42" s="506">
        <v>0</v>
      </c>
    </row>
    <row customHeight="1" ht="22.049999999999997">
      <c r="A43" s="1373" t="s">
        <v>216</v>
      </c>
      <c r="B43" s="1373"/>
      <c r="C43" s="1373"/>
      <c r="D43" s="1373"/>
      <c r="E43" s="2268">
        <v>1</v>
      </c>
      <c r="F43" s="1373"/>
      <c r="G43" s="1373"/>
      <c r="H43" s="1373"/>
      <c r="I43" s="1373"/>
      <c r="J43" s="1373"/>
      <c r="K43" s="1373"/>
      <c r="L43" s="1374"/>
      <c r="M43" s="1375"/>
      <c r="N43" s="1375"/>
      <c r="O43" s="1375"/>
      <c r="P43" s="371"/>
      <c r="Q43" s="370"/>
      <c r="R43" s="365"/>
      <c r="S43" s="1346">
        <f>INDEX(PT_DIFFERENTIATION_NUM_NTAR,MATCH(A43,PT_DIFFERENTIATION_NTAR_ID,0))</f>
        <v>0</v>
      </c>
      <c r="T43" s="308" t="s">
        <v>147</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0"/>
      <c r="AP43" s="510" t="str">
        <f>IF(T43="","",T43)</f>
        <v>Наименование тарифа</v>
      </c>
      <c r="AQ43" s="510"/>
      <c r="AR43" s="510"/>
      <c r="AS43" s="1165">
        <v>21</v>
      </c>
    </row>
    <row customHeight="1" ht="22.049999999999997">
      <c r="A44" s="1373" t="s">
        <v>216</v>
      </c>
      <c r="B44" s="1373" t="s">
        <v>217</v>
      </c>
      <c r="C44" s="1373"/>
      <c r="D44" s="1373"/>
      <c r="E44" s="2269"/>
      <c r="F44" s="2268">
        <v>1</v>
      </c>
      <c r="G44" s="1373"/>
      <c r="H44" s="1373"/>
      <c r="I44" s="1373"/>
      <c r="J44" s="1373"/>
      <c r="K44" s="1373"/>
      <c r="L44" s="1374"/>
      <c r="M44" s="1375"/>
      <c r="N44" s="1375"/>
      <c r="O44" s="1375"/>
      <c r="P44" s="1342"/>
      <c r="Q44" s="362"/>
      <c r="R44" s="363"/>
      <c r="S44" s="1346" t="str">
        <f>INDEX(PT_DIFFERENTIATION_NUM_TER,MATCH(B44,PT_DIFFERENTIATION_TER_ID,0))</f>
        <v>.</v>
      </c>
      <c r="T44" s="318" t="s">
        <v>419</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420</v>
      </c>
      <c r="AO44" s="510"/>
      <c r="AP44" s="510" t="str">
        <f>IF(T44="","",T44)</f>
        <v>Территория действия тарифа</v>
      </c>
      <c r="AQ44" s="510"/>
      <c r="AR44" s="510"/>
      <c r="AS44" s="1165">
        <v>21</v>
      </c>
    </row>
    <row customHeight="1" ht="24">
      <c r="A45" s="1373" t="s">
        <v>216</v>
      </c>
      <c r="B45" s="1373" t="s">
        <v>217</v>
      </c>
      <c r="C45" s="1373" t="s">
        <v>218</v>
      </c>
      <c r="D45" s="1373"/>
      <c r="E45" s="2269"/>
      <c r="F45" s="2269"/>
      <c r="G45" s="2268">
        <v>1</v>
      </c>
      <c r="H45" s="1373"/>
      <c r="I45" s="1373"/>
      <c r="J45" s="1373"/>
      <c r="K45" s="1373"/>
      <c r="L45" s="1374"/>
      <c r="M45" s="1375"/>
      <c r="N45" s="1375"/>
      <c r="O45" s="1375"/>
      <c r="P45" s="364"/>
      <c r="Q45" s="362"/>
      <c r="R45" s="363"/>
      <c r="S45" s="1346" t="str">
        <f>INDEX(PT_DIFFERENTIATION_NUM_CS,MATCH(C45,PT_DIFFERENTIATION_CS_ID,0))</f>
        <v>..</v>
      </c>
      <c r="T45" s="319" t="s">
        <v>421</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422</v>
      </c>
      <c r="AO45" s="510"/>
      <c r="AP45" s="510" t="str">
        <f>IF(T45="","",T45)</f>
        <v>Наименование системы теплоснабжения </v>
      </c>
      <c r="AQ45" s="510"/>
      <c r="AR45" s="510"/>
      <c r="AS45" s="1165">
        <v>23</v>
      </c>
    </row>
    <row customHeight="1" ht="22.049999999999997">
      <c r="A46" s="1373" t="s">
        <v>216</v>
      </c>
      <c r="B46" s="1373" t="s">
        <v>217</v>
      </c>
      <c r="C46" s="1373" t="s">
        <v>218</v>
      </c>
      <c r="D46" s="1373" t="s">
        <v>219</v>
      </c>
      <c r="E46" s="2269"/>
      <c r="F46" s="2269"/>
      <c r="G46" s="2269"/>
      <c r="H46" s="2268">
        <v>1</v>
      </c>
      <c r="I46" s="1373"/>
      <c r="J46" s="1373"/>
      <c r="K46" s="1373"/>
      <c r="L46" s="1374"/>
      <c r="M46" s="1375"/>
      <c r="N46" s="1375"/>
      <c r="O46" s="1375"/>
      <c r="P46" s="364"/>
      <c r="Q46" s="362"/>
      <c r="R46" s="363"/>
      <c r="S46" s="1346" t="str">
        <f>INDEX(PT_DIFFERENTIATION_NUM_IST_TE,MATCH(D46,PT_DIFFERENTIATION_IST_TE_ID,0))</f>
        <v>...</v>
      </c>
      <c r="T46" s="320" t="s">
        <v>423</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424</v>
      </c>
      <c r="AO46" s="510"/>
      <c r="AP46" s="510" t="str">
        <f>IF(T46="","",T46)</f>
        <v>Источник тепловой энергии  </v>
      </c>
      <c r="AQ46" s="510"/>
      <c r="AR46" s="510"/>
      <c r="AS46" s="1165">
        <v>21</v>
      </c>
    </row>
    <row customHeight="1" ht="49.5">
      <c r="A47" s="1373" t="s">
        <v>216</v>
      </c>
      <c r="B47" s="1373" t="s">
        <v>217</v>
      </c>
      <c r="C47" s="1373" t="s">
        <v>218</v>
      </c>
      <c r="D47" s="1373" t="s">
        <v>219</v>
      </c>
      <c r="E47" s="2269"/>
      <c r="F47" s="2269"/>
      <c r="G47" s="2269"/>
      <c r="H47" s="2269"/>
      <c r="I47" s="2266" t="str">
        <f>S46&amp;".1"</f>
        <v>....1</v>
      </c>
      <c r="J47" s="1373"/>
      <c r="K47" s="1373"/>
      <c r="L47" s="1374" t="s">
        <v>425</v>
      </c>
      <c r="P47" s="2267">
        <v>1</v>
      </c>
      <c r="Q47" s="1341"/>
      <c r="R47" s="366"/>
      <c r="S47" s="1346" t="str">
        <f>$I47</f>
        <v>....1</v>
      </c>
      <c r="T47" s="295" t="s">
        <v>426</v>
      </c>
      <c r="U47" s="310"/>
      <c r="V47" s="2255"/>
      <c r="W47" s="2256"/>
      <c r="X47" s="2256"/>
      <c r="Y47" s="2256"/>
      <c r="Z47" s="2256"/>
      <c r="AA47" s="2256"/>
      <c r="AB47" s="2256"/>
      <c r="AC47" s="2257"/>
      <c r="AD47" s="2255"/>
      <c r="AE47" s="2256"/>
      <c r="AF47" s="2256"/>
      <c r="AG47" s="2256"/>
      <c r="AH47" s="2256"/>
      <c r="AI47" s="2256"/>
      <c r="AJ47" s="2256"/>
      <c r="AK47" s="2256"/>
      <c r="AL47" s="2257"/>
      <c r="AM47" s="1268" t="s">
        <v>427</v>
      </c>
      <c r="AO47" s="510"/>
      <c r="AP47" s="510" t="str">
        <f>IF(T47="","",T47)</f>
        <v>Схема подключения теплопотребляющей установки к коллектору источника тепловой энергии</v>
      </c>
      <c r="AQ47" s="510"/>
      <c r="AR47" s="510"/>
      <c r="AS47" s="1165">
        <v>47</v>
      </c>
    </row>
    <row customHeight="1" ht="22.049999999999997">
      <c r="A48" s="1373" t="s">
        <v>216</v>
      </c>
      <c r="B48" s="1373" t="s">
        <v>217</v>
      </c>
      <c r="C48" s="1373" t="s">
        <v>218</v>
      </c>
      <c r="D48" s="1373" t="s">
        <v>219</v>
      </c>
      <c r="E48" s="2269"/>
      <c r="F48" s="2269"/>
      <c r="G48" s="2269"/>
      <c r="H48" s="2269"/>
      <c r="I48" s="2296"/>
      <c r="J48" s="2266" t="str">
        <f>I47&amp;".1"</f>
        <v>....1.1</v>
      </c>
      <c r="K48" s="1373"/>
      <c r="L48" s="1374" t="s">
        <v>428</v>
      </c>
      <c r="P48" s="2267"/>
      <c r="Q48" s="2267">
        <v>1</v>
      </c>
      <c r="R48" s="367"/>
      <c r="S48" s="1346" t="str">
        <f>$J48</f>
        <v>....1.1</v>
      </c>
      <c r="T48" s="296" t="s">
        <v>429</v>
      </c>
      <c r="U48" s="310"/>
      <c r="V48" s="2255"/>
      <c r="W48" s="2256"/>
      <c r="X48" s="2256"/>
      <c r="Y48" s="2256"/>
      <c r="Z48" s="2256"/>
      <c r="AA48" s="2256"/>
      <c r="AB48" s="2256"/>
      <c r="AC48" s="2257"/>
      <c r="AD48" s="2255"/>
      <c r="AE48" s="2256"/>
      <c r="AF48" s="2256"/>
      <c r="AG48" s="2256"/>
      <c r="AH48" s="2256"/>
      <c r="AI48" s="2256"/>
      <c r="AJ48" s="2256"/>
      <c r="AK48" s="2256"/>
      <c r="AL48" s="2257"/>
      <c r="AM48" s="1268" t="s">
        <v>430</v>
      </c>
      <c r="AO48" s="510"/>
      <c r="AP48" s="510" t="str">
        <f>IF(T48="","",T48)</f>
        <v>Группа потребителей</v>
      </c>
      <c r="AQ48" s="510"/>
      <c r="AR48" s="510"/>
      <c r="AS48" s="1165">
        <v>21</v>
      </c>
    </row>
    <row customHeight="1" ht="22.049999999999997">
      <c r="A49" s="1373" t="s">
        <v>216</v>
      </c>
      <c r="B49" s="1373" t="s">
        <v>217</v>
      </c>
      <c r="C49" s="1373" t="s">
        <v>218</v>
      </c>
      <c r="D49" s="1373" t="s">
        <v>219</v>
      </c>
      <c r="E49" s="2269"/>
      <c r="F49" s="2269"/>
      <c r="G49" s="2269"/>
      <c r="H49" s="2269"/>
      <c r="I49" s="2296"/>
      <c r="J49" s="2296"/>
      <c r="K49" s="2266" t="str">
        <f>J48&amp;".1"</f>
        <v>....1.1.1</v>
      </c>
      <c r="L49" s="1374" t="s">
        <v>431</v>
      </c>
      <c r="P49" s="2267"/>
      <c r="Q49" s="2267"/>
      <c r="R49" s="367">
        <v>1</v>
      </c>
      <c r="S49" s="1346" t="str">
        <f>$K49</f>
        <v>....1.1.1</v>
      </c>
      <c r="T49" s="1357"/>
      <c r="U49" s="310"/>
      <c r="V49" s="335"/>
      <c r="W49" s="761"/>
      <c r="X49" s="335"/>
      <c r="Y49" s="394"/>
      <c r="Z49" s="2275"/>
      <c r="AA49" s="2117" t="s">
        <v>66</v>
      </c>
      <c r="AB49" s="2275"/>
      <c r="AC49" s="2117" t="s">
        <v>66</v>
      </c>
      <c r="AD49" s="335"/>
      <c r="AE49" s="761"/>
      <c r="AF49" s="335"/>
      <c r="AG49" s="394"/>
      <c r="AH49" s="2275"/>
      <c r="AI49" s="2117" t="s">
        <v>66</v>
      </c>
      <c r="AJ49" s="2297"/>
      <c r="AK49" s="2117" t="s">
        <v>66</v>
      </c>
      <c r="AL49" s="1358"/>
      <c r="AM49" s="2263" t="s">
        <v>432</v>
      </c>
      <c r="AN49" s="521">
        <f>STRCHECKDATE(V50:AL50)</f>
      </c>
      <c r="AO49" s="510"/>
      <c r="AP49" s="510" t="str">
        <f>IF(T49="","",T49)</f>
        <v/>
      </c>
      <c r="AQ49" s="510"/>
      <c r="AR49" s="510"/>
      <c r="AS49" s="1165">
        <v>21</v>
      </c>
    </row>
    <row customHeight="1" ht="1.05">
      <c r="A50" s="1373" t="s">
        <v>216</v>
      </c>
      <c r="B50" s="1373" t="s">
        <v>217</v>
      </c>
      <c r="C50" s="1373" t="s">
        <v>218</v>
      </c>
      <c r="D50" s="1373" t="s">
        <v>219</v>
      </c>
      <c r="E50" s="2269"/>
      <c r="F50" s="2269"/>
      <c r="G50" s="2269"/>
      <c r="H50" s="2269"/>
      <c r="I50" s="2296"/>
      <c r="J50" s="2296"/>
      <c r="K50" s="2266"/>
      <c r="L50" s="1374"/>
      <c r="P50" s="2267"/>
      <c r="Q50" s="2267"/>
      <c r="R50" s="367"/>
      <c r="S50" s="1352"/>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510"/>
      <c r="AP50" s="510" t="str">
        <f>IF(T50="","",T50)</f>
        <v/>
      </c>
      <c r="AQ50" s="510"/>
      <c r="AR50" s="510"/>
      <c r="AS50" s="1165">
        <v>1</v>
      </c>
    </row>
    <row customHeight="1" ht="11.549999999999999">
      <c r="A51" s="1373" t="s">
        <v>216</v>
      </c>
      <c r="B51" s="1373" t="s">
        <v>217</v>
      </c>
      <c r="C51" s="1373" t="s">
        <v>218</v>
      </c>
      <c r="D51" s="1373" t="s">
        <v>219</v>
      </c>
      <c r="E51" s="2269"/>
      <c r="F51" s="2269"/>
      <c r="G51" s="2269"/>
      <c r="H51" s="2269"/>
      <c r="I51" s="2296"/>
      <c r="J51" s="2266"/>
      <c r="K51" s="1373"/>
      <c r="L51" s="1374"/>
      <c r="P51" s="2267"/>
      <c r="Q51" s="2267"/>
      <c r="R51" s="366"/>
      <c r="S51" s="1288"/>
      <c r="T51" s="298" t="s">
        <v>433</v>
      </c>
      <c r="U51" s="377"/>
      <c r="V51" s="377"/>
      <c r="W51" s="377"/>
      <c r="X51" s="377"/>
      <c r="Y51" s="377"/>
      <c r="Z51" s="377"/>
      <c r="AA51" s="377"/>
      <c r="AB51" s="377"/>
      <c r="AC51" s="377"/>
      <c r="AD51" s="377"/>
      <c r="AE51" s="377"/>
      <c r="AF51" s="377"/>
      <c r="AG51" s="377"/>
      <c r="AH51" s="377"/>
      <c r="AI51" s="377"/>
      <c r="AJ51" s="377"/>
      <c r="AK51" s="377"/>
      <c r="AL51" s="334"/>
      <c r="AM51" s="2265"/>
      <c r="AO51" s="510"/>
      <c r="AP51" s="510" t="str">
        <f>IF(T51="","",T51)</f>
        <v>Добавить вид теплоносителя (параметры теплоносителя)</v>
      </c>
      <c r="AQ51" s="510"/>
      <c r="AR51" s="510"/>
      <c r="AS51" s="1165">
        <v>11</v>
      </c>
    </row>
    <row customHeight="1" ht="11.549999999999999">
      <c r="A52" s="1373" t="s">
        <v>216</v>
      </c>
      <c r="B52" s="1373" t="s">
        <v>217</v>
      </c>
      <c r="C52" s="1373" t="s">
        <v>218</v>
      </c>
      <c r="D52" s="1373" t="s">
        <v>219</v>
      </c>
      <c r="E52" s="2269"/>
      <c r="F52" s="2269"/>
      <c r="G52" s="2269"/>
      <c r="H52" s="2269"/>
      <c r="I52" s="2266"/>
      <c r="J52" s="1373"/>
      <c r="K52" s="1373"/>
      <c r="L52" s="1374"/>
      <c r="P52" s="2267"/>
      <c r="Q52" s="1341"/>
      <c r="R52" s="366"/>
      <c r="S52" s="1288"/>
      <c r="T52" s="297" t="s">
        <v>434</v>
      </c>
      <c r="U52" s="377"/>
      <c r="V52" s="377"/>
      <c r="W52" s="377"/>
      <c r="X52" s="377"/>
      <c r="Y52" s="377"/>
      <c r="Z52" s="377"/>
      <c r="AA52" s="377"/>
      <c r="AB52" s="377"/>
      <c r="AC52" s="376"/>
      <c r="AD52" s="377"/>
      <c r="AE52" s="377"/>
      <c r="AF52" s="377"/>
      <c r="AG52" s="377"/>
      <c r="AH52" s="377"/>
      <c r="AI52" s="377"/>
      <c r="AJ52" s="377"/>
      <c r="AK52" s="376"/>
      <c r="AL52" s="377"/>
      <c r="AM52" s="313"/>
      <c r="AO52" s="510"/>
      <c r="AP52" s="510" t="str">
        <f>IF(T52="","",T52)</f>
        <v>Добавить группу потребителей</v>
      </c>
      <c r="AQ52" s="510"/>
      <c r="AR52" s="510"/>
      <c r="AS52" s="1165">
        <v>11</v>
      </c>
    </row>
    <row customHeight="1" ht="14.699999999999998">
      <c r="A53" s="1373" t="s">
        <v>216</v>
      </c>
      <c r="B53" s="1373" t="s">
        <v>217</v>
      </c>
      <c r="C53" s="1373" t="s">
        <v>218</v>
      </c>
      <c r="D53" s="1373" t="s">
        <v>219</v>
      </c>
      <c r="E53" s="2269"/>
      <c r="F53" s="2269"/>
      <c r="G53" s="2269"/>
      <c r="H53" s="2268"/>
      <c r="I53" s="1373"/>
      <c r="J53" s="1373"/>
      <c r="K53" s="1373"/>
      <c r="L53" s="1374"/>
      <c r="M53" s="1375"/>
      <c r="N53" s="1375"/>
      <c r="O53" s="547"/>
      <c r="P53" s="370"/>
      <c r="Q53" s="385"/>
      <c r="R53" s="365"/>
      <c r="S53" s="1288"/>
      <c r="T53" s="375" t="s">
        <v>435</v>
      </c>
      <c r="U53" s="377"/>
      <c r="V53" s="377"/>
      <c r="W53" s="377"/>
      <c r="X53" s="377"/>
      <c r="Y53" s="377"/>
      <c r="Z53" s="377"/>
      <c r="AA53" s="377"/>
      <c r="AB53" s="377"/>
      <c r="AC53" s="376"/>
      <c r="AD53" s="377"/>
      <c r="AE53" s="377"/>
      <c r="AF53" s="377"/>
      <c r="AG53" s="377"/>
      <c r="AH53" s="377"/>
      <c r="AI53" s="377"/>
      <c r="AJ53" s="377"/>
      <c r="AK53" s="376"/>
      <c r="AL53" s="377"/>
      <c r="AM53" s="313"/>
      <c r="AO53" s="510"/>
      <c r="AP53" s="510" t="str">
        <f>IF(T53="","",T53)</f>
        <v>Добавить схему подключения</v>
      </c>
      <c r="AQ53" s="510"/>
      <c r="AR53" s="510"/>
      <c r="AS53" s="1165">
        <v>14</v>
      </c>
    </row>
    <row s="1652" customFormat="1" customHeight="1" ht="1.05">
      <c r="A54" s="1353" t="s">
        <v>216</v>
      </c>
      <c r="B54" s="1353" t="s">
        <v>217</v>
      </c>
      <c r="C54" s="1353" t="s">
        <v>218</v>
      </c>
      <c r="D54" s="1324"/>
      <c r="E54" s="2269"/>
      <c r="F54" s="2269"/>
      <c r="G54" s="2268"/>
      <c r="H54" s="1324"/>
      <c r="I54" s="1324"/>
      <c r="J54" s="1324"/>
      <c r="K54" s="1324"/>
      <c r="L54" s="1349"/>
      <c r="M54" s="1325"/>
      <c r="N54" s="1325"/>
      <c r="P54" s="1326"/>
      <c r="Q54" s="1327"/>
      <c r="R54" s="1326"/>
      <c r="S54" s="1332"/>
      <c r="T54" s="1335" t="s">
        <v>436</v>
      </c>
      <c r="U54" s="1334"/>
      <c r="V54" s="1334"/>
      <c r="W54" s="1334"/>
      <c r="X54" s="1334"/>
      <c r="Y54" s="1334"/>
      <c r="Z54" s="1334"/>
      <c r="AA54" s="1334"/>
      <c r="AB54" s="1334"/>
      <c r="AC54" s="1334"/>
      <c r="AD54" s="1334"/>
      <c r="AE54" s="1334"/>
      <c r="AF54" s="1334"/>
      <c r="AG54" s="1334"/>
      <c r="AH54" s="1334"/>
      <c r="AI54" s="1334"/>
      <c r="AJ54" s="1334"/>
      <c r="AK54" s="1334"/>
      <c r="AL54" s="1334"/>
      <c r="AM54" s="1334"/>
      <c r="AO54" s="799"/>
      <c r="AP54" s="799" t="str">
        <f>IF(T54="","",T54)</f>
        <v>Добавить источник для дифференциации</v>
      </c>
      <c r="AQ54" s="799"/>
      <c r="AR54" s="799"/>
      <c r="AS54" s="528">
        <v>1</v>
      </c>
    </row>
    <row s="1652" customFormat="1" customHeight="1" ht="1.05">
      <c r="A55" s="1353" t="s">
        <v>216</v>
      </c>
      <c r="B55" s="1353" t="s">
        <v>217</v>
      </c>
      <c r="C55" s="1324"/>
      <c r="D55" s="1324"/>
      <c r="E55" s="2269"/>
      <c r="F55" s="2268"/>
      <c r="G55" s="1324"/>
      <c r="H55" s="1324"/>
      <c r="I55" s="1324"/>
      <c r="J55" s="1324"/>
      <c r="K55" s="1324"/>
      <c r="L55" s="1349"/>
      <c r="M55" s="1331"/>
      <c r="N55" s="1331"/>
      <c r="P55" s="1326"/>
      <c r="Q55" s="1327"/>
      <c r="R55" s="1326"/>
      <c r="S55" s="1332"/>
      <c r="T55" s="1335" t="s">
        <v>437</v>
      </c>
      <c r="U55" s="1334"/>
      <c r="V55" s="1334"/>
      <c r="W55" s="1334"/>
      <c r="X55" s="1334"/>
      <c r="Y55" s="1334"/>
      <c r="Z55" s="1334"/>
      <c r="AA55" s="1334"/>
      <c r="AB55" s="1334"/>
      <c r="AC55" s="1334"/>
      <c r="AD55" s="1334"/>
      <c r="AE55" s="1334"/>
      <c r="AF55" s="1334"/>
      <c r="AG55" s="1334"/>
      <c r="AH55" s="1334"/>
      <c r="AI55" s="1334"/>
      <c r="AJ55" s="1334"/>
      <c r="AK55" s="1334"/>
      <c r="AL55" s="1334"/>
      <c r="AM55" s="1334"/>
      <c r="AO55" s="799"/>
      <c r="AP55" s="799" t="str">
        <f>IF(T55="","",T55)</f>
        <v>Добавить централизованную систему для дифференциации</v>
      </c>
      <c r="AQ55" s="799"/>
      <c r="AR55" s="799"/>
      <c r="AS55" s="528">
        <v>1</v>
      </c>
    </row>
    <row s="1652" customFormat="1" customHeight="1" ht="1.05">
      <c r="A56" s="1353" t="s">
        <v>216</v>
      </c>
      <c r="B56" s="1353"/>
      <c r="C56" s="1353"/>
      <c r="D56" s="1353"/>
      <c r="E56" s="2268"/>
      <c r="F56" s="1353"/>
      <c r="G56" s="1353"/>
      <c r="H56" s="1353"/>
      <c r="I56" s="1353"/>
      <c r="J56" s="1353"/>
      <c r="K56" s="1353"/>
      <c r="L56" s="1356"/>
      <c r="M56" s="1331"/>
      <c r="N56" s="1331"/>
      <c r="O56" s="528"/>
      <c r="P56" s="390"/>
      <c r="Q56" s="1354"/>
      <c r="R56" s="390"/>
      <c r="S56" s="1332"/>
      <c r="T56" s="1335" t="s">
        <v>438</v>
      </c>
      <c r="U56" s="1334"/>
      <c r="V56" s="1334"/>
      <c r="W56" s="1334"/>
      <c r="X56" s="1334"/>
      <c r="Y56" s="1334"/>
      <c r="Z56" s="1334"/>
      <c r="AA56" s="1334"/>
      <c r="AB56" s="1334"/>
      <c r="AC56" s="1334"/>
      <c r="AD56" s="1334"/>
      <c r="AE56" s="1334"/>
      <c r="AF56" s="1334"/>
      <c r="AG56" s="1334"/>
      <c r="AH56" s="1334"/>
      <c r="AI56" s="1334"/>
      <c r="AJ56" s="1334"/>
      <c r="AK56" s="1334"/>
      <c r="AL56" s="1334"/>
      <c r="AM56" s="1334"/>
      <c r="AO56" s="510"/>
      <c r="AP56" s="510" t="str">
        <f>IF(T56="","",T56)</f>
        <v>Добавить территорию для дифференциации</v>
      </c>
      <c r="AQ56" s="510"/>
      <c r="AR56" s="510"/>
      <c r="AS56" s="521">
        <v>1</v>
      </c>
    </row>
    <row s="1652" customFormat="1" customHeight="1" ht="1.05">
      <c r="A57" s="1324"/>
      <c r="B57" s="1324"/>
      <c r="C57" s="1324"/>
      <c r="D57" s="1324"/>
      <c r="E57" s="1353"/>
      <c r="F57" s="1324"/>
      <c r="G57" s="1324"/>
      <c r="H57" s="1324"/>
      <c r="I57" s="1324"/>
      <c r="J57" s="1324"/>
      <c r="K57" s="1324"/>
      <c r="L57" s="1349"/>
      <c r="M57" s="1331"/>
      <c r="N57" s="1331"/>
      <c r="P57" s="1326"/>
      <c r="Q57" s="1327"/>
      <c r="R57" s="1326"/>
      <c r="S57" s="1332"/>
      <c r="T57" s="1335" t="s">
        <v>470</v>
      </c>
      <c r="U57" s="1334"/>
      <c r="V57" s="1334"/>
      <c r="W57" s="1334"/>
      <c r="X57" s="1334"/>
      <c r="Y57" s="1334"/>
      <c r="Z57" s="1334"/>
      <c r="AA57" s="1334"/>
      <c r="AB57" s="1334"/>
      <c r="AC57" s="1334"/>
      <c r="AD57" s="1334"/>
      <c r="AE57" s="1334"/>
      <c r="AF57" s="1334"/>
      <c r="AG57" s="1334"/>
      <c r="AH57" s="1334"/>
      <c r="AI57" s="1334"/>
      <c r="AJ57" s="1334"/>
      <c r="AK57" s="1334"/>
      <c r="AL57" s="1334"/>
      <c r="AM57" s="1334"/>
      <c r="AO57" s="799"/>
      <c r="AP57" s="799" t="str">
        <f>IF(T57="","",T57)</f>
        <v>Добавить наименование тарифа</v>
      </c>
      <c r="AQ57" s="799"/>
      <c r="AR57" s="799"/>
      <c r="AS57" s="528">
        <v>1</v>
      </c>
    </row>
    <row customHeight="1" ht="11.549999999999999">
      <c r="M58" s="1170"/>
      <c r="N58" s="1170"/>
      <c r="O58" s="547"/>
      <c r="P58" s="1165"/>
      <c r="Q58" s="1165"/>
      <c r="R58" s="1165"/>
      <c r="S58" s="1165"/>
      <c r="AN58" s="1165"/>
      <c r="AO58" s="1165"/>
      <c r="AP58" s="1165"/>
      <c r="AQ58" s="1165"/>
      <c r="AR58" s="1165"/>
      <c r="AS58" s="1165">
        <v>11</v>
      </c>
    </row>
    <row customHeight="1" ht="28.5">
      <c r="O59" s="547"/>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165">
        <v>27</v>
      </c>
    </row>
    <row customHeight="1" ht="78.75">
      <c r="O60" s="547"/>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165">
        <v>75</v>
      </c>
    </row>
    <row customHeight="1" ht="14.699999999999998">
      <c r="O61" s="547"/>
      <c r="AS61" s="1165">
        <v>14</v>
      </c>
    </row>
    <row customHeight="1" ht="18.75">
      <c r="O62" s="547"/>
      <c r="S62" s="1263"/>
      <c r="T62" s="2295"/>
      <c r="U62" s="2295"/>
      <c r="V62" s="2295"/>
      <c r="W62" s="2295"/>
      <c r="X62" s="2295"/>
      <c r="Y62" s="2295"/>
      <c r="Z62" s="2295"/>
      <c r="AA62" s="2295"/>
      <c r="AB62" s="2295"/>
      <c r="AC62" s="2295"/>
      <c r="AD62" s="2295"/>
      <c r="AE62" s="2295"/>
      <c r="AF62" s="2295"/>
      <c r="AG62" s="2295"/>
      <c r="AH62" s="2295"/>
      <c r="AI62" s="2295"/>
      <c r="AJ62" s="2295"/>
      <c r="AK62" s="2295"/>
      <c r="AL62" s="2295"/>
      <c r="AM62" s="2295"/>
      <c r="AS62" s="1165">
        <v>18</v>
      </c>
    </row>
    <row customHeight="1" ht="18.75">
      <c r="O63" s="547"/>
      <c r="T63" s="2295"/>
      <c r="U63" s="2295"/>
      <c r="V63" s="2295"/>
      <c r="W63" s="2295"/>
      <c r="X63" s="2295"/>
      <c r="Y63" s="2295"/>
      <c r="Z63" s="2295"/>
      <c r="AA63" s="2295"/>
      <c r="AB63" s="2295"/>
      <c r="AC63" s="2295"/>
      <c r="AD63" s="2295"/>
      <c r="AE63" s="2295"/>
      <c r="AF63" s="2295"/>
      <c r="AG63" s="2295"/>
      <c r="AH63" s="2295"/>
      <c r="AI63" s="2295"/>
      <c r="AJ63" s="2295"/>
      <c r="AK63" s="2295"/>
      <c r="AL63" s="2295"/>
      <c r="AM63" s="2295"/>
      <c r="AS63" s="1165">
        <v>18</v>
      </c>
    </row>
    <row customHeight="1" ht="39.75">
      <c r="O64" s="547"/>
      <c r="S64" s="1263"/>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165">
        <v>38</v>
      </c>
    </row>
    <row customHeight="1" ht="22.5" hidden="1">
      <c r="A65" s="1170" t="s">
        <v>82</v>
      </c>
      <c r="B65" s="1170">
        <v>0</v>
      </c>
      <c r="C65" s="1170">
        <v>0</v>
      </c>
      <c r="D65" s="1170">
        <v>0</v>
      </c>
      <c r="E65" s="1170">
        <v>0</v>
      </c>
      <c r="F65" s="1170">
        <v>0</v>
      </c>
      <c r="G65" s="1170">
        <v>0</v>
      </c>
      <c r="H65" s="1170">
        <v>0</v>
      </c>
      <c r="I65" s="1170">
        <v>0</v>
      </c>
      <c r="J65" s="1170">
        <v>0</v>
      </c>
      <c r="K65" s="1170">
        <v>0</v>
      </c>
      <c r="L65" s="1339">
        <v>0</v>
      </c>
      <c r="M65" s="1372">
        <v>0</v>
      </c>
      <c r="N65" s="1372">
        <v>0</v>
      </c>
      <c r="O65" s="1372">
        <v>0</v>
      </c>
      <c r="P65" s="1338">
        <v>3</v>
      </c>
      <c r="Q65" s="354">
        <v>3</v>
      </c>
      <c r="R65" s="354">
        <v>3</v>
      </c>
      <c r="S65" s="591">
        <v>12</v>
      </c>
      <c r="T65" s="1165">
        <v>31</v>
      </c>
      <c r="U65" s="1165">
        <v>0</v>
      </c>
      <c r="V65" s="1165">
        <v>0</v>
      </c>
      <c r="W65" s="1165">
        <v>0</v>
      </c>
      <c r="X65" s="1165">
        <v>0</v>
      </c>
      <c r="Y65" s="1165">
        <v>0</v>
      </c>
      <c r="Z65" s="1165">
        <v>0</v>
      </c>
      <c r="AA65" s="1165">
        <v>0</v>
      </c>
      <c r="AB65" s="1165">
        <v>0</v>
      </c>
      <c r="AC65" s="1165">
        <v>0</v>
      </c>
      <c r="AD65" s="1165">
        <v>0</v>
      </c>
      <c r="AE65" s="1165">
        <v>24</v>
      </c>
      <c r="AF65" s="1165">
        <v>0</v>
      </c>
      <c r="AG65" s="1165">
        <v>0</v>
      </c>
      <c r="AH65" s="1165">
        <v>11</v>
      </c>
      <c r="AI65" s="1165">
        <v>3</v>
      </c>
      <c r="AJ65" s="1165">
        <v>11</v>
      </c>
      <c r="AK65" s="1165">
        <v>0</v>
      </c>
      <c r="AL65" s="1165">
        <v>4</v>
      </c>
      <c r="AM65" s="1165">
        <v>115</v>
      </c>
      <c r="AN65" s="521">
        <v>10</v>
      </c>
      <c r="AO65" s="521">
        <v>10</v>
      </c>
      <c r="AP65" s="521">
        <v>10</v>
      </c>
      <c r="AQ65" s="521">
        <v>10</v>
      </c>
      <c r="AR65" s="521">
        <v>10</v>
      </c>
      <c r="AS65" s="1165">
        <v>23</v>
      </c>
    </row>
  </sheetData>
  <sheetProtection sheet="1" formatColumns="0" formatRows="0" autoFilter="0" sort="1" insertRows="1" insertColumns="1" deleteRows="1" deleteColumns="1"/>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F29E77-317C-279B-B954-0.A22EC3CA}"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2407" width="3.7109375" hidden="1" customWidth="1"/>
    <col min="17" max="18" style="354" width="3.00390625" customWidth="1"/>
    <col min="19" max="19" style="2417" width="12.00390625" customWidth="1"/>
    <col min="20" max="20" style="1645" width="31.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8.421875" hidden="1" customWidth="1"/>
  </cols>
  <sheetData>
    <row customHeight="1" ht="22.5" hidden="1">
      <c r="Y1" s="337"/>
      <c r="Z1" s="337"/>
      <c r="AG1" s="337"/>
      <c r="AH1" s="337"/>
      <c r="AS1" s="1165" t="s">
        <v>14</v>
      </c>
    </row>
    <row customHeight="1" ht="21" hidden="1">
      <c r="A2" s="1373"/>
      <c r="B2" s="1373"/>
      <c r="C2" s="1373"/>
      <c r="D2" s="1373"/>
      <c r="E2" s="2268">
        <v>1</v>
      </c>
      <c r="F2" s="1373"/>
      <c r="G2" s="1373"/>
      <c r="H2" s="1373"/>
      <c r="I2" s="1373"/>
      <c r="J2" s="1373"/>
      <c r="K2" s="1373"/>
      <c r="L2" s="1374"/>
      <c r="M2" s="1375"/>
      <c r="N2" s="1375"/>
      <c r="O2" s="1375"/>
      <c r="P2" s="371"/>
      <c r="Q2" s="370"/>
      <c r="R2" s="365"/>
      <c r="S2" s="1346">
        <f>INDEX(PT_DIFFERENTIATION_NUM_NTAR,MATCH(A2,PT_DIFFERENTIATION_NTAR_ID,0))</f>
      </c>
      <c r="T2" s="308" t="s">
        <v>147</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418</v>
      </c>
      <c r="AO2" s="510"/>
      <c r="AP2" s="510" t="str">
        <f>IF(T2="","",T2)</f>
        <v>Наименование тарифа</v>
      </c>
      <c r="AQ2" s="510"/>
      <c r="AR2" s="510"/>
      <c r="AS2" s="1165">
        <v>0</v>
      </c>
    </row>
    <row customHeight="1" ht="21" hidden="1">
      <c r="A3" s="1373"/>
      <c r="B3" s="1373"/>
      <c r="C3" s="1373"/>
      <c r="D3" s="1373"/>
      <c r="E3" s="2269"/>
      <c r="F3" s="2268">
        <v>1</v>
      </c>
      <c r="G3" s="1373"/>
      <c r="H3" s="1373"/>
      <c r="I3" s="1373"/>
      <c r="J3" s="1373"/>
      <c r="K3" s="1373"/>
      <c r="L3" s="1374"/>
      <c r="M3" s="1375"/>
      <c r="N3" s="1375"/>
      <c r="O3" s="1375"/>
      <c r="P3" s="1342"/>
      <c r="Q3" s="362"/>
      <c r="R3" s="363"/>
      <c r="S3" s="1346">
        <f>INDEX(PT_DIFFERENTIATION_NUM_TER,MATCH(B3,PT_DIFFERENTIATION_TER_ID,0))</f>
      </c>
      <c r="T3" s="318" t="s">
        <v>419</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420</v>
      </c>
      <c r="AO3" s="510"/>
      <c r="AP3" s="510" t="str">
        <f>IF(T3="","",T3)</f>
        <v>Территория действия тарифа</v>
      </c>
      <c r="AQ3" s="510"/>
      <c r="AR3" s="510"/>
      <c r="AS3" s="1165">
        <v>0</v>
      </c>
    </row>
    <row customHeight="1" ht="23.25" hidden="1">
      <c r="A4" s="1373"/>
      <c r="B4" s="1373"/>
      <c r="C4" s="1373"/>
      <c r="D4" s="1373"/>
      <c r="E4" s="2269"/>
      <c r="F4" s="2269"/>
      <c r="G4" s="2268">
        <v>1</v>
      </c>
      <c r="H4" s="1373"/>
      <c r="I4" s="1373"/>
      <c r="J4" s="1373"/>
      <c r="K4" s="1373"/>
      <c r="L4" s="1374"/>
      <c r="M4" s="1375"/>
      <c r="N4" s="1375"/>
      <c r="O4" s="1375"/>
      <c r="P4" s="364"/>
      <c r="Q4" s="362"/>
      <c r="R4" s="363"/>
      <c r="S4" s="1346">
        <f>INDEX(PT_DIFFERENTIATION_NUM_CS,MATCH(C4,PT_DIFFERENTIATION_CS_ID,0))</f>
      </c>
      <c r="T4" s="319" t="s">
        <v>421</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422</v>
      </c>
      <c r="AO4" s="510"/>
      <c r="AP4" s="510" t="str">
        <f>IF(T4="","",T4)</f>
        <v>Наименование системы теплоснабжения </v>
      </c>
      <c r="AQ4" s="510"/>
      <c r="AR4" s="510"/>
      <c r="AS4" s="1165">
        <v>0</v>
      </c>
    </row>
    <row customHeight="1" ht="21" hidden="1">
      <c r="A5" s="1373"/>
      <c r="B5" s="1373"/>
      <c r="C5" s="1373"/>
      <c r="D5" s="1373"/>
      <c r="E5" s="2269"/>
      <c r="F5" s="2269"/>
      <c r="G5" s="2269"/>
      <c r="H5" s="2268">
        <v>1</v>
      </c>
      <c r="I5" s="1373"/>
      <c r="J5" s="1373"/>
      <c r="K5" s="1373"/>
      <c r="L5" s="1374"/>
      <c r="M5" s="1375"/>
      <c r="N5" s="1375"/>
      <c r="O5" s="1375"/>
      <c r="P5" s="364"/>
      <c r="Q5" s="362"/>
      <c r="R5" s="363"/>
      <c r="S5" s="1346">
        <f>INDEX(PT_DIFFERENTIATION_NUM_IST_TE,MATCH(D5,PT_DIFFERENTIATION_IST_TE_ID,0))</f>
      </c>
      <c r="T5" s="320" t="s">
        <v>423</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424</v>
      </c>
      <c r="AO5" s="510"/>
      <c r="AP5" s="510" t="str">
        <f>IF(T5="","",T5)</f>
        <v>Источник тепловой энергии  </v>
      </c>
      <c r="AQ5" s="510"/>
      <c r="AR5" s="510"/>
      <c r="AS5" s="1165">
        <v>0</v>
      </c>
    </row>
    <row customHeight="1" ht="14.25" hidden="1">
      <c r="A6" s="1373"/>
      <c r="B6" s="1373"/>
      <c r="C6" s="1373"/>
      <c r="D6" s="1373"/>
      <c r="E6" s="2269"/>
      <c r="F6" s="2269"/>
      <c r="G6" s="2269"/>
      <c r="H6" s="2269"/>
      <c r="I6" s="2266">
        <f>S5&amp;".1"</f>
      </c>
      <c r="J6" s="1373"/>
      <c r="K6" s="1373"/>
      <c r="L6" s="1374" t="s">
        <v>425</v>
      </c>
      <c r="M6" s="547"/>
      <c r="P6" s="2267">
        <v>1</v>
      </c>
      <c r="Q6" s="1341"/>
      <c r="R6" s="366"/>
      <c r="S6" s="1052"/>
      <c r="T6" s="1393"/>
      <c r="U6" s="1394"/>
      <c r="V6" s="2306"/>
      <c r="W6" s="2307"/>
      <c r="X6" s="2307"/>
      <c r="Y6" s="2307"/>
      <c r="Z6" s="2307"/>
      <c r="AA6" s="2307"/>
      <c r="AB6" s="2307"/>
      <c r="AC6" s="2308"/>
      <c r="AD6" s="2306"/>
      <c r="AE6" s="2307"/>
      <c r="AF6" s="2307"/>
      <c r="AG6" s="2307"/>
      <c r="AH6" s="2307"/>
      <c r="AI6" s="2307"/>
      <c r="AJ6" s="2307"/>
      <c r="AK6" s="2307"/>
      <c r="AL6" s="2308"/>
      <c r="AM6" s="1395"/>
      <c r="AO6" s="510"/>
      <c r="AP6" s="510" t="str">
        <f>IF(T6="","",T6)</f>
        <v/>
      </c>
      <c r="AQ6" s="510"/>
      <c r="AR6" s="510"/>
      <c r="AS6" s="1165">
        <v>0</v>
      </c>
    </row>
    <row customHeight="1" ht="21" hidden="1">
      <c r="A7" s="1373"/>
      <c r="B7" s="1373"/>
      <c r="C7" s="1373"/>
      <c r="D7" s="1373"/>
      <c r="E7" s="2269"/>
      <c r="F7" s="2269"/>
      <c r="G7" s="2269"/>
      <c r="H7" s="2269"/>
      <c r="I7" s="2296"/>
      <c r="J7" s="2266">
        <f>I6&amp;".1"</f>
      </c>
      <c r="K7" s="1373"/>
      <c r="L7" s="1374" t="s">
        <v>428</v>
      </c>
      <c r="M7" s="547"/>
      <c r="N7" s="1376"/>
      <c r="P7" s="2267"/>
      <c r="Q7" s="2267">
        <v>1</v>
      </c>
      <c r="R7" s="367"/>
      <c r="S7" s="1346">
        <f>$J7</f>
      </c>
      <c r="T7" s="296" t="s">
        <v>429</v>
      </c>
      <c r="U7" s="310"/>
      <c r="V7" s="2255"/>
      <c r="W7" s="2256"/>
      <c r="X7" s="2256"/>
      <c r="Y7" s="2256"/>
      <c r="Z7" s="2256"/>
      <c r="AA7" s="2256"/>
      <c r="AB7" s="2256"/>
      <c r="AC7" s="2257"/>
      <c r="AD7" s="2255"/>
      <c r="AE7" s="2256"/>
      <c r="AF7" s="2256"/>
      <c r="AG7" s="2256"/>
      <c r="AH7" s="2256"/>
      <c r="AI7" s="2256"/>
      <c r="AJ7" s="2256"/>
      <c r="AK7" s="2256"/>
      <c r="AL7" s="2257"/>
      <c r="AM7" s="1268" t="s">
        <v>430</v>
      </c>
      <c r="AO7" s="510"/>
      <c r="AP7" s="510" t="str">
        <f>IF(T7="","",T7)</f>
        <v>Группа потребителей</v>
      </c>
      <c r="AQ7" s="510"/>
      <c r="AR7" s="510"/>
      <c r="AS7" s="1165">
        <v>0</v>
      </c>
    </row>
    <row customHeight="1" ht="21" hidden="1">
      <c r="A8" s="1373"/>
      <c r="B8" s="1373"/>
      <c r="C8" s="1373"/>
      <c r="D8" s="1373"/>
      <c r="E8" s="2269"/>
      <c r="F8" s="2269"/>
      <c r="G8" s="2269"/>
      <c r="H8" s="2269"/>
      <c r="I8" s="2296"/>
      <c r="J8" s="2296"/>
      <c r="K8" s="2266">
        <f>J7&amp;".1"</f>
      </c>
      <c r="L8" s="1374" t="s">
        <v>431</v>
      </c>
      <c r="M8" s="547"/>
      <c r="N8" s="1376"/>
      <c r="O8" s="1376"/>
      <c r="P8" s="2267"/>
      <c r="Q8" s="2267"/>
      <c r="R8" s="367">
        <v>1</v>
      </c>
      <c r="S8" s="1346">
        <f>$K8</f>
      </c>
      <c r="T8" s="1357"/>
      <c r="U8" s="310"/>
      <c r="V8" s="761"/>
      <c r="W8" s="335"/>
      <c r="X8" s="761"/>
      <c r="Y8" s="1267"/>
      <c r="Z8" s="2275"/>
      <c r="AA8" s="2117" t="s">
        <v>66</v>
      </c>
      <c r="AB8" s="2275"/>
      <c r="AC8" s="2117" t="s">
        <v>66</v>
      </c>
      <c r="AD8" s="761"/>
      <c r="AE8" s="335"/>
      <c r="AF8" s="761"/>
      <c r="AG8" s="1267"/>
      <c r="AH8" s="2275"/>
      <c r="AI8" s="2117" t="s">
        <v>66</v>
      </c>
      <c r="AJ8" s="2275"/>
      <c r="AK8" s="2117" t="s">
        <v>66</v>
      </c>
      <c r="AL8" s="335"/>
      <c r="AM8" s="2263" t="s">
        <v>432</v>
      </c>
      <c r="AN8" s="521">
        <f>STRCHECKDATE(V9:AL9)</f>
      </c>
      <c r="AO8" s="510"/>
      <c r="AP8" s="510" t="str">
        <f>IF(T8="","",T8)</f>
        <v/>
      </c>
      <c r="AQ8" s="510"/>
      <c r="AR8" s="510"/>
      <c r="AS8" s="1165">
        <v>0</v>
      </c>
    </row>
    <row customHeight="1" ht="0.75" hidden="1">
      <c r="A9" s="1373"/>
      <c r="B9" s="1373"/>
      <c r="C9" s="1373"/>
      <c r="D9" s="1373"/>
      <c r="E9" s="2269"/>
      <c r="F9" s="2269"/>
      <c r="G9" s="2269"/>
      <c r="H9" s="2269"/>
      <c r="I9" s="2296"/>
      <c r="J9" s="2296"/>
      <c r="K9" s="2266"/>
      <c r="L9" s="1374"/>
      <c r="M9" s="547"/>
      <c r="N9" s="1376"/>
      <c r="O9" s="1376"/>
      <c r="P9" s="2267"/>
      <c r="Q9" s="2267"/>
      <c r="R9" s="367"/>
      <c r="S9" s="1352"/>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510"/>
      <c r="AP9" s="510" t="str">
        <f>IF(T9="","",T9)</f>
        <v/>
      </c>
      <c r="AQ9" s="510"/>
      <c r="AR9" s="510"/>
      <c r="AS9" s="1165">
        <v>0</v>
      </c>
    </row>
    <row customHeight="1" ht="15" hidden="1">
      <c r="A10" s="1373"/>
      <c r="B10" s="1373"/>
      <c r="C10" s="1373"/>
      <c r="D10" s="1373"/>
      <c r="E10" s="2269"/>
      <c r="F10" s="2269"/>
      <c r="G10" s="2269"/>
      <c r="H10" s="2269"/>
      <c r="I10" s="2296"/>
      <c r="J10" s="2266"/>
      <c r="K10" s="1373"/>
      <c r="L10" s="1374"/>
      <c r="M10" s="547"/>
      <c r="N10" s="1376"/>
      <c r="P10" s="2267"/>
      <c r="Q10" s="2267"/>
      <c r="R10" s="366"/>
      <c r="S10" s="1288"/>
      <c r="T10" s="297" t="s">
        <v>433</v>
      </c>
      <c r="U10" s="377"/>
      <c r="V10" s="377"/>
      <c r="W10" s="377"/>
      <c r="X10" s="377"/>
      <c r="Y10" s="377"/>
      <c r="Z10" s="377"/>
      <c r="AA10" s="377"/>
      <c r="AB10" s="377"/>
      <c r="AC10" s="377"/>
      <c r="AD10" s="377"/>
      <c r="AE10" s="377"/>
      <c r="AF10" s="377"/>
      <c r="AG10" s="377"/>
      <c r="AH10" s="377"/>
      <c r="AI10" s="377"/>
      <c r="AJ10" s="377"/>
      <c r="AK10" s="377"/>
      <c r="AL10" s="334"/>
      <c r="AM10" s="2265"/>
      <c r="AO10" s="510"/>
      <c r="AP10" s="510" t="str">
        <f>IF(T10="","",T10)</f>
        <v>Добавить вид теплоносителя (параметры теплоносителя)</v>
      </c>
      <c r="AQ10" s="510"/>
      <c r="AR10" s="510"/>
      <c r="AS10" s="1165">
        <v>0</v>
      </c>
    </row>
    <row customHeight="1" ht="15" hidden="1">
      <c r="A11" s="1373"/>
      <c r="B11" s="1373"/>
      <c r="C11" s="1373"/>
      <c r="D11" s="1373"/>
      <c r="E11" s="2269"/>
      <c r="F11" s="2269"/>
      <c r="G11" s="2269"/>
      <c r="H11" s="2269"/>
      <c r="I11" s="2266"/>
      <c r="J11" s="1373"/>
      <c r="K11" s="1373"/>
      <c r="L11" s="1374"/>
      <c r="M11" s="547"/>
      <c r="P11" s="2267"/>
      <c r="Q11" s="1341"/>
      <c r="R11" s="366"/>
      <c r="S11" s="1288"/>
      <c r="T11" s="375" t="s">
        <v>434</v>
      </c>
      <c r="U11" s="377"/>
      <c r="V11" s="377"/>
      <c r="W11" s="377"/>
      <c r="X11" s="377"/>
      <c r="Y11" s="377"/>
      <c r="Z11" s="377"/>
      <c r="AA11" s="377"/>
      <c r="AB11" s="377"/>
      <c r="AC11" s="376"/>
      <c r="AD11" s="377"/>
      <c r="AE11" s="377"/>
      <c r="AF11" s="377"/>
      <c r="AG11" s="377"/>
      <c r="AH11" s="377"/>
      <c r="AI11" s="377"/>
      <c r="AJ11" s="377"/>
      <c r="AK11" s="376"/>
      <c r="AL11" s="377"/>
      <c r="AM11" s="313"/>
      <c r="AO11" s="510"/>
      <c r="AP11" s="510" t="str">
        <f>IF(T11="","",T11)</f>
        <v>Добавить группу потребителей</v>
      </c>
      <c r="AQ11" s="510"/>
      <c r="AR11" s="510"/>
      <c r="AS11" s="1165">
        <v>0</v>
      </c>
    </row>
    <row customHeight="1" ht="14.25" hidden="1">
      <c r="A12" s="1373"/>
      <c r="B12" s="1373"/>
      <c r="C12" s="1373"/>
      <c r="D12" s="1373"/>
      <c r="E12" s="2269"/>
      <c r="F12" s="2269"/>
      <c r="G12" s="2269"/>
      <c r="H12" s="2268"/>
      <c r="I12" s="1373"/>
      <c r="J12" s="1373"/>
      <c r="K12" s="1373"/>
      <c r="L12" s="1374"/>
      <c r="M12" s="1375"/>
      <c r="N12" s="1375"/>
      <c r="O12" s="547"/>
      <c r="P12" s="370"/>
      <c r="Q12" s="385"/>
      <c r="R12" s="365"/>
      <c r="S12" s="1396"/>
      <c r="T12" s="1397"/>
      <c r="U12" s="1398"/>
      <c r="V12" s="1398"/>
      <c r="W12" s="1398"/>
      <c r="X12" s="1398"/>
      <c r="Y12" s="1398"/>
      <c r="Z12" s="1398"/>
      <c r="AA12" s="1398"/>
      <c r="AB12" s="1398"/>
      <c r="AC12" s="1398"/>
      <c r="AD12" s="1398"/>
      <c r="AE12" s="1398"/>
      <c r="AF12" s="1398"/>
      <c r="AG12" s="1398"/>
      <c r="AH12" s="1398"/>
      <c r="AI12" s="1398"/>
      <c r="AJ12" s="1398"/>
      <c r="AK12" s="1398"/>
      <c r="AL12" s="1398"/>
      <c r="AM12" s="1399"/>
      <c r="AO12" s="510"/>
      <c r="AP12" s="510" t="str">
        <f>IF(T12="","",T12)</f>
        <v/>
      </c>
      <c r="AQ12" s="510"/>
      <c r="AR12" s="510"/>
      <c r="AS12" s="1165">
        <v>0</v>
      </c>
    </row>
    <row s="1652" customFormat="1" customHeight="1" ht="0.75" hidden="1">
      <c r="A13" s="1324"/>
      <c r="B13" s="1324"/>
      <c r="C13" s="1324"/>
      <c r="D13" s="1324"/>
      <c r="E13" s="2269"/>
      <c r="F13" s="2269"/>
      <c r="G13" s="2268"/>
      <c r="H13" s="1324"/>
      <c r="I13" s="1324"/>
      <c r="J13" s="1324"/>
      <c r="K13" s="1324"/>
      <c r="L13" s="1349"/>
      <c r="M13" s="1325"/>
      <c r="N13" s="1325"/>
      <c r="P13" s="1326"/>
      <c r="Q13" s="1327"/>
      <c r="R13" s="1326"/>
      <c r="S13" s="1328"/>
      <c r="T13" s="1329" t="s">
        <v>436</v>
      </c>
      <c r="U13" s="1330"/>
      <c r="V13" s="1330"/>
      <c r="W13" s="1330"/>
      <c r="X13" s="1330"/>
      <c r="Y13" s="1330"/>
      <c r="Z13" s="1330"/>
      <c r="AA13" s="1330"/>
      <c r="AB13" s="1330"/>
      <c r="AC13" s="1330"/>
      <c r="AD13" s="1330"/>
      <c r="AE13" s="1330"/>
      <c r="AF13" s="1330"/>
      <c r="AG13" s="1330"/>
      <c r="AH13" s="1330"/>
      <c r="AI13" s="1330"/>
      <c r="AJ13" s="1330"/>
      <c r="AK13" s="1330"/>
      <c r="AL13" s="1330"/>
      <c r="AM13" s="1330"/>
      <c r="AO13" s="799"/>
      <c r="AP13" s="799" t="str">
        <f>IF(T13="","",T13)</f>
        <v>Добавить источник для дифференциации</v>
      </c>
      <c r="AQ13" s="799"/>
      <c r="AR13" s="799"/>
      <c r="AS13" s="528">
        <v>0</v>
      </c>
    </row>
    <row s="1652" customFormat="1" customHeight="1" ht="0.75" hidden="1">
      <c r="A14" s="1324"/>
      <c r="B14" s="1324"/>
      <c r="C14" s="1324"/>
      <c r="D14" s="1324"/>
      <c r="E14" s="2269"/>
      <c r="F14" s="2268"/>
      <c r="G14" s="1324"/>
      <c r="H14" s="1324"/>
      <c r="I14" s="1324"/>
      <c r="J14" s="1324"/>
      <c r="K14" s="1324"/>
      <c r="L14" s="1349"/>
      <c r="M14" s="1331"/>
      <c r="N14" s="1331"/>
      <c r="P14" s="1326"/>
      <c r="Q14" s="1327"/>
      <c r="R14" s="1326"/>
      <c r="S14" s="1332"/>
      <c r="T14" s="1333" t="s">
        <v>437</v>
      </c>
      <c r="U14" s="1334"/>
      <c r="V14" s="1334"/>
      <c r="W14" s="1334"/>
      <c r="X14" s="1334"/>
      <c r="Y14" s="1334"/>
      <c r="Z14" s="1334"/>
      <c r="AA14" s="1334"/>
      <c r="AB14" s="1334"/>
      <c r="AC14" s="1334"/>
      <c r="AD14" s="1334"/>
      <c r="AE14" s="1334"/>
      <c r="AF14" s="1334"/>
      <c r="AG14" s="1334"/>
      <c r="AH14" s="1334"/>
      <c r="AI14" s="1334"/>
      <c r="AJ14" s="1334"/>
      <c r="AK14" s="1334"/>
      <c r="AL14" s="1334"/>
      <c r="AM14" s="1334"/>
      <c r="AO14" s="799"/>
      <c r="AP14" s="799" t="str">
        <f>IF(T14="","",T14)</f>
        <v>Добавить централизованную систему для дифференциации</v>
      </c>
      <c r="AQ14" s="799"/>
      <c r="AR14" s="799"/>
      <c r="AS14" s="528">
        <v>0</v>
      </c>
    </row>
    <row s="1652" customFormat="1" customHeight="1" ht="0.75" hidden="1">
      <c r="A15" s="1324"/>
      <c r="B15" s="1324"/>
      <c r="C15" s="1324"/>
      <c r="D15" s="1324"/>
      <c r="E15" s="2268"/>
      <c r="F15" s="1324"/>
      <c r="G15" s="1324"/>
      <c r="H15" s="1324"/>
      <c r="I15" s="1324"/>
      <c r="J15" s="1324"/>
      <c r="K15" s="1324"/>
      <c r="L15" s="1349"/>
      <c r="M15" s="1331"/>
      <c r="N15" s="1331"/>
      <c r="P15" s="1326"/>
      <c r="Q15" s="1327"/>
      <c r="R15" s="1326"/>
      <c r="S15" s="1332"/>
      <c r="T15" s="1335" t="s">
        <v>438</v>
      </c>
      <c r="U15" s="1334"/>
      <c r="V15" s="1334"/>
      <c r="W15" s="1334"/>
      <c r="X15" s="1334"/>
      <c r="Y15" s="1334"/>
      <c r="Z15" s="1334"/>
      <c r="AA15" s="1334"/>
      <c r="AB15" s="1334"/>
      <c r="AC15" s="1334"/>
      <c r="AD15" s="1334"/>
      <c r="AE15" s="1334"/>
      <c r="AF15" s="1334"/>
      <c r="AG15" s="1334"/>
      <c r="AH15" s="1334"/>
      <c r="AI15" s="1334"/>
      <c r="AJ15" s="1334"/>
      <c r="AK15" s="1334"/>
      <c r="AL15" s="1334"/>
      <c r="AM15" s="1334"/>
      <c r="AO15" s="799"/>
      <c r="AP15" s="799" t="str">
        <f>IF(T15="","",T15)</f>
        <v>Добавить территорию для дифференциации</v>
      </c>
      <c r="AQ15" s="799"/>
      <c r="AR15" s="799"/>
      <c r="AS15" s="528">
        <v>0</v>
      </c>
    </row>
    <row customHeight="1" ht="14.25" hidden="1">
      <c r="AC16" s="337"/>
      <c r="AK16" s="337"/>
      <c r="AS16" s="1165">
        <v>0</v>
      </c>
    </row>
    <row customHeight="1" ht="14.25" hidden="1">
      <c r="AD17" s="1370"/>
      <c r="AE17" s="1370"/>
      <c r="AF17" s="1370"/>
      <c r="AG17" s="1371"/>
      <c r="AH17" s="2277"/>
      <c r="AI17" s="2278" t="s">
        <v>66</v>
      </c>
      <c r="AJ17" s="2277"/>
      <c r="AK17" s="2278" t="s">
        <v>66</v>
      </c>
      <c r="AS17" s="1165">
        <v>0</v>
      </c>
    </row>
    <row customHeight="1" ht="14.25" hidden="1">
      <c r="AD18" s="1370"/>
      <c r="AE18" s="1370"/>
      <c r="AF18" s="1370"/>
      <c r="AG18" s="338" t="str">
        <f>AH17&amp;"-"&amp;AJ17</f>
        <v>-</v>
      </c>
      <c r="AH18" s="2278"/>
      <c r="AI18" s="2278"/>
      <c r="AJ18" s="2278"/>
      <c r="AK18" s="2278"/>
      <c r="AS18" s="1165">
        <v>0</v>
      </c>
    </row>
    <row customHeight="1" ht="14.25" hidden="1">
      <c r="AK19" s="337"/>
      <c r="AS19" s="1165">
        <v>0</v>
      </c>
    </row>
    <row s="1376" customFormat="1" customHeight="1" ht="22.5" hidden="1">
      <c r="L20" s="1339"/>
      <c r="M20" s="1372"/>
      <c r="N20" s="1372"/>
      <c r="O20" s="1377" t="s">
        <v>439</v>
      </c>
      <c r="P20" s="1372"/>
      <c r="Q20" s="1381"/>
      <c r="R20" s="1381"/>
      <c r="S20" s="739"/>
      <c r="Z20" s="1377"/>
      <c r="AB20" s="1377"/>
      <c r="AC20" s="1376"/>
      <c r="AH20" s="1377"/>
      <c r="AJ20" s="1377"/>
      <c r="AK20" s="1376"/>
      <c r="AN20" s="521"/>
      <c r="AO20" s="521"/>
      <c r="AP20" s="521"/>
      <c r="AQ20" s="521"/>
      <c r="AR20" s="521"/>
      <c r="AS20" s="1170">
        <v>0</v>
      </c>
    </row>
    <row s="1376" customFormat="1" customHeight="1" ht="14.25" hidden="1">
      <c r="L21" s="1339"/>
      <c r="M21" s="1372"/>
      <c r="N21" s="1372"/>
      <c r="O21" s="1372"/>
      <c r="P21" s="1372"/>
      <c r="Q21" s="1381"/>
      <c r="R21" s="1381"/>
      <c r="S21" s="739"/>
      <c r="AC21" s="1376"/>
      <c r="AK21" s="1376"/>
      <c r="AN21" s="521"/>
      <c r="AO21" s="521"/>
      <c r="AP21" s="521"/>
      <c r="AQ21" s="521"/>
      <c r="AR21" s="521"/>
      <c r="AS21" s="1170">
        <v>0</v>
      </c>
    </row>
    <row s="1376" customFormat="1" customHeight="1" ht="14.25" hidden="1">
      <c r="L22" s="1339"/>
      <c r="M22" s="1372"/>
      <c r="N22" s="1372"/>
      <c r="O22" s="1374" t="s">
        <v>440</v>
      </c>
      <c r="P22" s="1372"/>
      <c r="Q22" s="1381"/>
      <c r="R22" s="1381"/>
      <c r="S22" s="739"/>
      <c r="T22" s="1170" t="s">
        <v>441</v>
      </c>
      <c r="AA22" s="196" t="s">
        <v>442</v>
      </c>
      <c r="AC22" s="196" t="s">
        <v>443</v>
      </c>
      <c r="AD22" s="1170" t="s">
        <v>441</v>
      </c>
      <c r="AI22" s="196" t="s">
        <v>444</v>
      </c>
      <c r="AK22" s="196" t="s">
        <v>443</v>
      </c>
      <c r="AN22" s="521"/>
      <c r="AO22" s="521"/>
      <c r="AP22" s="521"/>
      <c r="AQ22" s="521"/>
      <c r="AR22" s="521"/>
      <c r="AS22" s="1170">
        <v>0</v>
      </c>
    </row>
    <row customHeight="1" ht="14.25" hidden="1">
      <c r="O23" s="1374"/>
      <c r="AS23" s="1165">
        <v>0</v>
      </c>
    </row>
    <row customHeight="1" ht="14.25" hidden="1">
      <c r="O24" s="1374"/>
      <c r="AS24" s="1165">
        <v>0</v>
      </c>
    </row>
    <row customHeight="1" ht="14.699999999999998">
      <c r="Q25" s="386"/>
      <c r="R25" s="386"/>
      <c r="S25" s="1285"/>
      <c r="T25" s="373"/>
      <c r="U25" s="373"/>
      <c r="V25" s="519"/>
      <c r="W25" s="519"/>
      <c r="X25" s="519"/>
      <c r="Y25" s="519"/>
      <c r="Z25" s="519"/>
      <c r="AA25" s="519"/>
      <c r="AB25" s="519"/>
      <c r="AC25" s="519"/>
      <c r="AD25" s="519"/>
      <c r="AE25" s="519"/>
      <c r="AF25" s="519"/>
      <c r="AG25" s="519"/>
      <c r="AH25" s="519"/>
      <c r="AI25" s="519"/>
      <c r="AJ25" s="519"/>
      <c r="AK25" s="519"/>
      <c r="AS25" s="1165">
        <v>14</v>
      </c>
    </row>
    <row customHeight="1" ht="63">
      <c r="Q26" s="386"/>
      <c r="R26" s="386"/>
      <c r="S26" s="225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8"/>
      <c r="U26" s="2258"/>
      <c r="V26" s="2258"/>
      <c r="W26" s="2258"/>
      <c r="X26" s="2258"/>
      <c r="Y26" s="2258"/>
      <c r="Z26" s="2258"/>
      <c r="AA26" s="2258"/>
      <c r="AB26" s="2258"/>
      <c r="AC26" s="2258"/>
      <c r="AD26" s="2258"/>
      <c r="AE26" s="2258"/>
      <c r="AF26" s="2258"/>
      <c r="AG26" s="2258"/>
      <c r="AH26" s="2258"/>
      <c r="AI26" s="2258"/>
      <c r="AJ26" s="2258"/>
      <c r="AK26" s="1253"/>
      <c r="AS26" s="1165">
        <v>60</v>
      </c>
    </row>
    <row customHeight="1" ht="14.699999999999998">
      <c r="Q27" s="386"/>
      <c r="R27" s="386"/>
      <c r="S27" s="2259" t="str">
        <f>IF(org=0,"Не определено",org)</f>
        <v>АО «ДГК» СП «Нерюнгринская ГРЭС»</v>
      </c>
      <c r="T27" s="2259"/>
      <c r="U27" s="2259"/>
      <c r="V27" s="2259"/>
      <c r="W27" s="2259"/>
      <c r="X27" s="2259"/>
      <c r="Y27" s="2259"/>
      <c r="Z27" s="2259"/>
      <c r="AA27" s="2259"/>
      <c r="AB27" s="2259"/>
      <c r="AC27" s="2259"/>
      <c r="AD27" s="2259"/>
      <c r="AE27" s="2259"/>
      <c r="AF27" s="2259"/>
      <c r="AG27" s="2259"/>
      <c r="AH27" s="2259"/>
      <c r="AI27" s="2259"/>
      <c r="AJ27" s="2259"/>
      <c r="AK27" s="1253"/>
      <c r="AS27" s="1165">
        <v>14</v>
      </c>
    </row>
    <row customHeight="1" ht="14.25" hidden="1">
      <c r="Q28" s="386"/>
      <c r="R28" s="386"/>
      <c r="S28" s="1285"/>
      <c r="T28" s="373"/>
      <c r="U28" s="373"/>
      <c r="V28" s="332"/>
      <c r="W28" s="332"/>
      <c r="X28" s="332"/>
      <c r="Y28" s="332"/>
      <c r="Z28" s="332"/>
      <c r="AA28" s="332"/>
      <c r="AB28" s="332"/>
      <c r="AC28" s="332"/>
      <c r="AD28" s="332"/>
      <c r="AE28" s="332"/>
      <c r="AF28" s="332"/>
      <c r="AG28" s="332"/>
      <c r="AH28" s="332"/>
      <c r="AI28" s="332"/>
      <c r="AJ28" s="332"/>
      <c r="AK28" s="332"/>
      <c r="AL28" s="519"/>
      <c r="AS28" s="1165">
        <v>0</v>
      </c>
    </row>
    <row s="1863" customFormat="1" customHeight="1" ht="25.5" hidden="1">
      <c r="A29" s="1378"/>
      <c r="B29" s="1378"/>
      <c r="C29" s="1378"/>
      <c r="D29" s="1378"/>
      <c r="E29" s="1378"/>
      <c r="F29" s="1378"/>
      <c r="G29" s="1378"/>
      <c r="H29" s="1378"/>
      <c r="I29" s="1378"/>
      <c r="J29" s="1378"/>
      <c r="K29" s="1378"/>
      <c r="L29" s="1379"/>
      <c r="M29" s="1378"/>
      <c r="N29" s="1378"/>
      <c r="O29" s="1378"/>
      <c r="S29" s="2260" t="s">
        <v>42</v>
      </c>
      <c r="T29" s="2260"/>
      <c r="U29" s="1382"/>
      <c r="V29" s="2261" t="str">
        <f>IF(TITLE_NAME_OR_PR_CHANGE="",IF(TITLE_NAME_OR_PR="","",TITLE_NAME_OR_PR),TITLE_NAME_OR_PR_CHANGE)</f>
        <v/>
      </c>
      <c r="W29" s="2261"/>
      <c r="X29" s="2261"/>
      <c r="Y29" s="2261"/>
      <c r="Z29" s="2261"/>
      <c r="AA29" s="2261"/>
      <c r="AB29" s="2261"/>
      <c r="AC29" s="336"/>
      <c r="AD29" s="2261" t="str">
        <f>IF(TITLE_NAME_OR_PR_CHANGE="",IF(TITLE_NAME_OR_PR="","",TITLE_NAME_OR_PR),TITLE_NAME_OR_PR_CHANGE)</f>
        <v/>
      </c>
      <c r="AE29" s="2261"/>
      <c r="AF29" s="2261"/>
      <c r="AG29" s="2261"/>
      <c r="AH29" s="2261"/>
      <c r="AI29" s="2261"/>
      <c r="AJ29" s="2261"/>
      <c r="AK29" s="336"/>
      <c r="AL29" s="336"/>
      <c r="AM29" s="290"/>
      <c r="AN29" s="378"/>
      <c r="AO29" s="378"/>
      <c r="AP29" s="378"/>
      <c r="AQ29" s="378"/>
      <c r="AR29" s="378"/>
      <c r="AS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445</v>
      </c>
      <c r="T30" s="2260"/>
      <c r="U30" s="1382"/>
      <c r="V30" s="2274" t="str">
        <f>IF(TITLE_DATE_PR_CHANGE="",IF(TITLE_DATE_PR="","",TITLE_DATE_PR),TITLE_DATE_PR_CHANGE)</f>
        <v/>
      </c>
      <c r="W30" s="2274"/>
      <c r="X30" s="2274"/>
      <c r="Y30" s="2274"/>
      <c r="Z30" s="2274"/>
      <c r="AA30" s="2274"/>
      <c r="AB30" s="2274"/>
      <c r="AC30" s="336"/>
      <c r="AD30" s="2274" t="str">
        <f>IF(TITLE_DATE_PR_CHANGE="",IF(TITLE_DATE_PR="","",TITLE_DATE_PR),TITLE_DATE_PR_CHANGE)</f>
        <v/>
      </c>
      <c r="AE30" s="2274"/>
      <c r="AF30" s="2274"/>
      <c r="AG30" s="2274"/>
      <c r="AH30" s="2274"/>
      <c r="AI30" s="2274"/>
      <c r="AJ30" s="2274"/>
      <c r="AK30" s="336"/>
      <c r="AL30" s="336"/>
      <c r="AM30" s="290"/>
      <c r="AN30" s="378"/>
      <c r="AO30" s="378"/>
      <c r="AP30" s="378"/>
      <c r="AQ30" s="378"/>
      <c r="AR30" s="378"/>
      <c r="AS30" s="428">
        <v>0</v>
      </c>
    </row>
    <row s="1863" customFormat="1" customHeight="1" ht="18.75" hidden="1">
      <c r="A31" s="1378"/>
      <c r="B31" s="1378"/>
      <c r="C31" s="1378"/>
      <c r="D31" s="1378"/>
      <c r="E31" s="1378"/>
      <c r="F31" s="1378"/>
      <c r="G31" s="1378"/>
      <c r="H31" s="1378"/>
      <c r="I31" s="1378"/>
      <c r="J31" s="1378"/>
      <c r="K31" s="1378"/>
      <c r="L31" s="1379"/>
      <c r="M31" s="1378"/>
      <c r="N31" s="1378"/>
      <c r="O31" s="1378"/>
      <c r="S31" s="2260" t="s">
        <v>446</v>
      </c>
      <c r="T31" s="2260"/>
      <c r="U31" s="1382"/>
      <c r="V31" s="2261" t="str">
        <f>IF(TITLE_NUMBER_PR_CHANGE="",IF(TITLE_NUMBER_PR="","",TITLE_NUMBER_PR),TITLE_NUMBER_PR_CHANGE)</f>
        <v/>
      </c>
      <c r="W31" s="2261"/>
      <c r="X31" s="2261"/>
      <c r="Y31" s="2261"/>
      <c r="Z31" s="2261"/>
      <c r="AA31" s="2261"/>
      <c r="AB31" s="2261"/>
      <c r="AC31" s="336"/>
      <c r="AD31" s="2261" t="str">
        <f>IF(TITLE_NUMBER_PR_CHANGE="",IF(TITLE_NUMBER_PR="","",TITLE_NUMBER_PR),TITLE_NUMBER_PR_CHANGE)</f>
        <v/>
      </c>
      <c r="AE31" s="2261"/>
      <c r="AF31" s="2261"/>
      <c r="AG31" s="2261"/>
      <c r="AH31" s="2261"/>
      <c r="AI31" s="2261"/>
      <c r="AJ31" s="2261"/>
      <c r="AK31" s="336"/>
      <c r="AL31" s="336"/>
      <c r="AM31" s="290"/>
      <c r="AN31" s="378"/>
      <c r="AO31" s="378"/>
      <c r="AP31" s="378"/>
      <c r="AQ31" s="378"/>
      <c r="AR31" s="378"/>
      <c r="AS31" s="428">
        <v>0</v>
      </c>
    </row>
    <row s="1863" customFormat="1" customHeight="1" ht="18.75" hidden="1">
      <c r="A32" s="1378"/>
      <c r="B32" s="1378"/>
      <c r="C32" s="1378"/>
      <c r="D32" s="1378"/>
      <c r="E32" s="1378"/>
      <c r="F32" s="1378"/>
      <c r="G32" s="1378"/>
      <c r="H32" s="1378"/>
      <c r="I32" s="1378"/>
      <c r="J32" s="1378"/>
      <c r="K32" s="1378"/>
      <c r="L32" s="1379"/>
      <c r="M32" s="1378"/>
      <c r="N32" s="1378"/>
      <c r="O32" s="1378"/>
      <c r="S32" s="2260" t="s">
        <v>43</v>
      </c>
      <c r="T32" s="2260"/>
      <c r="U32" s="1382"/>
      <c r="V32" s="2261" t="str">
        <f>IF(TITLE_IST_PUB_CHANGE="",IF(TITLE_IST_PUB="","",TITLE_IST_PUB),TITLE_IST_PUB_CHANGE)</f>
        <v/>
      </c>
      <c r="W32" s="2261"/>
      <c r="X32" s="2261"/>
      <c r="Y32" s="2261"/>
      <c r="Z32" s="2261"/>
      <c r="AA32" s="2261"/>
      <c r="AB32" s="2261"/>
      <c r="AC32" s="336"/>
      <c r="AD32" s="2261" t="str">
        <f>IF(TITLE_IST_PUB_CHANGE="",IF(TITLE_IST_PUB="","",TITLE_IST_PUB),TITLE_IST_PUB_CHANGE)</f>
        <v/>
      </c>
      <c r="AE32" s="2261"/>
      <c r="AF32" s="2261"/>
      <c r="AG32" s="2261"/>
      <c r="AH32" s="2261"/>
      <c r="AI32" s="2261"/>
      <c r="AJ32" s="2261"/>
      <c r="AK32" s="336"/>
      <c r="AL32" s="336"/>
      <c r="AM32" s="290"/>
      <c r="AN32" s="378"/>
      <c r="AO32" s="378"/>
      <c r="AP32" s="378"/>
      <c r="AQ32" s="378"/>
      <c r="AR32" s="378"/>
      <c r="AS32" s="428">
        <v>0</v>
      </c>
    </row>
    <row customHeight="1" ht="14.25" hidden="1">
      <c r="Q33" s="386"/>
      <c r="R33" s="386"/>
      <c r="S33" s="1285"/>
      <c r="T33" s="373"/>
      <c r="U33" s="373"/>
      <c r="V33" s="332"/>
      <c r="W33" s="332"/>
      <c r="X33" s="332"/>
      <c r="Y33" s="332"/>
      <c r="Z33" s="332"/>
      <c r="AA33" s="332"/>
      <c r="AB33" s="332"/>
      <c r="AC33" s="332"/>
      <c r="AD33" s="332"/>
      <c r="AE33" s="332"/>
      <c r="AF33" s="332"/>
      <c r="AG33" s="332"/>
      <c r="AH33" s="332"/>
      <c r="AI33" s="332"/>
      <c r="AJ33" s="332"/>
      <c r="AK33" s="332"/>
      <c r="AL33" s="519"/>
      <c r="AS33" s="1165">
        <v>0</v>
      </c>
    </row>
    <row s="1863" customFormat="1" customHeight="1" ht="18.75" hidden="1">
      <c r="A34" s="1378"/>
      <c r="B34" s="1378"/>
      <c r="C34" s="1378"/>
      <c r="D34" s="1378"/>
      <c r="E34" s="1378"/>
      <c r="F34" s="1378"/>
      <c r="G34" s="1378"/>
      <c r="H34" s="1378"/>
      <c r="I34" s="1378"/>
      <c r="J34" s="1378"/>
      <c r="K34" s="1378"/>
      <c r="L34" s="1379"/>
      <c r="M34" s="1378"/>
      <c r="N34" s="1378"/>
      <c r="O34" s="1378"/>
      <c r="S34" s="2260" t="s">
        <v>447</v>
      </c>
      <c r="T34" s="2260"/>
      <c r="U34" s="1382"/>
      <c r="V34" s="2274" t="str">
        <f>IF(TITLE_DATE_PR_CHANGE="",IF(TITLE_DATE_PR="","",TITLE_DATE_PR),TITLE_DATE_PR_CHANGE)</f>
        <v/>
      </c>
      <c r="W34" s="2274"/>
      <c r="X34" s="2274"/>
      <c r="Y34" s="2274"/>
      <c r="Z34" s="2274"/>
      <c r="AA34" s="2274"/>
      <c r="AB34" s="2274"/>
      <c r="AC34" s="336"/>
      <c r="AD34" s="2274" t="str">
        <f>IF(TITLE_DATE_PR_CHANGE="",IF(TITLE_DATE_PR="","",TITLE_DATE_PR),TITLE_DATE_PR_CHANGE)</f>
        <v/>
      </c>
      <c r="AE34" s="2274"/>
      <c r="AF34" s="2274"/>
      <c r="AG34" s="2274"/>
      <c r="AH34" s="2274"/>
      <c r="AI34" s="2274"/>
      <c r="AJ34" s="2274"/>
      <c r="AK34" s="336"/>
      <c r="AL34" s="336"/>
      <c r="AM34" s="290"/>
      <c r="AN34" s="378"/>
      <c r="AO34" s="378"/>
      <c r="AP34" s="378"/>
      <c r="AQ34" s="378"/>
      <c r="AR34" s="378"/>
      <c r="AS34" s="428">
        <v>0</v>
      </c>
    </row>
    <row s="1863" customFormat="1" customHeight="1" ht="18.75" hidden="1">
      <c r="A35" s="1378"/>
      <c r="B35" s="1378"/>
      <c r="C35" s="1378"/>
      <c r="D35" s="1378"/>
      <c r="E35" s="1378"/>
      <c r="F35" s="1378"/>
      <c r="G35" s="1378"/>
      <c r="H35" s="1378"/>
      <c r="I35" s="1378"/>
      <c r="J35" s="1378"/>
      <c r="K35" s="1378"/>
      <c r="L35" s="1379"/>
      <c r="M35" s="1378"/>
      <c r="N35" s="1378"/>
      <c r="O35" s="1378"/>
      <c r="S35" s="2260" t="s">
        <v>448</v>
      </c>
      <c r="T35" s="2260"/>
      <c r="U35" s="1382"/>
      <c r="V35" s="2261" t="str">
        <f>IF(TITLE_NUMBER_PR_CHANGE="",IF(TITLE_NUMBER_PR="","",TITLE_NUMBER_PR),TITLE_NUMBER_PR_CHANGE)</f>
        <v/>
      </c>
      <c r="W35" s="2261"/>
      <c r="X35" s="2261"/>
      <c r="Y35" s="2261"/>
      <c r="Z35" s="2261"/>
      <c r="AA35" s="2261"/>
      <c r="AB35" s="2261"/>
      <c r="AC35" s="336"/>
      <c r="AD35" s="2261" t="str">
        <f>IF(TITLE_NUMBER_PR_CHANGE="",IF(TITLE_NUMBER_PR="","",TITLE_NUMBER_PR),TITLE_NUMBER_PR_CHANGE)</f>
        <v/>
      </c>
      <c r="AE35" s="2261"/>
      <c r="AF35" s="2261"/>
      <c r="AG35" s="2261"/>
      <c r="AH35" s="2261"/>
      <c r="AI35" s="2261"/>
      <c r="AJ35" s="2261"/>
      <c r="AK35" s="336"/>
      <c r="AL35" s="336"/>
      <c r="AM35" s="290"/>
      <c r="AN35" s="378"/>
      <c r="AO35" s="378"/>
      <c r="AP35" s="378"/>
      <c r="AQ35" s="378"/>
      <c r="AR35" s="378"/>
      <c r="AS35" s="428">
        <v>0</v>
      </c>
    </row>
    <row s="1863" customFormat="1" customHeight="1" ht="0">
      <c r="A36" s="1378"/>
      <c r="B36" s="1378"/>
      <c r="C36" s="1378"/>
      <c r="D36" s="1378"/>
      <c r="E36" s="1378"/>
      <c r="F36" s="1378"/>
      <c r="G36" s="1378"/>
      <c r="H36" s="1378"/>
      <c r="I36" s="1378"/>
      <c r="J36" s="1378"/>
      <c r="K36" s="1378"/>
      <c r="L36" s="1379"/>
      <c r="M36" s="1378"/>
      <c r="N36" s="1378"/>
      <c r="O36" s="1378"/>
      <c r="S36" s="333"/>
      <c r="T36" s="333"/>
      <c r="U36" s="1350"/>
      <c r="V36" s="336"/>
      <c r="W36" s="336"/>
      <c r="X36" s="336"/>
      <c r="Y36" s="336"/>
      <c r="Z36" s="336"/>
      <c r="AA36" s="336"/>
      <c r="AB36" s="336"/>
      <c r="AC36" s="288" t="s">
        <v>449</v>
      </c>
      <c r="AD36" s="336"/>
      <c r="AE36" s="336"/>
      <c r="AF36" s="336"/>
      <c r="AG36" s="336"/>
      <c r="AH36" s="336"/>
      <c r="AI36" s="336"/>
      <c r="AJ36" s="336"/>
      <c r="AK36" s="288" t="s">
        <v>449</v>
      </c>
      <c r="AN36" s="378"/>
      <c r="AO36" s="378"/>
      <c r="AP36" s="378"/>
      <c r="AQ36" s="378"/>
      <c r="AR36" s="378"/>
      <c r="AS36" s="428">
        <v>0</v>
      </c>
    </row>
    <row customHeight="1" ht="14.699999999999998">
      <c r="Q37" s="386"/>
      <c r="R37" s="386"/>
      <c r="S37" s="1285"/>
      <c r="T37" s="373"/>
      <c r="U37" s="1254"/>
      <c r="V37" s="2262"/>
      <c r="W37" s="2262"/>
      <c r="X37" s="2262"/>
      <c r="Y37" s="2262"/>
      <c r="Z37" s="2262"/>
      <c r="AA37" s="2262"/>
      <c r="AB37" s="2262"/>
      <c r="AC37" s="2262"/>
      <c r="AD37" s="2262"/>
      <c r="AE37" s="2262"/>
      <c r="AF37" s="2262"/>
      <c r="AG37" s="2262"/>
      <c r="AH37" s="2262"/>
      <c r="AI37" s="2262"/>
      <c r="AJ37" s="2262"/>
      <c r="AK37" s="2262"/>
      <c r="AS37" s="1165">
        <v>14</v>
      </c>
    </row>
    <row customHeight="1" ht="14.699999999999998">
      <c r="Q38" s="386"/>
      <c r="R38" s="386"/>
      <c r="S38" s="2137" t="s">
        <v>322</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323</v>
      </c>
      <c r="AS38" s="1165">
        <v>14</v>
      </c>
    </row>
    <row customHeight="1" ht="14.699999999999998">
      <c r="Q39" s="386"/>
      <c r="R39" s="386"/>
      <c r="S39" s="2283" t="s">
        <v>88</v>
      </c>
      <c r="T39" s="2219" t="s">
        <v>450</v>
      </c>
      <c r="U39" s="311"/>
      <c r="V39" s="2284" t="s">
        <v>451</v>
      </c>
      <c r="W39" s="2285"/>
      <c r="X39" s="2285"/>
      <c r="Y39" s="2285"/>
      <c r="Z39" s="2285"/>
      <c r="AA39" s="2285"/>
      <c r="AB39" s="2286"/>
      <c r="AC39" s="2287" t="s">
        <v>452</v>
      </c>
      <c r="AD39" s="2284" t="s">
        <v>451</v>
      </c>
      <c r="AE39" s="2285"/>
      <c r="AF39" s="2285"/>
      <c r="AG39" s="2285"/>
      <c r="AH39" s="2285"/>
      <c r="AI39" s="2285"/>
      <c r="AJ39" s="2286"/>
      <c r="AK39" s="2287" t="s">
        <v>453</v>
      </c>
      <c r="AL39" s="2290" t="s">
        <v>454</v>
      </c>
      <c r="AM39" s="2137"/>
      <c r="AS39" s="1165">
        <v>14</v>
      </c>
    </row>
    <row customHeight="1" ht="35.699999999999996">
      <c r="Q40" s="386"/>
      <c r="R40" s="386"/>
      <c r="S40" s="2283"/>
      <c r="T40" s="2219"/>
      <c r="U40" s="1041"/>
      <c r="V40" s="2270" t="s">
        <v>455</v>
      </c>
      <c r="W40" s="2293"/>
      <c r="X40" s="2272" t="s">
        <v>457</v>
      </c>
      <c r="Y40" s="2273"/>
      <c r="Z40" s="2272" t="s">
        <v>458</v>
      </c>
      <c r="AA40" s="2279"/>
      <c r="AB40" s="2273"/>
      <c r="AC40" s="2288"/>
      <c r="AD40" s="2270" t="s">
        <v>472</v>
      </c>
      <c r="AE40" s="2293"/>
      <c r="AF40" s="2272" t="s">
        <v>457</v>
      </c>
      <c r="AG40" s="2273"/>
      <c r="AH40" s="2272" t="s">
        <v>458</v>
      </c>
      <c r="AI40" s="2279"/>
      <c r="AJ40" s="2273"/>
      <c r="AK40" s="2288"/>
      <c r="AL40" s="2291"/>
      <c r="AM40" s="2137"/>
      <c r="AS40" s="1165">
        <v>34</v>
      </c>
    </row>
    <row customHeight="1" ht="35.699999999999996">
      <c r="A41" s="1380"/>
      <c r="B41" s="1380" t="s">
        <v>159</v>
      </c>
      <c r="C41" s="1380" t="s">
        <v>160</v>
      </c>
      <c r="D41" s="1380" t="s">
        <v>161</v>
      </c>
      <c r="E41" s="1374" t="s">
        <v>459</v>
      </c>
      <c r="F41" s="1374" t="s">
        <v>460</v>
      </c>
      <c r="G41" s="1374" t="s">
        <v>461</v>
      </c>
      <c r="H41" s="1374" t="s">
        <v>462</v>
      </c>
      <c r="I41" s="1374" t="s">
        <v>463</v>
      </c>
      <c r="J41" s="1374" t="s">
        <v>464</v>
      </c>
      <c r="K41" s="1374" t="s">
        <v>465</v>
      </c>
      <c r="L41" s="1374" t="s">
        <v>440</v>
      </c>
      <c r="Q41" s="386"/>
      <c r="R41" s="386"/>
      <c r="S41" s="2283"/>
      <c r="T41" s="2219"/>
      <c r="U41" s="312"/>
      <c r="V41" s="2271"/>
      <c r="W41" s="2294"/>
      <c r="X41" s="1232" t="s">
        <v>466</v>
      </c>
      <c r="Y41" s="1232" t="s">
        <v>467</v>
      </c>
      <c r="Z41" s="1348" t="s">
        <v>468</v>
      </c>
      <c r="AA41" s="2280" t="s">
        <v>469</v>
      </c>
      <c r="AB41" s="2281"/>
      <c r="AC41" s="2289"/>
      <c r="AD41" s="2271"/>
      <c r="AE41" s="2294"/>
      <c r="AF41" s="1232" t="s">
        <v>466</v>
      </c>
      <c r="AG41" s="1232" t="s">
        <v>467</v>
      </c>
      <c r="AH41" s="1348" t="s">
        <v>468</v>
      </c>
      <c r="AI41" s="2280" t="s">
        <v>469</v>
      </c>
      <c r="AJ41" s="2281"/>
      <c r="AK41" s="2289"/>
      <c r="AL41" s="2292"/>
      <c r="AM41" s="2137"/>
      <c r="AS41" s="1165">
        <v>34</v>
      </c>
    </row>
    <row s="1651" customFormat="1" customHeight="1" ht="11.25" hidden="1">
      <c r="A42" s="1380"/>
      <c r="B42" s="1380"/>
      <c r="C42" s="1380"/>
      <c r="D42" s="1380"/>
      <c r="E42" s="1380"/>
      <c r="F42" s="1380"/>
      <c r="G42" s="1380"/>
      <c r="H42" s="1380"/>
      <c r="I42" s="1380"/>
      <c r="J42" s="1380"/>
      <c r="K42" s="1380"/>
      <c r="L42" s="1374"/>
      <c r="M42" s="1372"/>
      <c r="N42" s="1372"/>
      <c r="O42" s="1372"/>
      <c r="P42" s="1256"/>
      <c r="Q42" s="1257"/>
      <c r="R42" s="1264">
        <v>1</v>
      </c>
      <c r="S42" s="1287" t="s">
        <v>124</v>
      </c>
      <c r="T42" s="1265" t="s">
        <v>104</v>
      </c>
      <c r="U42" s="1255" t="str">
        <f>OFFSET(U42,0,-1)</f>
        <v>2</v>
      </c>
      <c r="V42" s="1345">
        <f>OFFSET(V42,0,-1)+1</f>
        <v>3</v>
      </c>
      <c r="W42" s="1345"/>
      <c r="X42" s="1345">
        <f>OFFSET(X42,0,-1)+1</f>
        <v>1</v>
      </c>
      <c r="Y42" s="1345">
        <f>OFFSET(Y42,0,-1)+1</f>
        <v>2</v>
      </c>
      <c r="Z42" s="1345">
        <f>OFFSET(Z42,0,-1)+1</f>
        <v>3</v>
      </c>
      <c r="AA42" s="2282">
        <f>OFFSET(AA42,0,-1)+1</f>
        <v>4</v>
      </c>
      <c r="AB42" s="2282"/>
      <c r="AC42" s="1345">
        <f>OFFSET(AC42,0,-2)+1</f>
        <v>5</v>
      </c>
      <c r="AD42" s="1345">
        <f>OFFSET(AD42,0,-1)+1</f>
        <v>6</v>
      </c>
      <c r="AE42" s="1345"/>
      <c r="AF42" s="1345">
        <f>OFFSET(AF42,0,-1)+1</f>
        <v>1</v>
      </c>
      <c r="AG42" s="1345">
        <f>OFFSET(AG42,0,-1)+1</f>
        <v>2</v>
      </c>
      <c r="AH42" s="1345">
        <f>OFFSET(AH42,0,-1)+1</f>
        <v>3</v>
      </c>
      <c r="AI42" s="2282">
        <f>OFFSET(AI42,0,-1)+1</f>
        <v>4</v>
      </c>
      <c r="AJ42" s="2282"/>
      <c r="AK42" s="1345">
        <f>OFFSET(AK42,0,-2)+1</f>
        <v>5</v>
      </c>
      <c r="AL42" s="1255">
        <f>OFFSET(AL42,0,-1)</f>
        <v>5</v>
      </c>
      <c r="AM42" s="1345">
        <f>OFFSET(AM42,0,-1)+1</f>
        <v>6</v>
      </c>
      <c r="AN42" s="521"/>
      <c r="AO42" s="521"/>
      <c r="AP42" s="521"/>
      <c r="AQ42" s="521"/>
      <c r="AR42" s="521"/>
      <c r="AS42" s="506">
        <v>0</v>
      </c>
    </row>
    <row customHeight="1" ht="22.049999999999997">
      <c r="A43" s="1373" t="s">
        <v>192</v>
      </c>
      <c r="B43" s="1373"/>
      <c r="C43" s="1373"/>
      <c r="D43" s="1373"/>
      <c r="E43" s="2268">
        <v>1</v>
      </c>
      <c r="F43" s="1373"/>
      <c r="G43" s="1373"/>
      <c r="H43" s="1373"/>
      <c r="I43" s="1373"/>
      <c r="J43" s="1373"/>
      <c r="K43" s="1373"/>
      <c r="L43" s="1374"/>
      <c r="M43" s="1375"/>
      <c r="N43" s="1375"/>
      <c r="O43" s="1375"/>
      <c r="P43" s="371"/>
      <c r="Q43" s="370"/>
      <c r="R43" s="365"/>
      <c r="S43" s="1346">
        <f>INDEX(PT_DIFFERENTIATION_NUM_NTAR,MATCH(A43,PT_DIFFERENTIATION_NTAR_ID,0))</f>
        <v>0</v>
      </c>
      <c r="T43" s="308" t="s">
        <v>147</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0"/>
      <c r="AP43" s="510" t="str">
        <f>IF(T43="","",T43)</f>
        <v>Наименование тарифа</v>
      </c>
      <c r="AQ43" s="510"/>
      <c r="AR43" s="510"/>
      <c r="AS43" s="1165">
        <v>21</v>
      </c>
    </row>
    <row customHeight="1" ht="22.049999999999997">
      <c r="A44" s="1373" t="s">
        <v>192</v>
      </c>
      <c r="B44" s="1373" t="s">
        <v>193</v>
      </c>
      <c r="C44" s="1373"/>
      <c r="D44" s="1373"/>
      <c r="E44" s="2269"/>
      <c r="F44" s="2268">
        <v>1</v>
      </c>
      <c r="G44" s="1373"/>
      <c r="H44" s="1373"/>
      <c r="I44" s="1373"/>
      <c r="J44" s="1373"/>
      <c r="K44" s="1373"/>
      <c r="L44" s="1374"/>
      <c r="M44" s="1375"/>
      <c r="N44" s="1375"/>
      <c r="O44" s="1375"/>
      <c r="P44" s="1342"/>
      <c r="Q44" s="362"/>
      <c r="R44" s="363"/>
      <c r="S44" s="1346" t="str">
        <f>INDEX(PT_DIFFERENTIATION_NUM_TER,MATCH(B44,PT_DIFFERENTIATION_TER_ID,0))</f>
        <v>.</v>
      </c>
      <c r="T44" s="318" t="s">
        <v>419</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420</v>
      </c>
      <c r="AO44" s="510"/>
      <c r="AP44" s="510" t="str">
        <f>IF(T44="","",T44)</f>
        <v>Территория действия тарифа</v>
      </c>
      <c r="AQ44" s="510"/>
      <c r="AR44" s="510"/>
      <c r="AS44" s="1165">
        <v>21</v>
      </c>
    </row>
    <row customHeight="1" ht="24">
      <c r="A45" s="1373" t="s">
        <v>192</v>
      </c>
      <c r="B45" s="1373" t="s">
        <v>193</v>
      </c>
      <c r="C45" s="1373" t="s">
        <v>194</v>
      </c>
      <c r="D45" s="1373"/>
      <c r="E45" s="2269"/>
      <c r="F45" s="2269"/>
      <c r="G45" s="2268">
        <v>1</v>
      </c>
      <c r="H45" s="1373"/>
      <c r="I45" s="1373"/>
      <c r="J45" s="1373"/>
      <c r="K45" s="1373"/>
      <c r="L45" s="1374"/>
      <c r="M45" s="1375"/>
      <c r="N45" s="1375"/>
      <c r="O45" s="1375"/>
      <c r="P45" s="364"/>
      <c r="Q45" s="362"/>
      <c r="R45" s="363"/>
      <c r="S45" s="1346" t="str">
        <f>INDEX(PT_DIFFERENTIATION_NUM_CS,MATCH(C45,PT_DIFFERENTIATION_CS_ID,0))</f>
        <v>..</v>
      </c>
      <c r="T45" s="319" t="s">
        <v>421</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422</v>
      </c>
      <c r="AO45" s="510"/>
      <c r="AP45" s="510" t="str">
        <f>IF(T45="","",T45)</f>
        <v>Наименование системы теплоснабжения </v>
      </c>
      <c r="AQ45" s="510"/>
      <c r="AR45" s="510"/>
      <c r="AS45" s="1165">
        <v>23</v>
      </c>
    </row>
    <row customHeight="1" ht="22.049999999999997">
      <c r="A46" s="1373" t="s">
        <v>192</v>
      </c>
      <c r="B46" s="1373" t="s">
        <v>193</v>
      </c>
      <c r="C46" s="1373" t="s">
        <v>194</v>
      </c>
      <c r="D46" s="1373" t="s">
        <v>195</v>
      </c>
      <c r="E46" s="2269"/>
      <c r="F46" s="2269"/>
      <c r="G46" s="2269"/>
      <c r="H46" s="2268">
        <v>1</v>
      </c>
      <c r="I46" s="1373"/>
      <c r="J46" s="1373"/>
      <c r="K46" s="1373"/>
      <c r="L46" s="1374"/>
      <c r="M46" s="1375"/>
      <c r="N46" s="1375"/>
      <c r="O46" s="1375"/>
      <c r="P46" s="364"/>
      <c r="Q46" s="362"/>
      <c r="R46" s="363"/>
      <c r="S46" s="1346" t="str">
        <f>INDEX(PT_DIFFERENTIATION_NUM_IST_TE,MATCH(D46,PT_DIFFERENTIATION_IST_TE_ID,0))</f>
        <v>...</v>
      </c>
      <c r="T46" s="320" t="s">
        <v>423</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424</v>
      </c>
      <c r="AO46" s="510"/>
      <c r="AP46" s="510" t="str">
        <f>IF(T46="","",T46)</f>
        <v>Источник тепловой энергии  </v>
      </c>
      <c r="AQ46" s="510"/>
      <c r="AR46" s="510"/>
      <c r="AS46" s="1165">
        <v>21</v>
      </c>
    </row>
    <row s="1652" customFormat="1" customHeight="1" ht="0">
      <c r="A47" s="1353" t="s">
        <v>192</v>
      </c>
      <c r="B47" s="1353" t="s">
        <v>193</v>
      </c>
      <c r="C47" s="1353" t="s">
        <v>194</v>
      </c>
      <c r="D47" s="1353" t="s">
        <v>195</v>
      </c>
      <c r="E47" s="2269"/>
      <c r="F47" s="2269"/>
      <c r="G47" s="2269"/>
      <c r="H47" s="2269"/>
      <c r="I47" s="2266" t="str">
        <f>S46&amp;".1"</f>
        <v>....1</v>
      </c>
      <c r="J47" s="1353"/>
      <c r="K47" s="1353"/>
      <c r="L47" s="1356" t="s">
        <v>425</v>
      </c>
      <c r="M47" s="520"/>
      <c r="N47" s="520"/>
      <c r="O47" s="520"/>
      <c r="P47" s="2267">
        <v>1</v>
      </c>
      <c r="Q47" s="1341"/>
      <c r="R47" s="366"/>
      <c r="S47" s="1052"/>
      <c r="T47" s="1393"/>
      <c r="U47" s="1394"/>
      <c r="V47" s="2306"/>
      <c r="W47" s="2307"/>
      <c r="X47" s="2307"/>
      <c r="Y47" s="2307"/>
      <c r="Z47" s="2307"/>
      <c r="AA47" s="2307"/>
      <c r="AB47" s="2307"/>
      <c r="AC47" s="2308"/>
      <c r="AD47" s="2306"/>
      <c r="AE47" s="2307"/>
      <c r="AF47" s="2307"/>
      <c r="AG47" s="2307"/>
      <c r="AH47" s="2307"/>
      <c r="AI47" s="2307"/>
      <c r="AJ47" s="2307"/>
      <c r="AK47" s="2307"/>
      <c r="AL47" s="2308"/>
      <c r="AM47" s="1395"/>
      <c r="AO47" s="510"/>
      <c r="AP47" s="510" t="str">
        <f>IF(T47="","",T47)</f>
        <v/>
      </c>
      <c r="AQ47" s="510"/>
      <c r="AR47" s="510"/>
      <c r="AS47" s="521">
        <v>0</v>
      </c>
    </row>
    <row customHeight="1" ht="22.049999999999997">
      <c r="A48" s="1373" t="s">
        <v>192</v>
      </c>
      <c r="B48" s="1373" t="s">
        <v>193</v>
      </c>
      <c r="C48" s="1373" t="s">
        <v>194</v>
      </c>
      <c r="D48" s="1373" t="s">
        <v>195</v>
      </c>
      <c r="E48" s="2269"/>
      <c r="F48" s="2269"/>
      <c r="G48" s="2269"/>
      <c r="H48" s="2269"/>
      <c r="I48" s="2296"/>
      <c r="J48" s="2266" t="str">
        <f>S46&amp;".1"</f>
        <v>....1</v>
      </c>
      <c r="K48" s="1373"/>
      <c r="L48" s="1374" t="s">
        <v>428</v>
      </c>
      <c r="P48" s="2267"/>
      <c r="Q48" s="2267">
        <v>1</v>
      </c>
      <c r="R48" s="367"/>
      <c r="S48" s="1346" t="str">
        <f>$J48</f>
        <v>....1</v>
      </c>
      <c r="T48" s="296" t="s">
        <v>429</v>
      </c>
      <c r="U48" s="310"/>
      <c r="V48" s="2255"/>
      <c r="W48" s="2256"/>
      <c r="X48" s="2256"/>
      <c r="Y48" s="2256"/>
      <c r="Z48" s="2256"/>
      <c r="AA48" s="2256"/>
      <c r="AB48" s="2256"/>
      <c r="AC48" s="2257"/>
      <c r="AD48" s="2255"/>
      <c r="AE48" s="2256"/>
      <c r="AF48" s="2256"/>
      <c r="AG48" s="2256"/>
      <c r="AH48" s="2256"/>
      <c r="AI48" s="2256"/>
      <c r="AJ48" s="2256"/>
      <c r="AK48" s="2256"/>
      <c r="AL48" s="2257"/>
      <c r="AM48" s="1268" t="s">
        <v>430</v>
      </c>
      <c r="AO48" s="510"/>
      <c r="AP48" s="510" t="str">
        <f>IF(T48="","",T48)</f>
        <v>Группа потребителей</v>
      </c>
      <c r="AQ48" s="510"/>
      <c r="AR48" s="510"/>
      <c r="AS48" s="1165">
        <v>21</v>
      </c>
    </row>
    <row customHeight="1" ht="22.049999999999997">
      <c r="A49" s="1373" t="s">
        <v>192</v>
      </c>
      <c r="B49" s="1373" t="s">
        <v>193</v>
      </c>
      <c r="C49" s="1373" t="s">
        <v>194</v>
      </c>
      <c r="D49" s="1373" t="s">
        <v>195</v>
      </c>
      <c r="E49" s="2269"/>
      <c r="F49" s="2269"/>
      <c r="G49" s="2269"/>
      <c r="H49" s="2269"/>
      <c r="I49" s="2296"/>
      <c r="J49" s="2296"/>
      <c r="K49" s="2266" t="str">
        <f>J48&amp;".1"</f>
        <v>....1.1</v>
      </c>
      <c r="L49" s="1374" t="s">
        <v>431</v>
      </c>
      <c r="P49" s="2267"/>
      <c r="Q49" s="2267"/>
      <c r="R49" s="367">
        <v>1</v>
      </c>
      <c r="S49" s="1346" t="str">
        <f>$K49</f>
        <v>....1.1</v>
      </c>
      <c r="T49" s="1357"/>
      <c r="U49" s="310"/>
      <c r="V49" s="761"/>
      <c r="W49" s="335"/>
      <c r="X49" s="761"/>
      <c r="Y49" s="1267"/>
      <c r="Z49" s="2275"/>
      <c r="AA49" s="2117" t="s">
        <v>66</v>
      </c>
      <c r="AB49" s="2275"/>
      <c r="AC49" s="2117" t="s">
        <v>66</v>
      </c>
      <c r="AD49" s="761"/>
      <c r="AE49" s="335"/>
      <c r="AF49" s="761"/>
      <c r="AG49" s="1267"/>
      <c r="AH49" s="2275"/>
      <c r="AI49" s="2117" t="s">
        <v>66</v>
      </c>
      <c r="AJ49" s="2297"/>
      <c r="AK49" s="2117" t="s">
        <v>66</v>
      </c>
      <c r="AL49" s="1358"/>
      <c r="AM49" s="2263" t="s">
        <v>473</v>
      </c>
      <c r="AN49" s="521">
        <f>STRCHECKDATE(V50:AL50)</f>
      </c>
      <c r="AO49" s="510"/>
      <c r="AP49" s="510" t="str">
        <f>IF(T49="","",T49)</f>
        <v/>
      </c>
      <c r="AQ49" s="510"/>
      <c r="AR49" s="510"/>
      <c r="AS49" s="1165">
        <v>21</v>
      </c>
    </row>
    <row customHeight="1" ht="1.05">
      <c r="A50" s="1373" t="s">
        <v>192</v>
      </c>
      <c r="B50" s="1373" t="s">
        <v>193</v>
      </c>
      <c r="C50" s="1373" t="s">
        <v>194</v>
      </c>
      <c r="D50" s="1373" t="s">
        <v>195</v>
      </c>
      <c r="E50" s="2269"/>
      <c r="F50" s="2269"/>
      <c r="G50" s="2269"/>
      <c r="H50" s="2269"/>
      <c r="I50" s="2296"/>
      <c r="J50" s="2296"/>
      <c r="K50" s="2266"/>
      <c r="L50" s="1374"/>
      <c r="P50" s="2267"/>
      <c r="Q50" s="2267"/>
      <c r="R50" s="367"/>
      <c r="S50" s="1352"/>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510"/>
      <c r="AP50" s="510" t="str">
        <f>IF(T50="","",T50)</f>
        <v/>
      </c>
      <c r="AQ50" s="510"/>
      <c r="AR50" s="510"/>
      <c r="AS50" s="1165">
        <v>1</v>
      </c>
    </row>
    <row customHeight="1" ht="11.549999999999999">
      <c r="A51" s="1373" t="s">
        <v>192</v>
      </c>
      <c r="B51" s="1373" t="s">
        <v>193</v>
      </c>
      <c r="C51" s="1373" t="s">
        <v>194</v>
      </c>
      <c r="D51" s="1373" t="s">
        <v>195</v>
      </c>
      <c r="E51" s="2269"/>
      <c r="F51" s="2269"/>
      <c r="G51" s="2269"/>
      <c r="H51" s="2269"/>
      <c r="I51" s="2296"/>
      <c r="J51" s="2266"/>
      <c r="K51" s="1373"/>
      <c r="L51" s="1374"/>
      <c r="P51" s="2267"/>
      <c r="Q51" s="2267"/>
      <c r="R51" s="366"/>
      <c r="S51" s="1288"/>
      <c r="T51" s="297" t="s">
        <v>433</v>
      </c>
      <c r="U51" s="377"/>
      <c r="V51" s="377"/>
      <c r="W51" s="377"/>
      <c r="X51" s="377"/>
      <c r="Y51" s="377"/>
      <c r="Z51" s="377"/>
      <c r="AA51" s="377"/>
      <c r="AB51" s="377"/>
      <c r="AC51" s="377"/>
      <c r="AD51" s="377"/>
      <c r="AE51" s="377"/>
      <c r="AF51" s="377"/>
      <c r="AG51" s="377"/>
      <c r="AH51" s="377"/>
      <c r="AI51" s="377"/>
      <c r="AJ51" s="377"/>
      <c r="AK51" s="377"/>
      <c r="AL51" s="334"/>
      <c r="AM51" s="2265"/>
      <c r="AO51" s="510"/>
      <c r="AP51" s="510" t="str">
        <f>IF(T51="","",T51)</f>
        <v>Добавить вид теплоносителя (параметры теплоносителя)</v>
      </c>
      <c r="AQ51" s="510"/>
      <c r="AR51" s="510"/>
      <c r="AS51" s="1165">
        <v>11</v>
      </c>
    </row>
    <row customHeight="1" ht="11.549999999999999">
      <c r="A52" s="1373" t="s">
        <v>192</v>
      </c>
      <c r="B52" s="1373" t="s">
        <v>193</v>
      </c>
      <c r="C52" s="1373" t="s">
        <v>194</v>
      </c>
      <c r="D52" s="1373" t="s">
        <v>195</v>
      </c>
      <c r="E52" s="2269"/>
      <c r="F52" s="2269"/>
      <c r="G52" s="2269"/>
      <c r="H52" s="2269"/>
      <c r="I52" s="2266"/>
      <c r="J52" s="1373"/>
      <c r="K52" s="1373"/>
      <c r="L52" s="1374"/>
      <c r="P52" s="2267"/>
      <c r="Q52" s="1341"/>
      <c r="R52" s="366"/>
      <c r="S52" s="1288"/>
      <c r="T52" s="375" t="s">
        <v>434</v>
      </c>
      <c r="U52" s="377"/>
      <c r="V52" s="377"/>
      <c r="W52" s="377"/>
      <c r="X52" s="377"/>
      <c r="Y52" s="377"/>
      <c r="Z52" s="377"/>
      <c r="AA52" s="377"/>
      <c r="AB52" s="377"/>
      <c r="AC52" s="376"/>
      <c r="AD52" s="377"/>
      <c r="AE52" s="377"/>
      <c r="AF52" s="377"/>
      <c r="AG52" s="377"/>
      <c r="AH52" s="377"/>
      <c r="AI52" s="377"/>
      <c r="AJ52" s="377"/>
      <c r="AK52" s="376"/>
      <c r="AL52" s="377"/>
      <c r="AM52" s="313"/>
      <c r="AO52" s="510"/>
      <c r="AP52" s="510" t="str">
        <f>IF(T52="","",T52)</f>
        <v>Добавить группу потребителей</v>
      </c>
      <c r="AQ52" s="510"/>
      <c r="AR52" s="510"/>
      <c r="AS52" s="1165">
        <v>11</v>
      </c>
    </row>
    <row customHeight="1" ht="0">
      <c r="A53" s="1373" t="s">
        <v>192</v>
      </c>
      <c r="B53" s="1373" t="s">
        <v>193</v>
      </c>
      <c r="C53" s="1373" t="s">
        <v>194</v>
      </c>
      <c r="D53" s="1373" t="s">
        <v>195</v>
      </c>
      <c r="E53" s="2269"/>
      <c r="F53" s="2269"/>
      <c r="G53" s="2269"/>
      <c r="H53" s="2268"/>
      <c r="I53" s="1373"/>
      <c r="J53" s="1373"/>
      <c r="K53" s="1373"/>
      <c r="L53" s="1374"/>
      <c r="M53" s="1375"/>
      <c r="N53" s="1375"/>
      <c r="O53" s="547"/>
      <c r="P53" s="370"/>
      <c r="Q53" s="385"/>
      <c r="R53" s="365"/>
      <c r="S53" s="1396"/>
      <c r="T53" s="1397"/>
      <c r="U53" s="1398"/>
      <c r="V53" s="1398"/>
      <c r="W53" s="1398"/>
      <c r="X53" s="1398"/>
      <c r="Y53" s="1398"/>
      <c r="Z53" s="1398"/>
      <c r="AA53" s="1398"/>
      <c r="AB53" s="1398"/>
      <c r="AC53" s="1398"/>
      <c r="AD53" s="1398"/>
      <c r="AE53" s="1398"/>
      <c r="AF53" s="1398"/>
      <c r="AG53" s="1398"/>
      <c r="AH53" s="1398"/>
      <c r="AI53" s="1398"/>
      <c r="AJ53" s="1398"/>
      <c r="AK53" s="1398"/>
      <c r="AL53" s="1398"/>
      <c r="AM53" s="1399"/>
      <c r="AO53" s="510"/>
      <c r="AP53" s="510" t="str">
        <f>IF(T53="","",T53)</f>
        <v/>
      </c>
      <c r="AQ53" s="510"/>
      <c r="AR53" s="510"/>
      <c r="AS53" s="1165">
        <v>0</v>
      </c>
    </row>
    <row s="1652" customFormat="1" customHeight="1" ht="1.05">
      <c r="A54" s="1353" t="s">
        <v>192</v>
      </c>
      <c r="B54" s="1353" t="s">
        <v>193</v>
      </c>
      <c r="C54" s="1353" t="s">
        <v>194</v>
      </c>
      <c r="D54" s="1324"/>
      <c r="E54" s="2269"/>
      <c r="F54" s="2269"/>
      <c r="G54" s="2268"/>
      <c r="H54" s="1324"/>
      <c r="I54" s="1324"/>
      <c r="J54" s="1324"/>
      <c r="K54" s="1324"/>
      <c r="L54" s="1349"/>
      <c r="M54" s="1325"/>
      <c r="N54" s="1325"/>
      <c r="P54" s="1326"/>
      <c r="Q54" s="1327"/>
      <c r="R54" s="1326"/>
      <c r="S54" s="1332"/>
      <c r="T54" s="1335" t="s">
        <v>436</v>
      </c>
      <c r="U54" s="1334"/>
      <c r="V54" s="1334"/>
      <c r="W54" s="1334"/>
      <c r="X54" s="1334"/>
      <c r="Y54" s="1334"/>
      <c r="Z54" s="1334"/>
      <c r="AA54" s="1334"/>
      <c r="AB54" s="1334"/>
      <c r="AC54" s="1334"/>
      <c r="AD54" s="1334"/>
      <c r="AE54" s="1334"/>
      <c r="AF54" s="1334"/>
      <c r="AG54" s="1334"/>
      <c r="AH54" s="1334"/>
      <c r="AI54" s="1334"/>
      <c r="AJ54" s="1334"/>
      <c r="AK54" s="1334"/>
      <c r="AL54" s="1334"/>
      <c r="AM54" s="1334"/>
      <c r="AO54" s="799"/>
      <c r="AP54" s="799" t="str">
        <f>IF(T54="","",T54)</f>
        <v>Добавить источник для дифференциации</v>
      </c>
      <c r="AQ54" s="799"/>
      <c r="AR54" s="799"/>
      <c r="AS54" s="528">
        <v>1</v>
      </c>
    </row>
    <row s="1652" customFormat="1" customHeight="1" ht="1.05">
      <c r="A55" s="1353" t="s">
        <v>192</v>
      </c>
      <c r="B55" s="1353" t="s">
        <v>193</v>
      </c>
      <c r="C55" s="1324"/>
      <c r="D55" s="1324"/>
      <c r="E55" s="2269"/>
      <c r="F55" s="2268"/>
      <c r="G55" s="1324"/>
      <c r="H55" s="1324"/>
      <c r="I55" s="1324"/>
      <c r="J55" s="1324"/>
      <c r="K55" s="1324"/>
      <c r="L55" s="1349"/>
      <c r="M55" s="1331"/>
      <c r="N55" s="1331"/>
      <c r="P55" s="1326"/>
      <c r="Q55" s="1327"/>
      <c r="R55" s="1326"/>
      <c r="S55" s="1332"/>
      <c r="T55" s="1335" t="s">
        <v>437</v>
      </c>
      <c r="U55" s="1334"/>
      <c r="V55" s="1334"/>
      <c r="W55" s="1334"/>
      <c r="X55" s="1334"/>
      <c r="Y55" s="1334"/>
      <c r="Z55" s="1334"/>
      <c r="AA55" s="1334"/>
      <c r="AB55" s="1334"/>
      <c r="AC55" s="1334"/>
      <c r="AD55" s="1334"/>
      <c r="AE55" s="1334"/>
      <c r="AF55" s="1334"/>
      <c r="AG55" s="1334"/>
      <c r="AH55" s="1334"/>
      <c r="AI55" s="1334"/>
      <c r="AJ55" s="1334"/>
      <c r="AK55" s="1334"/>
      <c r="AL55" s="1334"/>
      <c r="AM55" s="1334"/>
      <c r="AO55" s="799"/>
      <c r="AP55" s="799" t="str">
        <f>IF(T55="","",T55)</f>
        <v>Добавить централизованную систему для дифференциации</v>
      </c>
      <c r="AQ55" s="799"/>
      <c r="AR55" s="799"/>
      <c r="AS55" s="528">
        <v>1</v>
      </c>
    </row>
    <row s="1652" customFormat="1" customHeight="1" ht="1.05">
      <c r="A56" s="1353" t="s">
        <v>192</v>
      </c>
      <c r="B56" s="1353"/>
      <c r="C56" s="1353"/>
      <c r="D56" s="1353"/>
      <c r="E56" s="2268"/>
      <c r="F56" s="1353"/>
      <c r="G56" s="1353"/>
      <c r="H56" s="1353"/>
      <c r="I56" s="1353"/>
      <c r="J56" s="1353"/>
      <c r="K56" s="1353"/>
      <c r="L56" s="1356"/>
      <c r="M56" s="1331"/>
      <c r="N56" s="1331"/>
      <c r="O56" s="528"/>
      <c r="P56" s="390"/>
      <c r="Q56" s="1354"/>
      <c r="R56" s="390"/>
      <c r="S56" s="1332"/>
      <c r="T56" s="1335" t="s">
        <v>438</v>
      </c>
      <c r="U56" s="1334"/>
      <c r="V56" s="1334"/>
      <c r="W56" s="1334"/>
      <c r="X56" s="1334"/>
      <c r="Y56" s="1334"/>
      <c r="Z56" s="1334"/>
      <c r="AA56" s="1334"/>
      <c r="AB56" s="1334"/>
      <c r="AC56" s="1334"/>
      <c r="AD56" s="1334"/>
      <c r="AE56" s="1334"/>
      <c r="AF56" s="1334"/>
      <c r="AG56" s="1334"/>
      <c r="AH56" s="1334"/>
      <c r="AI56" s="1334"/>
      <c r="AJ56" s="1334"/>
      <c r="AK56" s="1334"/>
      <c r="AL56" s="1334"/>
      <c r="AM56" s="1334"/>
      <c r="AO56" s="510"/>
      <c r="AP56" s="510" t="str">
        <f>IF(T56="","",T56)</f>
        <v>Добавить территорию для дифференциации</v>
      </c>
      <c r="AQ56" s="510"/>
      <c r="AR56" s="510"/>
      <c r="AS56" s="521">
        <v>1</v>
      </c>
    </row>
    <row s="1652" customFormat="1" customHeight="1" ht="1.05">
      <c r="A57" s="1324"/>
      <c r="B57" s="1324"/>
      <c r="C57" s="1324"/>
      <c r="D57" s="1324"/>
      <c r="E57" s="1353"/>
      <c r="F57" s="1324"/>
      <c r="G57" s="1324"/>
      <c r="H57" s="1324"/>
      <c r="I57" s="1324"/>
      <c r="J57" s="1324"/>
      <c r="K57" s="1324"/>
      <c r="L57" s="1349"/>
      <c r="M57" s="1331"/>
      <c r="N57" s="1331"/>
      <c r="P57" s="1326"/>
      <c r="Q57" s="1327"/>
      <c r="R57" s="1326"/>
      <c r="S57" s="1332"/>
      <c r="T57" s="1335" t="s">
        <v>470</v>
      </c>
      <c r="U57" s="1334"/>
      <c r="V57" s="1334"/>
      <c r="W57" s="1334"/>
      <c r="X57" s="1334"/>
      <c r="Y57" s="1334"/>
      <c r="Z57" s="1334"/>
      <c r="AA57" s="1334"/>
      <c r="AB57" s="1334"/>
      <c r="AC57" s="1334"/>
      <c r="AD57" s="1334"/>
      <c r="AE57" s="1334"/>
      <c r="AF57" s="1334"/>
      <c r="AG57" s="1334"/>
      <c r="AH57" s="1334"/>
      <c r="AI57" s="1334"/>
      <c r="AJ57" s="1334"/>
      <c r="AK57" s="1334"/>
      <c r="AL57" s="1334"/>
      <c r="AM57" s="1334"/>
      <c r="AO57" s="799"/>
      <c r="AP57" s="799" t="str">
        <f>IF(T57="","",T57)</f>
        <v>Добавить наименование тарифа</v>
      </c>
      <c r="AQ57" s="799"/>
      <c r="AR57" s="799"/>
      <c r="AS57" s="528">
        <v>1</v>
      </c>
    </row>
    <row customHeight="1" ht="11.549999999999999">
      <c r="M58" s="1170"/>
      <c r="N58" s="1170"/>
      <c r="O58" s="547"/>
      <c r="P58" s="1165"/>
      <c r="Q58" s="1165"/>
      <c r="R58" s="1165"/>
      <c r="S58" s="1165"/>
      <c r="AN58" s="1165"/>
      <c r="AO58" s="1165"/>
      <c r="AP58" s="1165"/>
      <c r="AQ58" s="1165"/>
      <c r="AR58" s="1165"/>
      <c r="AS58" s="1165">
        <v>11</v>
      </c>
    </row>
    <row customHeight="1" ht="19.95">
      <c r="O59" s="547"/>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165">
        <v>19</v>
      </c>
    </row>
    <row customHeight="1" ht="29.25">
      <c r="O60" s="547"/>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165">
        <v>28</v>
      </c>
    </row>
    <row customHeight="1" ht="42">
      <c r="O61" s="547"/>
      <c r="T61" s="2295"/>
      <c r="U61" s="2295"/>
      <c r="V61" s="2295"/>
      <c r="W61" s="2295"/>
      <c r="X61" s="2295"/>
      <c r="Y61" s="2295"/>
      <c r="Z61" s="2295"/>
      <c r="AA61" s="2295"/>
      <c r="AB61" s="2295"/>
      <c r="AC61" s="2295"/>
      <c r="AD61" s="2295"/>
      <c r="AE61" s="2295"/>
      <c r="AF61" s="2295"/>
      <c r="AG61" s="2295"/>
      <c r="AH61" s="2295"/>
      <c r="AI61" s="2295"/>
      <c r="AJ61" s="2295"/>
      <c r="AK61" s="2295"/>
      <c r="AL61" s="2295"/>
      <c r="AM61" s="2295"/>
      <c r="AS61" s="1165">
        <v>40</v>
      </c>
    </row>
    <row customHeight="1" ht="14.699999999999998">
      <c r="O62" s="547"/>
      <c r="AS62" s="1165">
        <v>14</v>
      </c>
    </row>
    <row customHeight="1" ht="21">
      <c r="O63" s="547"/>
      <c r="S63" s="1263"/>
      <c r="T63" s="2309"/>
      <c r="U63" s="2295"/>
      <c r="V63" s="2295"/>
      <c r="W63" s="2295"/>
      <c r="X63" s="2295"/>
      <c r="Y63" s="2295"/>
      <c r="Z63" s="2295"/>
      <c r="AA63" s="2295"/>
      <c r="AB63" s="2295"/>
      <c r="AC63" s="2295"/>
      <c r="AD63" s="2295"/>
      <c r="AE63" s="2295"/>
      <c r="AF63" s="2295"/>
      <c r="AG63" s="2295"/>
      <c r="AH63" s="2295"/>
      <c r="AI63" s="2295"/>
      <c r="AJ63" s="2295"/>
      <c r="AK63" s="2295"/>
      <c r="AL63" s="2295"/>
      <c r="AM63" s="2295"/>
      <c r="AS63" s="1165">
        <v>20</v>
      </c>
    </row>
    <row customHeight="1" ht="29.25">
      <c r="O64" s="547"/>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165">
        <v>28</v>
      </c>
    </row>
    <row customHeight="1" ht="35.699999999999996">
      <c r="T65" s="2295"/>
      <c r="U65" s="2295"/>
      <c r="V65" s="2295"/>
      <c r="W65" s="2295"/>
      <c r="X65" s="2295"/>
      <c r="Y65" s="2295"/>
      <c r="Z65" s="2295"/>
      <c r="AA65" s="2295"/>
      <c r="AB65" s="2295"/>
      <c r="AC65" s="2295"/>
      <c r="AD65" s="2295"/>
      <c r="AE65" s="2295"/>
      <c r="AF65" s="2295"/>
      <c r="AG65" s="2295"/>
      <c r="AH65" s="2295"/>
      <c r="AI65" s="2295"/>
      <c r="AJ65" s="2295"/>
      <c r="AK65" s="2295"/>
      <c r="AL65" s="2295"/>
      <c r="AM65" s="2295"/>
      <c r="AS65" s="1165">
        <v>34</v>
      </c>
    </row>
    <row customHeight="1" ht="22.5" hidden="1">
      <c r="A66" s="1170" t="s">
        <v>82</v>
      </c>
      <c r="B66" s="1170">
        <v>0</v>
      </c>
      <c r="C66" s="1170">
        <v>0</v>
      </c>
      <c r="D66" s="1170">
        <v>0</v>
      </c>
      <c r="E66" s="1170">
        <v>0</v>
      </c>
      <c r="F66" s="1170">
        <v>0</v>
      </c>
      <c r="G66" s="1170">
        <v>0</v>
      </c>
      <c r="H66" s="1170">
        <v>0</v>
      </c>
      <c r="I66" s="1170">
        <v>0</v>
      </c>
      <c r="J66" s="1170">
        <v>0</v>
      </c>
      <c r="K66" s="1170">
        <v>0</v>
      </c>
      <c r="L66" s="1339">
        <v>0</v>
      </c>
      <c r="M66" s="1372">
        <v>0</v>
      </c>
      <c r="N66" s="1372">
        <v>0</v>
      </c>
      <c r="O66" s="1372">
        <v>0</v>
      </c>
      <c r="P66" s="1338">
        <v>0</v>
      </c>
      <c r="Q66" s="354">
        <v>3</v>
      </c>
      <c r="R66" s="354">
        <v>3</v>
      </c>
      <c r="S66" s="591">
        <v>12</v>
      </c>
      <c r="T66" s="1165">
        <v>31</v>
      </c>
      <c r="U66" s="1165">
        <v>0</v>
      </c>
      <c r="V66" s="1165">
        <v>0</v>
      </c>
      <c r="W66" s="1165">
        <v>0</v>
      </c>
      <c r="X66" s="1165">
        <v>0</v>
      </c>
      <c r="Y66" s="1165">
        <v>0</v>
      </c>
      <c r="Z66" s="1165">
        <v>0</v>
      </c>
      <c r="AA66" s="1165">
        <v>0</v>
      </c>
      <c r="AB66" s="1165">
        <v>0</v>
      </c>
      <c r="AC66" s="1165">
        <v>0</v>
      </c>
      <c r="AD66" s="1165">
        <v>24</v>
      </c>
      <c r="AE66" s="1165">
        <v>0</v>
      </c>
      <c r="AF66" s="1165">
        <v>24</v>
      </c>
      <c r="AG66" s="1165">
        <v>24</v>
      </c>
      <c r="AH66" s="1165">
        <v>11</v>
      </c>
      <c r="AI66" s="1165">
        <v>3</v>
      </c>
      <c r="AJ66" s="1165">
        <v>11</v>
      </c>
      <c r="AK66" s="1165">
        <v>0</v>
      </c>
      <c r="AL66" s="1165">
        <v>4</v>
      </c>
      <c r="AM66" s="1165">
        <v>115</v>
      </c>
      <c r="AN66" s="521">
        <v>10</v>
      </c>
      <c r="AO66" s="521">
        <v>10</v>
      </c>
      <c r="AP66" s="521">
        <v>10</v>
      </c>
      <c r="AQ66" s="521">
        <v>10</v>
      </c>
      <c r="AR66" s="521">
        <v>10</v>
      </c>
      <c r="AS66" s="1165">
        <v>23</v>
      </c>
    </row>
  </sheetData>
  <sheetProtection sheet="1" formatColumns="0" formatRows="0" autoFilter="0" sort="1" insertRows="1" insertColumns="1" deleteRows="1" deleteColumns="1"/>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842DCB-37E7-6804-C2FB-0.7C4FEF03}"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2407" width="3.7109375" hidden="1" customWidth="1"/>
    <col min="17" max="18" style="354" width="3.00390625" customWidth="1"/>
    <col min="19" max="19" style="2417" width="12.00390625" customWidth="1"/>
    <col min="20" max="20" style="1645" width="31.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A1" s="1881"/>
      <c r="Y1" s="337"/>
      <c r="Z1" s="337"/>
      <c r="AG1" s="337"/>
      <c r="AH1" s="337"/>
      <c r="AS1" s="1165" t="s">
        <v>14</v>
      </c>
    </row>
    <row customHeight="1" ht="21" hidden="1">
      <c r="A2" s="1373"/>
      <c r="B2" s="1373"/>
      <c r="C2" s="1373"/>
      <c r="D2" s="1373"/>
      <c r="E2" s="2268">
        <v>1</v>
      </c>
      <c r="F2" s="1373"/>
      <c r="G2" s="1373"/>
      <c r="H2" s="1373"/>
      <c r="I2" s="1373"/>
      <c r="J2" s="1373"/>
      <c r="K2" s="1373"/>
      <c r="L2" s="1374"/>
      <c r="M2" s="1375"/>
      <c r="N2" s="1375"/>
      <c r="O2" s="1375"/>
      <c r="P2" s="371"/>
      <c r="Q2" s="370"/>
      <c r="R2" s="365"/>
      <c r="S2" s="1346">
        <f>INDEX(PT_DIFFERENTIATION_NUM_NTAR,MATCH(A2,PT_DIFFERENTIATION_NTAR_ID,0))</f>
      </c>
      <c r="T2" s="308" t="s">
        <v>147</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418</v>
      </c>
      <c r="AO2" s="510"/>
      <c r="AP2" s="510" t="str">
        <f>IF(T2="","",T2)</f>
        <v>Наименование тарифа</v>
      </c>
      <c r="AQ2" s="510"/>
      <c r="AR2" s="510"/>
      <c r="AS2" s="1165">
        <v>0</v>
      </c>
    </row>
    <row customHeight="1" ht="21" hidden="1">
      <c r="A3" s="1373"/>
      <c r="B3" s="1373"/>
      <c r="C3" s="1373"/>
      <c r="D3" s="1373"/>
      <c r="E3" s="2269"/>
      <c r="F3" s="2268">
        <v>1</v>
      </c>
      <c r="G3" s="1373"/>
      <c r="H3" s="1373"/>
      <c r="I3" s="1373"/>
      <c r="J3" s="1373"/>
      <c r="K3" s="1373"/>
      <c r="L3" s="1374"/>
      <c r="M3" s="1375"/>
      <c r="N3" s="1375"/>
      <c r="O3" s="1375"/>
      <c r="P3" s="1342"/>
      <c r="Q3" s="362"/>
      <c r="R3" s="363"/>
      <c r="S3" s="1346">
        <f>INDEX(PT_DIFFERENTIATION_NUM_TER,MATCH(B3,PT_DIFFERENTIATION_TER_ID,0))</f>
      </c>
      <c r="T3" s="318" t="s">
        <v>419</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420</v>
      </c>
      <c r="AO3" s="510"/>
      <c r="AP3" s="510" t="str">
        <f>IF(T3="","",T3)</f>
        <v>Территория действия тарифа</v>
      </c>
      <c r="AQ3" s="510"/>
      <c r="AR3" s="510"/>
      <c r="AS3" s="1165">
        <v>0</v>
      </c>
    </row>
    <row customHeight="1" ht="23.25" hidden="1">
      <c r="A4" s="1373"/>
      <c r="B4" s="1373"/>
      <c r="C4" s="1373"/>
      <c r="D4" s="1373"/>
      <c r="E4" s="2269"/>
      <c r="F4" s="2269"/>
      <c r="G4" s="2268">
        <v>1</v>
      </c>
      <c r="H4" s="1373"/>
      <c r="I4" s="1373"/>
      <c r="J4" s="1373"/>
      <c r="K4" s="1373"/>
      <c r="L4" s="1374"/>
      <c r="M4" s="1375"/>
      <c r="N4" s="1375"/>
      <c r="O4" s="1375"/>
      <c r="P4" s="364"/>
      <c r="Q4" s="362"/>
      <c r="R4" s="363"/>
      <c r="S4" s="2018">
        <f>INDEX(PT_DIFFERENTIATION_NUM_CS,MATCH(C4,PT_DIFFERENTIATION_CS_ID,0))</f>
      </c>
      <c r="T4" s="2022" t="s">
        <v>421</v>
      </c>
      <c r="U4" s="2023"/>
      <c r="V4" s="2310"/>
      <c r="W4" s="2311"/>
      <c r="X4" s="2311"/>
      <c r="Y4" s="2311"/>
      <c r="Z4" s="2311"/>
      <c r="AA4" s="2311"/>
      <c r="AB4" s="2311"/>
      <c r="AC4" s="2312"/>
      <c r="AD4" s="2310">
        <f>INDEX(PT_DIFFERENTIATION_CS,MATCH(C4,PT_DIFFERENTIATION_CS_ID,0))</f>
      </c>
      <c r="AE4" s="2311"/>
      <c r="AF4" s="2311"/>
      <c r="AG4" s="2311"/>
      <c r="AH4" s="2311"/>
      <c r="AI4" s="2311"/>
      <c r="AJ4" s="2311"/>
      <c r="AK4" s="2311"/>
      <c r="AL4" s="2312"/>
      <c r="AM4" s="1268" t="s">
        <v>422</v>
      </c>
      <c r="AO4" s="510"/>
      <c r="AP4" s="510" t="str">
        <f>IF(T4="","",T4)</f>
        <v>Наименование системы теплоснабжения </v>
      </c>
      <c r="AQ4" s="510"/>
      <c r="AR4" s="510"/>
      <c r="AS4" s="1165">
        <v>0</v>
      </c>
    </row>
    <row customHeight="1" ht="21" hidden="1">
      <c r="A5" s="1373"/>
      <c r="B5" s="1373"/>
      <c r="C5" s="1373"/>
      <c r="D5" s="1373"/>
      <c r="E5" s="2269"/>
      <c r="F5" s="2269"/>
      <c r="G5" s="2269"/>
      <c r="H5" s="2268">
        <v>1</v>
      </c>
      <c r="I5" s="1373"/>
      <c r="J5" s="1373"/>
      <c r="K5" s="1373"/>
      <c r="L5" s="1374"/>
      <c r="M5" s="1375"/>
      <c r="N5" s="1375"/>
      <c r="O5" s="1375"/>
      <c r="P5" s="364"/>
      <c r="Q5" s="362"/>
      <c r="R5" s="1645"/>
      <c r="S5" s="2017">
        <f>INDEX(PT_DIFFERENTIATION_NUM_IST_TE,MATCH(D5,PT_DIFFERENTIATION_IST_TE_ID,0))</f>
      </c>
      <c r="T5" s="320" t="s">
        <v>423</v>
      </c>
      <c r="U5" s="310"/>
      <c r="V5" s="2313"/>
      <c r="W5" s="2313"/>
      <c r="X5" s="2313"/>
      <c r="Y5" s="2313"/>
      <c r="Z5" s="2313"/>
      <c r="AA5" s="2313"/>
      <c r="AB5" s="2313"/>
      <c r="AC5" s="2313"/>
      <c r="AD5" s="2313">
        <f>INDEX(PT_DIFFERENTIATION_IST_TE,MATCH(D5,PT_DIFFERENTIATION_IST_TE_ID,0))</f>
      </c>
      <c r="AE5" s="2313"/>
      <c r="AF5" s="2313"/>
      <c r="AG5" s="2313"/>
      <c r="AH5" s="2313"/>
      <c r="AI5" s="2313"/>
      <c r="AJ5" s="2313"/>
      <c r="AK5" s="2313"/>
      <c r="AL5" s="2313"/>
      <c r="AM5" s="2020" t="s">
        <v>424</v>
      </c>
      <c r="AO5" s="510"/>
      <c r="AP5" s="510" t="str">
        <f>IF(T5="","",T5)</f>
        <v>Источник тепловой энергии  </v>
      </c>
      <c r="AQ5" s="510"/>
      <c r="AR5" s="510"/>
      <c r="AS5" s="1165">
        <v>0</v>
      </c>
    </row>
    <row customHeight="1" ht="0.75" hidden="1">
      <c r="A6" s="1373"/>
      <c r="B6" s="1373"/>
      <c r="C6" s="1373"/>
      <c r="D6" s="1373"/>
      <c r="E6" s="2269"/>
      <c r="F6" s="2269"/>
      <c r="G6" s="2269"/>
      <c r="H6" s="2269"/>
      <c r="I6" s="2266">
        <f>S5&amp;".1"</f>
      </c>
      <c r="J6" s="1373"/>
      <c r="K6" s="1373"/>
      <c r="L6" s="1374" t="s">
        <v>425</v>
      </c>
      <c r="M6" s="547"/>
      <c r="P6" s="2267">
        <v>1</v>
      </c>
      <c r="Q6" s="1341"/>
      <c r="R6" s="2016"/>
      <c r="S6" s="1052"/>
      <c r="T6" s="1393"/>
      <c r="U6" s="1394"/>
      <c r="V6" s="2314"/>
      <c r="W6" s="2314"/>
      <c r="X6" s="2314"/>
      <c r="Y6" s="2314"/>
      <c r="Z6" s="2314"/>
      <c r="AA6" s="2314"/>
      <c r="AB6" s="2314"/>
      <c r="AC6" s="2314"/>
      <c r="AD6" s="2314"/>
      <c r="AE6" s="2314"/>
      <c r="AF6" s="2314"/>
      <c r="AG6" s="2314"/>
      <c r="AH6" s="2314"/>
      <c r="AI6" s="2314"/>
      <c r="AJ6" s="2314"/>
      <c r="AK6" s="2314"/>
      <c r="AL6" s="2314"/>
      <c r="AM6" s="2021"/>
      <c r="AO6" s="510"/>
      <c r="AP6" s="510" t="str">
        <f>IF(T6="","",T6)</f>
        <v/>
      </c>
      <c r="AQ6" s="510"/>
      <c r="AR6" s="510"/>
      <c r="AS6" s="1165">
        <v>0</v>
      </c>
    </row>
    <row customHeight="1" ht="84" hidden="1">
      <c r="A7" s="1373"/>
      <c r="B7" s="1373"/>
      <c r="C7" s="1373"/>
      <c r="D7" s="1373"/>
      <c r="E7" s="2269"/>
      <c r="F7" s="2269"/>
      <c r="G7" s="2269"/>
      <c r="H7" s="2269"/>
      <c r="I7" s="2296"/>
      <c r="J7" s="2266">
        <f>I6&amp;".1"</f>
      </c>
      <c r="K7" s="1373"/>
      <c r="L7" s="1374" t="s">
        <v>428</v>
      </c>
      <c r="M7" s="547"/>
      <c r="N7" s="1376"/>
      <c r="P7" s="2267"/>
      <c r="Q7" s="2267">
        <v>1</v>
      </c>
      <c r="R7" s="1652"/>
      <c r="S7" s="2017">
        <f>$J7</f>
      </c>
      <c r="T7" s="296" t="s">
        <v>429</v>
      </c>
      <c r="U7" s="310"/>
      <c r="V7" s="2315"/>
      <c r="W7" s="2315"/>
      <c r="X7" s="2315"/>
      <c r="Y7" s="2315"/>
      <c r="Z7" s="2315"/>
      <c r="AA7" s="2315"/>
      <c r="AB7" s="2315"/>
      <c r="AC7" s="2315"/>
      <c r="AD7" s="2315"/>
      <c r="AE7" s="2315"/>
      <c r="AF7" s="2315"/>
      <c r="AG7" s="2315"/>
      <c r="AH7" s="2315"/>
      <c r="AI7" s="2315"/>
      <c r="AJ7" s="2315"/>
      <c r="AK7" s="2315"/>
      <c r="AL7" s="2315"/>
      <c r="AM7" s="2020" t="s">
        <v>430</v>
      </c>
      <c r="AO7" s="510"/>
      <c r="AP7" s="510" t="str">
        <f>IF(T7="","",T7)</f>
        <v>Группа потребителей</v>
      </c>
      <c r="AQ7" s="510"/>
      <c r="AR7" s="510"/>
      <c r="AS7" s="1165">
        <v>0</v>
      </c>
    </row>
    <row customHeight="1" ht="11.25" hidden="1">
      <c r="A8" s="1373"/>
      <c r="B8" s="1373"/>
      <c r="C8" s="1373"/>
      <c r="D8" s="1373"/>
      <c r="E8" s="2269"/>
      <c r="F8" s="2269"/>
      <c r="G8" s="2269"/>
      <c r="H8" s="2269"/>
      <c r="I8" s="2296"/>
      <c r="J8" s="2296"/>
      <c r="K8" s="2266">
        <f>J7&amp;".1"</f>
      </c>
      <c r="L8" s="1374" t="s">
        <v>431</v>
      </c>
      <c r="M8" s="547"/>
      <c r="N8" s="1376"/>
      <c r="O8" s="1376"/>
      <c r="P8" s="2267"/>
      <c r="Q8" s="2267"/>
      <c r="R8" s="367">
        <v>1</v>
      </c>
      <c r="S8" s="2019">
        <f>$K8</f>
      </c>
      <c r="T8" s="2024"/>
      <c r="U8" s="2025"/>
      <c r="V8" s="2026"/>
      <c r="W8" s="1359"/>
      <c r="X8" s="2026"/>
      <c r="Y8" s="2027"/>
      <c r="Z8" s="2316"/>
      <c r="AA8" s="2122" t="s">
        <v>66</v>
      </c>
      <c r="AB8" s="2316"/>
      <c r="AC8" s="2122" t="s">
        <v>66</v>
      </c>
      <c r="AD8" s="2026"/>
      <c r="AE8" s="1359"/>
      <c r="AF8" s="2026"/>
      <c r="AG8" s="2027"/>
      <c r="AH8" s="2316"/>
      <c r="AI8" s="2122" t="s">
        <v>66</v>
      </c>
      <c r="AJ8" s="2316"/>
      <c r="AK8" s="2122" t="s">
        <v>66</v>
      </c>
      <c r="AL8" s="1359"/>
      <c r="AM8" s="2263" t="s">
        <v>432</v>
      </c>
      <c r="AN8" s="521">
        <f>STRCHECKDATE(V9:AL9)</f>
      </c>
      <c r="AO8" s="510"/>
      <c r="AP8" s="510" t="str">
        <f>IF(T8="","",T8)</f>
        <v/>
      </c>
      <c r="AQ8" s="510"/>
      <c r="AR8" s="510"/>
      <c r="AS8" s="1165">
        <v>0</v>
      </c>
    </row>
    <row customHeight="1" ht="0.75" hidden="1">
      <c r="A9" s="1373"/>
      <c r="B9" s="1373"/>
      <c r="C9" s="1373"/>
      <c r="D9" s="1373"/>
      <c r="E9" s="2269"/>
      <c r="F9" s="2269"/>
      <c r="G9" s="2269"/>
      <c r="H9" s="2269"/>
      <c r="I9" s="2296"/>
      <c r="J9" s="2296"/>
      <c r="K9" s="2266"/>
      <c r="L9" s="1374"/>
      <c r="M9" s="547"/>
      <c r="N9" s="1376"/>
      <c r="O9" s="1376"/>
      <c r="P9" s="2267"/>
      <c r="Q9" s="2267"/>
      <c r="R9" s="367"/>
      <c r="S9" s="1352"/>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510"/>
      <c r="AP9" s="510" t="str">
        <f>IF(T9="","",T9)</f>
        <v/>
      </c>
      <c r="AQ9" s="510"/>
      <c r="AR9" s="510"/>
      <c r="AS9" s="1165">
        <v>0</v>
      </c>
    </row>
    <row customHeight="1" ht="11.25" hidden="1">
      <c r="A10" s="1373"/>
      <c r="B10" s="1373"/>
      <c r="C10" s="1373"/>
      <c r="D10" s="1373"/>
      <c r="E10" s="2269"/>
      <c r="F10" s="2269"/>
      <c r="G10" s="2269"/>
      <c r="H10" s="2269"/>
      <c r="I10" s="2296"/>
      <c r="J10" s="2266"/>
      <c r="K10" s="1373"/>
      <c r="L10" s="1374"/>
      <c r="M10" s="547"/>
      <c r="N10" s="1376"/>
      <c r="P10" s="2267"/>
      <c r="Q10" s="2267"/>
      <c r="R10" s="366"/>
      <c r="S10" s="1288"/>
      <c r="T10" s="297" t="s">
        <v>433</v>
      </c>
      <c r="U10" s="377"/>
      <c r="V10" s="377"/>
      <c r="W10" s="377"/>
      <c r="X10" s="377"/>
      <c r="Y10" s="377"/>
      <c r="Z10" s="377"/>
      <c r="AA10" s="377"/>
      <c r="AB10" s="377"/>
      <c r="AC10" s="377"/>
      <c r="AD10" s="377"/>
      <c r="AE10" s="377"/>
      <c r="AF10" s="377"/>
      <c r="AG10" s="377"/>
      <c r="AH10" s="377"/>
      <c r="AI10" s="377"/>
      <c r="AJ10" s="377"/>
      <c r="AK10" s="377"/>
      <c r="AL10" s="334"/>
      <c r="AM10" s="2265"/>
      <c r="AO10" s="510"/>
      <c r="AP10" s="510" t="str">
        <f>IF(T10="","",T10)</f>
        <v>Добавить вид теплоносителя (параметры теплоносителя)</v>
      </c>
      <c r="AQ10" s="510"/>
      <c r="AR10" s="510"/>
      <c r="AS10" s="1165">
        <v>0</v>
      </c>
    </row>
    <row customHeight="1" ht="11.25" hidden="1">
      <c r="A11" s="1373"/>
      <c r="B11" s="1373"/>
      <c r="C11" s="1373"/>
      <c r="D11" s="1373"/>
      <c r="E11" s="2269"/>
      <c r="F11" s="2269"/>
      <c r="G11" s="2269"/>
      <c r="H11" s="2269"/>
      <c r="I11" s="2266"/>
      <c r="J11" s="1373"/>
      <c r="K11" s="1373"/>
      <c r="L11" s="1374"/>
      <c r="M11" s="547"/>
      <c r="P11" s="2267"/>
      <c r="Q11" s="1341"/>
      <c r="R11" s="366"/>
      <c r="S11" s="1288"/>
      <c r="T11" s="375" t="s">
        <v>434</v>
      </c>
      <c r="U11" s="377"/>
      <c r="V11" s="377"/>
      <c r="W11" s="377"/>
      <c r="X11" s="377"/>
      <c r="Y11" s="377"/>
      <c r="Z11" s="377"/>
      <c r="AA11" s="377"/>
      <c r="AB11" s="377"/>
      <c r="AC11" s="376"/>
      <c r="AD11" s="377"/>
      <c r="AE11" s="377"/>
      <c r="AF11" s="377"/>
      <c r="AG11" s="377"/>
      <c r="AH11" s="377"/>
      <c r="AI11" s="377"/>
      <c r="AJ11" s="377"/>
      <c r="AK11" s="376"/>
      <c r="AL11" s="377"/>
      <c r="AM11" s="313"/>
      <c r="AO11" s="510"/>
      <c r="AP11" s="510" t="str">
        <f>IF(T11="","",T11)</f>
        <v>Добавить группу потребителей</v>
      </c>
      <c r="AQ11" s="510"/>
      <c r="AR11" s="510"/>
      <c r="AS11" s="1165">
        <v>0</v>
      </c>
    </row>
    <row customHeight="1" ht="0.75" hidden="1">
      <c r="A12" s="1373"/>
      <c r="B12" s="1373"/>
      <c r="C12" s="1373"/>
      <c r="D12" s="1373"/>
      <c r="E12" s="2269"/>
      <c r="F12" s="2269"/>
      <c r="G12" s="2269"/>
      <c r="H12" s="2268"/>
      <c r="I12" s="1373"/>
      <c r="J12" s="1373"/>
      <c r="K12" s="1373"/>
      <c r="L12" s="1374"/>
      <c r="M12" s="1375"/>
      <c r="N12" s="1375"/>
      <c r="O12" s="547"/>
      <c r="P12" s="370"/>
      <c r="Q12" s="385"/>
      <c r="R12" s="365"/>
      <c r="S12" s="1396"/>
      <c r="T12" s="1397"/>
      <c r="U12" s="1398"/>
      <c r="V12" s="1398"/>
      <c r="W12" s="1398"/>
      <c r="X12" s="1398"/>
      <c r="Y12" s="1398"/>
      <c r="Z12" s="1398"/>
      <c r="AA12" s="1398"/>
      <c r="AB12" s="1398"/>
      <c r="AC12" s="1398"/>
      <c r="AD12" s="1398"/>
      <c r="AE12" s="1398"/>
      <c r="AF12" s="1398"/>
      <c r="AG12" s="1398"/>
      <c r="AH12" s="1398"/>
      <c r="AI12" s="1398"/>
      <c r="AJ12" s="1398"/>
      <c r="AK12" s="1398"/>
      <c r="AL12" s="1398"/>
      <c r="AM12" s="1399"/>
      <c r="AO12" s="510"/>
      <c r="AP12" s="510" t="str">
        <f>IF(T12="","",T12)</f>
        <v/>
      </c>
      <c r="AQ12" s="510"/>
      <c r="AR12" s="510"/>
      <c r="AS12" s="1165">
        <v>0</v>
      </c>
    </row>
    <row s="1652" customFormat="1" customHeight="1" ht="0.75" hidden="1">
      <c r="A13" s="1324"/>
      <c r="B13" s="1324"/>
      <c r="C13" s="1324"/>
      <c r="D13" s="1324"/>
      <c r="E13" s="2269"/>
      <c r="F13" s="2269"/>
      <c r="G13" s="2268"/>
      <c r="H13" s="1324"/>
      <c r="I13" s="1324"/>
      <c r="J13" s="1324"/>
      <c r="K13" s="1324"/>
      <c r="L13" s="1349"/>
      <c r="M13" s="1325"/>
      <c r="N13" s="1325"/>
      <c r="P13" s="1326"/>
      <c r="Q13" s="1327"/>
      <c r="R13" s="1326"/>
      <c r="S13" s="1328"/>
      <c r="T13" s="1329" t="s">
        <v>436</v>
      </c>
      <c r="U13" s="1330"/>
      <c r="V13" s="1330"/>
      <c r="W13" s="1330"/>
      <c r="X13" s="1330"/>
      <c r="Y13" s="1330"/>
      <c r="Z13" s="1330"/>
      <c r="AA13" s="1330"/>
      <c r="AB13" s="1330"/>
      <c r="AC13" s="1330"/>
      <c r="AD13" s="1330"/>
      <c r="AE13" s="1330"/>
      <c r="AF13" s="1330"/>
      <c r="AG13" s="1330"/>
      <c r="AH13" s="1330"/>
      <c r="AI13" s="1330"/>
      <c r="AJ13" s="1330"/>
      <c r="AK13" s="1330"/>
      <c r="AL13" s="1330"/>
      <c r="AM13" s="1330"/>
      <c r="AO13" s="799"/>
      <c r="AP13" s="799" t="str">
        <f>IF(T13="","",T13)</f>
        <v>Добавить источник для дифференциации</v>
      </c>
      <c r="AQ13" s="799"/>
      <c r="AR13" s="799"/>
      <c r="AS13" s="528">
        <v>0</v>
      </c>
    </row>
    <row s="1652" customFormat="1" customHeight="1" ht="0.75" hidden="1">
      <c r="A14" s="1324"/>
      <c r="B14" s="1324"/>
      <c r="C14" s="1324"/>
      <c r="D14" s="1324"/>
      <c r="E14" s="2269"/>
      <c r="F14" s="2268"/>
      <c r="G14" s="1324"/>
      <c r="H14" s="1324"/>
      <c r="I14" s="1324"/>
      <c r="J14" s="1324"/>
      <c r="K14" s="1324"/>
      <c r="L14" s="1349"/>
      <c r="M14" s="1331"/>
      <c r="N14" s="1331"/>
      <c r="P14" s="1326"/>
      <c r="Q14" s="1327"/>
      <c r="R14" s="1326"/>
      <c r="S14" s="1332"/>
      <c r="T14" s="1333" t="s">
        <v>437</v>
      </c>
      <c r="U14" s="1334"/>
      <c r="V14" s="1334"/>
      <c r="W14" s="1334"/>
      <c r="X14" s="1334"/>
      <c r="Y14" s="1334"/>
      <c r="Z14" s="1334"/>
      <c r="AA14" s="1334"/>
      <c r="AB14" s="1334"/>
      <c r="AC14" s="1334"/>
      <c r="AD14" s="1334"/>
      <c r="AE14" s="1334"/>
      <c r="AF14" s="1334"/>
      <c r="AG14" s="1334"/>
      <c r="AH14" s="1334"/>
      <c r="AI14" s="1334"/>
      <c r="AJ14" s="1334"/>
      <c r="AK14" s="1334"/>
      <c r="AL14" s="1334"/>
      <c r="AM14" s="1334"/>
      <c r="AO14" s="799"/>
      <c r="AP14" s="799" t="str">
        <f>IF(T14="","",T14)</f>
        <v>Добавить централизованную систему для дифференциации</v>
      </c>
      <c r="AQ14" s="799"/>
      <c r="AR14" s="799"/>
      <c r="AS14" s="528">
        <v>0</v>
      </c>
    </row>
    <row s="1652" customFormat="1" customHeight="1" ht="0.75" hidden="1">
      <c r="A15" s="1324"/>
      <c r="B15" s="1324"/>
      <c r="C15" s="1324"/>
      <c r="D15" s="1324"/>
      <c r="E15" s="2268"/>
      <c r="F15" s="1324"/>
      <c r="G15" s="1324"/>
      <c r="H15" s="1324"/>
      <c r="I15" s="1324"/>
      <c r="J15" s="1324"/>
      <c r="K15" s="1324"/>
      <c r="L15" s="1349"/>
      <c r="M15" s="1331"/>
      <c r="N15" s="1331"/>
      <c r="P15" s="1326"/>
      <c r="Q15" s="1327"/>
      <c r="R15" s="1326"/>
      <c r="S15" s="1332"/>
      <c r="T15" s="1335" t="s">
        <v>438</v>
      </c>
      <c r="U15" s="1334"/>
      <c r="V15" s="1334"/>
      <c r="W15" s="1334"/>
      <c r="X15" s="1334"/>
      <c r="Y15" s="1334"/>
      <c r="Z15" s="1334"/>
      <c r="AA15" s="1334"/>
      <c r="AB15" s="1334"/>
      <c r="AC15" s="1334"/>
      <c r="AD15" s="1334"/>
      <c r="AE15" s="1334"/>
      <c r="AF15" s="1334"/>
      <c r="AG15" s="1334"/>
      <c r="AH15" s="1334"/>
      <c r="AI15" s="1334"/>
      <c r="AJ15" s="1334"/>
      <c r="AK15" s="1334"/>
      <c r="AL15" s="1334"/>
      <c r="AM15" s="1334"/>
      <c r="AO15" s="799"/>
      <c r="AP15" s="799" t="str">
        <f>IF(T15="","",T15)</f>
        <v>Добавить территорию для дифференциации</v>
      </c>
      <c r="AQ15" s="799"/>
      <c r="AR15" s="799"/>
      <c r="AS15" s="528">
        <v>0</v>
      </c>
    </row>
    <row customHeight="1" ht="14.25" hidden="1">
      <c r="AC16" s="337"/>
      <c r="AK16" s="337"/>
      <c r="AS16" s="1165">
        <v>0</v>
      </c>
    </row>
    <row customHeight="1" ht="14.25" hidden="1">
      <c r="AD17" s="1370"/>
      <c r="AE17" s="1370"/>
      <c r="AF17" s="1370"/>
      <c r="AG17" s="1371"/>
      <c r="AH17" s="2277"/>
      <c r="AI17" s="2278" t="s">
        <v>66</v>
      </c>
      <c r="AJ17" s="2277"/>
      <c r="AK17" s="2278" t="s">
        <v>66</v>
      </c>
      <c r="AS17" s="1165">
        <v>0</v>
      </c>
    </row>
    <row customHeight="1" ht="14.25" hidden="1">
      <c r="AD18" s="1370"/>
      <c r="AE18" s="1370"/>
      <c r="AF18" s="1370"/>
      <c r="AG18" s="338" t="str">
        <f>AH17&amp;"-"&amp;AJ17</f>
        <v>-</v>
      </c>
      <c r="AH18" s="2278"/>
      <c r="AI18" s="2278"/>
      <c r="AJ18" s="2278"/>
      <c r="AK18" s="2278"/>
      <c r="AS18" s="1165">
        <v>0</v>
      </c>
    </row>
    <row customHeight="1" ht="14.25" hidden="1">
      <c r="AK19" s="337"/>
      <c r="AS19" s="1165">
        <v>0</v>
      </c>
    </row>
    <row s="1376" customFormat="1" customHeight="1" ht="22.5" hidden="1">
      <c r="L20" s="1339"/>
      <c r="M20" s="1372"/>
      <c r="N20" s="1372"/>
      <c r="O20" s="1377" t="s">
        <v>439</v>
      </c>
      <c r="P20" s="1372"/>
      <c r="Q20" s="1381"/>
      <c r="R20" s="1381"/>
      <c r="S20" s="739"/>
      <c r="Z20" s="1377"/>
      <c r="AB20" s="1377"/>
      <c r="AC20" s="1376"/>
      <c r="AH20" s="1377"/>
      <c r="AJ20" s="1377"/>
      <c r="AK20" s="1376"/>
      <c r="AN20" s="521"/>
      <c r="AO20" s="521"/>
      <c r="AP20" s="521"/>
      <c r="AQ20" s="521"/>
      <c r="AR20" s="521"/>
      <c r="AS20" s="1170">
        <v>0</v>
      </c>
    </row>
    <row s="1376" customFormat="1" customHeight="1" ht="14.25" hidden="1">
      <c r="L21" s="1339"/>
      <c r="M21" s="1372"/>
      <c r="N21" s="1372"/>
      <c r="O21" s="1372"/>
      <c r="P21" s="1372"/>
      <c r="Q21" s="1381"/>
      <c r="R21" s="1381"/>
      <c r="S21" s="739"/>
      <c r="AC21" s="1376"/>
      <c r="AK21" s="1376"/>
      <c r="AN21" s="521"/>
      <c r="AO21" s="521"/>
      <c r="AP21" s="521"/>
      <c r="AQ21" s="521"/>
      <c r="AR21" s="521"/>
      <c r="AS21" s="1170">
        <v>0</v>
      </c>
    </row>
    <row s="1376" customFormat="1" customHeight="1" ht="14.25" hidden="1">
      <c r="L22" s="1339"/>
      <c r="M22" s="1372"/>
      <c r="N22" s="1372"/>
      <c r="O22" s="1374" t="s">
        <v>440</v>
      </c>
      <c r="P22" s="1372"/>
      <c r="Q22" s="1381"/>
      <c r="R22" s="1381"/>
      <c r="S22" s="739"/>
      <c r="T22" s="1170" t="s">
        <v>441</v>
      </c>
      <c r="AA22" s="196" t="s">
        <v>442</v>
      </c>
      <c r="AC22" s="196" t="s">
        <v>443</v>
      </c>
      <c r="AD22" s="1170" t="s">
        <v>441</v>
      </c>
      <c r="AI22" s="196" t="s">
        <v>444</v>
      </c>
      <c r="AK22" s="196" t="s">
        <v>443</v>
      </c>
      <c r="AN22" s="521"/>
      <c r="AO22" s="521"/>
      <c r="AP22" s="521"/>
      <c r="AQ22" s="521"/>
      <c r="AR22" s="521"/>
      <c r="AS22" s="1170">
        <v>0</v>
      </c>
    </row>
    <row customHeight="1" ht="14.25" hidden="1">
      <c r="O23" s="1374"/>
      <c r="AS23" s="1165">
        <v>0</v>
      </c>
    </row>
    <row customHeight="1" ht="14.25" hidden="1">
      <c r="O24" s="1374"/>
      <c r="AS24" s="1165">
        <v>0</v>
      </c>
    </row>
    <row customHeight="1" ht="14.699999999999998">
      <c r="Q25" s="386"/>
      <c r="R25" s="386"/>
      <c r="S25" s="1285"/>
      <c r="T25" s="373"/>
      <c r="U25" s="373"/>
      <c r="V25" s="519"/>
      <c r="W25" s="519"/>
      <c r="X25" s="519"/>
      <c r="Y25" s="519"/>
      <c r="Z25" s="519"/>
      <c r="AA25" s="519"/>
      <c r="AB25" s="519"/>
      <c r="AC25" s="519"/>
      <c r="AD25" s="519"/>
      <c r="AE25" s="519"/>
      <c r="AF25" s="519"/>
      <c r="AG25" s="519"/>
      <c r="AH25" s="519"/>
      <c r="AI25" s="519"/>
      <c r="AJ25" s="519"/>
      <c r="AK25" s="519"/>
      <c r="AS25" s="1165">
        <v>14</v>
      </c>
    </row>
    <row customHeight="1" ht="54.75">
      <c r="Q26" s="386"/>
      <c r="R26" s="386"/>
      <c r="S26" s="231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7"/>
      <c r="U26" s="2317"/>
      <c r="V26" s="2317"/>
      <c r="W26" s="2317"/>
      <c r="X26" s="2317"/>
      <c r="Y26" s="2317"/>
      <c r="Z26" s="2317"/>
      <c r="AA26" s="2317"/>
      <c r="AB26" s="2317"/>
      <c r="AC26" s="2317"/>
      <c r="AD26" s="2317"/>
      <c r="AE26" s="2317"/>
      <c r="AF26" s="2317"/>
      <c r="AG26" s="2317"/>
      <c r="AH26" s="2317"/>
      <c r="AI26" s="2317"/>
      <c r="AJ26" s="2317"/>
      <c r="AK26" s="1253"/>
      <c r="AS26" s="1165">
        <v>52</v>
      </c>
    </row>
    <row customHeight="1" ht="14.699999999999998">
      <c r="Q27" s="386"/>
      <c r="R27" s="386"/>
      <c r="S27" s="2259" t="str">
        <f>IF(org=0,"Не определено",org)</f>
        <v>АО «ДГК» СП «Нерюнгринская ГРЭС»</v>
      </c>
      <c r="T27" s="2259"/>
      <c r="U27" s="2259"/>
      <c r="V27" s="2259"/>
      <c r="W27" s="2259"/>
      <c r="X27" s="2259"/>
      <c r="Y27" s="2259"/>
      <c r="Z27" s="2259"/>
      <c r="AA27" s="2259"/>
      <c r="AB27" s="2259"/>
      <c r="AC27" s="2259"/>
      <c r="AD27" s="2259"/>
      <c r="AE27" s="2259"/>
      <c r="AF27" s="2259"/>
      <c r="AG27" s="2259"/>
      <c r="AH27" s="2259"/>
      <c r="AI27" s="2259"/>
      <c r="AJ27" s="2259"/>
      <c r="AK27" s="1253"/>
      <c r="AS27" s="1165">
        <v>14</v>
      </c>
    </row>
    <row customHeight="1" ht="14.25" hidden="1">
      <c r="Q28" s="386"/>
      <c r="R28" s="386"/>
      <c r="S28" s="1285"/>
      <c r="T28" s="373"/>
      <c r="U28" s="373"/>
      <c r="V28" s="332"/>
      <c r="W28" s="332"/>
      <c r="X28" s="332"/>
      <c r="Y28" s="332"/>
      <c r="Z28" s="332"/>
      <c r="AA28" s="332"/>
      <c r="AB28" s="332"/>
      <c r="AC28" s="332"/>
      <c r="AD28" s="332"/>
      <c r="AE28" s="332"/>
      <c r="AF28" s="332"/>
      <c r="AG28" s="332"/>
      <c r="AH28" s="332"/>
      <c r="AI28" s="332"/>
      <c r="AJ28" s="332"/>
      <c r="AK28" s="332"/>
      <c r="AL28" s="519"/>
      <c r="AS28" s="1165">
        <v>0</v>
      </c>
    </row>
    <row s="1863" customFormat="1" customHeight="1" ht="25.5" hidden="1">
      <c r="A29" s="1378"/>
      <c r="B29" s="1378"/>
      <c r="C29" s="1378"/>
      <c r="D29" s="1378"/>
      <c r="E29" s="1378"/>
      <c r="F29" s="1378"/>
      <c r="G29" s="1378"/>
      <c r="H29" s="1378"/>
      <c r="I29" s="1378"/>
      <c r="J29" s="1378"/>
      <c r="K29" s="1378"/>
      <c r="L29" s="1379"/>
      <c r="M29" s="1378"/>
      <c r="N29" s="1378"/>
      <c r="O29" s="1378"/>
      <c r="S29" s="2260" t="s">
        <v>42</v>
      </c>
      <c r="T29" s="2260"/>
      <c r="U29" s="1382"/>
      <c r="V29" s="2261" t="str">
        <f>IF(TITLE_NAME_OR_PR_CHANGE="",IF(TITLE_NAME_OR_PR="","",TITLE_NAME_OR_PR),TITLE_NAME_OR_PR_CHANGE)</f>
        <v/>
      </c>
      <c r="W29" s="2261"/>
      <c r="X29" s="2261"/>
      <c r="Y29" s="2261"/>
      <c r="Z29" s="2261"/>
      <c r="AA29" s="2261"/>
      <c r="AB29" s="2261"/>
      <c r="AC29" s="336"/>
      <c r="AD29" s="2261" t="str">
        <f>IF(TITLE_NAME_OR_PR_CHANGE="",IF(TITLE_NAME_OR_PR="","",TITLE_NAME_OR_PR),TITLE_NAME_OR_PR_CHANGE)</f>
        <v/>
      </c>
      <c r="AE29" s="2261"/>
      <c r="AF29" s="2261"/>
      <c r="AG29" s="2261"/>
      <c r="AH29" s="2261"/>
      <c r="AI29" s="2261"/>
      <c r="AJ29" s="2261"/>
      <c r="AK29" s="336"/>
      <c r="AL29" s="336"/>
      <c r="AM29" s="290"/>
      <c r="AN29" s="378"/>
      <c r="AO29" s="378"/>
      <c r="AP29" s="378"/>
      <c r="AQ29" s="378"/>
      <c r="AR29" s="378"/>
      <c r="AS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445</v>
      </c>
      <c r="T30" s="2260"/>
      <c r="U30" s="1382"/>
      <c r="V30" s="2274" t="str">
        <f>IF(TITLE_DATE_PR_CHANGE="",IF(TITLE_DATE_PR="","",TITLE_DATE_PR),TITLE_DATE_PR_CHANGE)</f>
        <v/>
      </c>
      <c r="W30" s="2274"/>
      <c r="X30" s="2274"/>
      <c r="Y30" s="2274"/>
      <c r="Z30" s="2274"/>
      <c r="AA30" s="2274"/>
      <c r="AB30" s="2274"/>
      <c r="AC30" s="336"/>
      <c r="AD30" s="2274" t="str">
        <f>IF(TITLE_DATE_PR_CHANGE="",IF(TITLE_DATE_PR="","",TITLE_DATE_PR),TITLE_DATE_PR_CHANGE)</f>
        <v/>
      </c>
      <c r="AE30" s="2274"/>
      <c r="AF30" s="2274"/>
      <c r="AG30" s="2274"/>
      <c r="AH30" s="2274"/>
      <c r="AI30" s="2274"/>
      <c r="AJ30" s="2274"/>
      <c r="AK30" s="336"/>
      <c r="AL30" s="336"/>
      <c r="AM30" s="290"/>
      <c r="AN30" s="378"/>
      <c r="AO30" s="378"/>
      <c r="AP30" s="378"/>
      <c r="AQ30" s="378"/>
      <c r="AR30" s="378"/>
      <c r="AS30" s="428">
        <v>0</v>
      </c>
    </row>
    <row s="1863" customFormat="1" customHeight="1" ht="18.75" hidden="1">
      <c r="A31" s="1378"/>
      <c r="B31" s="1378"/>
      <c r="C31" s="1378"/>
      <c r="D31" s="1378"/>
      <c r="E31" s="1378"/>
      <c r="F31" s="1378"/>
      <c r="G31" s="1378"/>
      <c r="H31" s="1378"/>
      <c r="I31" s="1378"/>
      <c r="J31" s="1378"/>
      <c r="K31" s="1378"/>
      <c r="L31" s="1379"/>
      <c r="M31" s="1378"/>
      <c r="N31" s="1378"/>
      <c r="O31" s="1378"/>
      <c r="S31" s="2260" t="s">
        <v>446</v>
      </c>
      <c r="T31" s="2260"/>
      <c r="U31" s="1382"/>
      <c r="V31" s="2261" t="str">
        <f>IF(TITLE_NUMBER_PR_CHANGE="",IF(TITLE_NUMBER_PR="","",TITLE_NUMBER_PR),TITLE_NUMBER_PR_CHANGE)</f>
        <v/>
      </c>
      <c r="W31" s="2261"/>
      <c r="X31" s="2261"/>
      <c r="Y31" s="2261"/>
      <c r="Z31" s="2261"/>
      <c r="AA31" s="2261"/>
      <c r="AB31" s="2261"/>
      <c r="AC31" s="336"/>
      <c r="AD31" s="2261" t="str">
        <f>IF(TITLE_NUMBER_PR_CHANGE="",IF(TITLE_NUMBER_PR="","",TITLE_NUMBER_PR),TITLE_NUMBER_PR_CHANGE)</f>
        <v/>
      </c>
      <c r="AE31" s="2261"/>
      <c r="AF31" s="2261"/>
      <c r="AG31" s="2261"/>
      <c r="AH31" s="2261"/>
      <c r="AI31" s="2261"/>
      <c r="AJ31" s="2261"/>
      <c r="AK31" s="336"/>
      <c r="AL31" s="336"/>
      <c r="AM31" s="290"/>
      <c r="AN31" s="378"/>
      <c r="AO31" s="378"/>
      <c r="AP31" s="378"/>
      <c r="AQ31" s="378"/>
      <c r="AR31" s="378"/>
      <c r="AS31" s="428">
        <v>0</v>
      </c>
    </row>
    <row s="1863" customFormat="1" customHeight="1" ht="18.75" hidden="1">
      <c r="A32" s="1378"/>
      <c r="B32" s="1378"/>
      <c r="C32" s="1378"/>
      <c r="D32" s="1378"/>
      <c r="E32" s="1378"/>
      <c r="F32" s="1378"/>
      <c r="G32" s="1378"/>
      <c r="H32" s="1378"/>
      <c r="I32" s="1378"/>
      <c r="J32" s="1378"/>
      <c r="K32" s="1378"/>
      <c r="L32" s="1379"/>
      <c r="M32" s="1378"/>
      <c r="N32" s="1378"/>
      <c r="O32" s="1378"/>
      <c r="S32" s="2260" t="s">
        <v>43</v>
      </c>
      <c r="T32" s="2260"/>
      <c r="U32" s="1382"/>
      <c r="V32" s="2261" t="str">
        <f>IF(TITLE_IST_PUB_CHANGE="",IF(TITLE_IST_PUB="","",TITLE_IST_PUB),TITLE_IST_PUB_CHANGE)</f>
        <v/>
      </c>
      <c r="W32" s="2261"/>
      <c r="X32" s="2261"/>
      <c r="Y32" s="2261"/>
      <c r="Z32" s="2261"/>
      <c r="AA32" s="2261"/>
      <c r="AB32" s="2261"/>
      <c r="AC32" s="336"/>
      <c r="AD32" s="2261" t="str">
        <f>IF(TITLE_IST_PUB_CHANGE="",IF(TITLE_IST_PUB="","",TITLE_IST_PUB),TITLE_IST_PUB_CHANGE)</f>
        <v/>
      </c>
      <c r="AE32" s="2261"/>
      <c r="AF32" s="2261"/>
      <c r="AG32" s="2261"/>
      <c r="AH32" s="2261"/>
      <c r="AI32" s="2261"/>
      <c r="AJ32" s="2261"/>
      <c r="AK32" s="336"/>
      <c r="AL32" s="336"/>
      <c r="AM32" s="290"/>
      <c r="AN32" s="378"/>
      <c r="AO32" s="378"/>
      <c r="AP32" s="378"/>
      <c r="AQ32" s="378"/>
      <c r="AR32" s="378"/>
      <c r="AS32" s="428">
        <v>0</v>
      </c>
    </row>
    <row customHeight="1" ht="14.25" hidden="1">
      <c r="Q33" s="386"/>
      <c r="R33" s="386"/>
      <c r="S33" s="1285"/>
      <c r="T33" s="373"/>
      <c r="U33" s="373"/>
      <c r="V33" s="332"/>
      <c r="W33" s="332"/>
      <c r="X33" s="332"/>
      <c r="Y33" s="332"/>
      <c r="Z33" s="332"/>
      <c r="AA33" s="332"/>
      <c r="AB33" s="332"/>
      <c r="AC33" s="332"/>
      <c r="AD33" s="332"/>
      <c r="AE33" s="332"/>
      <c r="AF33" s="332"/>
      <c r="AG33" s="332"/>
      <c r="AH33" s="332"/>
      <c r="AI33" s="332"/>
      <c r="AJ33" s="332"/>
      <c r="AK33" s="332"/>
      <c r="AL33" s="519"/>
      <c r="AS33" s="1165">
        <v>0</v>
      </c>
    </row>
    <row s="1863" customFormat="1" customHeight="1" ht="18.75" hidden="1">
      <c r="A34" s="1378"/>
      <c r="B34" s="1378"/>
      <c r="C34" s="1378"/>
      <c r="D34" s="1378"/>
      <c r="E34" s="1378"/>
      <c r="F34" s="1378"/>
      <c r="G34" s="1378"/>
      <c r="H34" s="1378"/>
      <c r="I34" s="1378"/>
      <c r="J34" s="1378"/>
      <c r="K34" s="1378"/>
      <c r="L34" s="1379"/>
      <c r="M34" s="1378"/>
      <c r="N34" s="1378"/>
      <c r="O34" s="1378"/>
      <c r="S34" s="2260" t="s">
        <v>447</v>
      </c>
      <c r="T34" s="2260"/>
      <c r="U34" s="1382"/>
      <c r="V34" s="2274" t="str">
        <f>IF(TITLE_DATE_PR_CHANGE="",IF(TITLE_DATE_PR="","",TITLE_DATE_PR),TITLE_DATE_PR_CHANGE)</f>
        <v/>
      </c>
      <c r="W34" s="2274"/>
      <c r="X34" s="2274"/>
      <c r="Y34" s="2274"/>
      <c r="Z34" s="2274"/>
      <c r="AA34" s="2274"/>
      <c r="AB34" s="2274"/>
      <c r="AC34" s="336"/>
      <c r="AD34" s="2274" t="str">
        <f>IF(TITLE_DATE_PR_CHANGE="",IF(TITLE_DATE_PR="","",TITLE_DATE_PR),TITLE_DATE_PR_CHANGE)</f>
        <v/>
      </c>
      <c r="AE34" s="2274"/>
      <c r="AF34" s="2274"/>
      <c r="AG34" s="2274"/>
      <c r="AH34" s="2274"/>
      <c r="AI34" s="2274"/>
      <c r="AJ34" s="2274"/>
      <c r="AK34" s="336"/>
      <c r="AL34" s="336"/>
      <c r="AM34" s="290"/>
      <c r="AN34" s="378"/>
      <c r="AO34" s="378"/>
      <c r="AP34" s="378"/>
      <c r="AQ34" s="378"/>
      <c r="AR34" s="378"/>
      <c r="AS34" s="428">
        <v>0</v>
      </c>
    </row>
    <row s="1863" customFormat="1" customHeight="1" ht="18.75" hidden="1">
      <c r="A35" s="1378"/>
      <c r="B35" s="1378"/>
      <c r="C35" s="1378"/>
      <c r="D35" s="1378"/>
      <c r="E35" s="1378"/>
      <c r="F35" s="1378"/>
      <c r="G35" s="1378"/>
      <c r="H35" s="1378"/>
      <c r="I35" s="1378"/>
      <c r="J35" s="1378"/>
      <c r="K35" s="1378"/>
      <c r="L35" s="1379"/>
      <c r="M35" s="1378"/>
      <c r="N35" s="1378"/>
      <c r="O35" s="1378"/>
      <c r="S35" s="2260" t="s">
        <v>448</v>
      </c>
      <c r="T35" s="2260"/>
      <c r="U35" s="1382"/>
      <c r="V35" s="2261" t="str">
        <f>IF(TITLE_NUMBER_PR_CHANGE="",IF(TITLE_NUMBER_PR="","",TITLE_NUMBER_PR),TITLE_NUMBER_PR_CHANGE)</f>
        <v/>
      </c>
      <c r="W35" s="2261"/>
      <c r="X35" s="2261"/>
      <c r="Y35" s="2261"/>
      <c r="Z35" s="2261"/>
      <c r="AA35" s="2261"/>
      <c r="AB35" s="2261"/>
      <c r="AC35" s="336"/>
      <c r="AD35" s="2261" t="str">
        <f>IF(TITLE_NUMBER_PR_CHANGE="",IF(TITLE_NUMBER_PR="","",TITLE_NUMBER_PR),TITLE_NUMBER_PR_CHANGE)</f>
        <v/>
      </c>
      <c r="AE35" s="2261"/>
      <c r="AF35" s="2261"/>
      <c r="AG35" s="2261"/>
      <c r="AH35" s="2261"/>
      <c r="AI35" s="2261"/>
      <c r="AJ35" s="2261"/>
      <c r="AK35" s="336"/>
      <c r="AL35" s="336"/>
      <c r="AM35" s="290"/>
      <c r="AN35" s="378"/>
      <c r="AO35" s="378"/>
      <c r="AP35" s="378"/>
      <c r="AQ35" s="378"/>
      <c r="AR35" s="378"/>
      <c r="AS35" s="428">
        <v>0</v>
      </c>
    </row>
    <row s="1863" customFormat="1" customHeight="1" ht="0">
      <c r="A36" s="1378"/>
      <c r="B36" s="1378"/>
      <c r="C36" s="1378"/>
      <c r="D36" s="1378"/>
      <c r="E36" s="1378"/>
      <c r="F36" s="1378"/>
      <c r="G36" s="1378"/>
      <c r="H36" s="1378"/>
      <c r="I36" s="1378"/>
      <c r="J36" s="1378"/>
      <c r="K36" s="1378"/>
      <c r="L36" s="1379"/>
      <c r="M36" s="1378"/>
      <c r="N36" s="1378"/>
      <c r="O36" s="1378"/>
      <c r="S36" s="333"/>
      <c r="T36" s="333"/>
      <c r="U36" s="1350"/>
      <c r="V36" s="336"/>
      <c r="W36" s="336"/>
      <c r="X36" s="336"/>
      <c r="Y36" s="336"/>
      <c r="Z36" s="336"/>
      <c r="AA36" s="336"/>
      <c r="AB36" s="336"/>
      <c r="AC36" s="288" t="s">
        <v>449</v>
      </c>
      <c r="AD36" s="336"/>
      <c r="AE36" s="336"/>
      <c r="AF36" s="336"/>
      <c r="AG36" s="336"/>
      <c r="AH36" s="336"/>
      <c r="AI36" s="336"/>
      <c r="AJ36" s="336"/>
      <c r="AK36" s="288" t="s">
        <v>449</v>
      </c>
      <c r="AN36" s="378"/>
      <c r="AO36" s="378"/>
      <c r="AP36" s="378"/>
      <c r="AQ36" s="378"/>
      <c r="AR36" s="378"/>
      <c r="AS36" s="428">
        <v>0</v>
      </c>
    </row>
    <row customHeight="1" ht="14.699999999999998">
      <c r="Q37" s="386"/>
      <c r="R37" s="386"/>
      <c r="S37" s="1285"/>
      <c r="T37" s="373"/>
      <c r="U37" s="1254"/>
      <c r="V37" s="2262"/>
      <c r="W37" s="2262"/>
      <c r="X37" s="2262"/>
      <c r="Y37" s="2262"/>
      <c r="Z37" s="2262"/>
      <c r="AA37" s="2262"/>
      <c r="AB37" s="2262"/>
      <c r="AC37" s="2262"/>
      <c r="AD37" s="2262"/>
      <c r="AE37" s="2262"/>
      <c r="AF37" s="2262"/>
      <c r="AG37" s="2262"/>
      <c r="AH37" s="2262"/>
      <c r="AI37" s="2262"/>
      <c r="AJ37" s="2262"/>
      <c r="AK37" s="2262"/>
      <c r="AS37" s="1165">
        <v>14</v>
      </c>
    </row>
    <row customHeight="1" ht="14.699999999999998">
      <c r="Q38" s="386"/>
      <c r="R38" s="386"/>
      <c r="S38" s="2137" t="s">
        <v>322</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323</v>
      </c>
      <c r="AS38" s="1165">
        <v>14</v>
      </c>
    </row>
    <row customHeight="1" ht="14.699999999999998">
      <c r="Q39" s="386"/>
      <c r="R39" s="386"/>
      <c r="S39" s="2283" t="s">
        <v>88</v>
      </c>
      <c r="T39" s="2219" t="s">
        <v>450</v>
      </c>
      <c r="U39" s="311"/>
      <c r="V39" s="2284" t="s">
        <v>451</v>
      </c>
      <c r="W39" s="2285"/>
      <c r="X39" s="2285"/>
      <c r="Y39" s="2285"/>
      <c r="Z39" s="2285"/>
      <c r="AA39" s="2285"/>
      <c r="AB39" s="2286"/>
      <c r="AC39" s="2287" t="s">
        <v>452</v>
      </c>
      <c r="AD39" s="2284" t="s">
        <v>451</v>
      </c>
      <c r="AE39" s="2285"/>
      <c r="AF39" s="2285"/>
      <c r="AG39" s="2285"/>
      <c r="AH39" s="2285"/>
      <c r="AI39" s="2285"/>
      <c r="AJ39" s="2286"/>
      <c r="AK39" s="2287" t="s">
        <v>453</v>
      </c>
      <c r="AL39" s="2290" t="s">
        <v>454</v>
      </c>
      <c r="AM39" s="2137"/>
      <c r="AS39" s="1165">
        <v>14</v>
      </c>
    </row>
    <row customHeight="1" ht="35.699999999999996">
      <c r="Q40" s="386"/>
      <c r="R40" s="386"/>
      <c r="S40" s="2283"/>
      <c r="T40" s="2219"/>
      <c r="U40" s="1041"/>
      <c r="V40" s="2270" t="s">
        <v>455</v>
      </c>
      <c r="W40" s="2293"/>
      <c r="X40" s="2272" t="s">
        <v>457</v>
      </c>
      <c r="Y40" s="2273"/>
      <c r="Z40" s="2272" t="s">
        <v>458</v>
      </c>
      <c r="AA40" s="2279"/>
      <c r="AB40" s="2273"/>
      <c r="AC40" s="2288"/>
      <c r="AD40" s="2270" t="s">
        <v>472</v>
      </c>
      <c r="AE40" s="2293"/>
      <c r="AF40" s="2272" t="s">
        <v>457</v>
      </c>
      <c r="AG40" s="2273"/>
      <c r="AH40" s="2272" t="s">
        <v>458</v>
      </c>
      <c r="AI40" s="2279"/>
      <c r="AJ40" s="2273"/>
      <c r="AK40" s="2288"/>
      <c r="AL40" s="2291"/>
      <c r="AM40" s="2137"/>
      <c r="AS40" s="1165">
        <v>34</v>
      </c>
    </row>
    <row customHeight="1" ht="35.699999999999996">
      <c r="A41" s="1380"/>
      <c r="B41" s="1380" t="s">
        <v>159</v>
      </c>
      <c r="C41" s="1380" t="s">
        <v>160</v>
      </c>
      <c r="D41" s="1380" t="s">
        <v>161</v>
      </c>
      <c r="E41" s="1374" t="s">
        <v>459</v>
      </c>
      <c r="F41" s="1374" t="s">
        <v>460</v>
      </c>
      <c r="G41" s="1374" t="s">
        <v>461</v>
      </c>
      <c r="H41" s="1374" t="s">
        <v>462</v>
      </c>
      <c r="I41" s="1374" t="s">
        <v>463</v>
      </c>
      <c r="J41" s="1374" t="s">
        <v>464</v>
      </c>
      <c r="K41" s="1374" t="s">
        <v>465</v>
      </c>
      <c r="L41" s="1374" t="s">
        <v>440</v>
      </c>
      <c r="Q41" s="386"/>
      <c r="R41" s="386"/>
      <c r="S41" s="2283"/>
      <c r="T41" s="2219"/>
      <c r="U41" s="312"/>
      <c r="V41" s="2271"/>
      <c r="W41" s="2294"/>
      <c r="X41" s="1232" t="s">
        <v>466</v>
      </c>
      <c r="Y41" s="1232" t="s">
        <v>467</v>
      </c>
      <c r="Z41" s="1348" t="s">
        <v>468</v>
      </c>
      <c r="AA41" s="2280" t="s">
        <v>469</v>
      </c>
      <c r="AB41" s="2281"/>
      <c r="AC41" s="2289"/>
      <c r="AD41" s="2271"/>
      <c r="AE41" s="2294"/>
      <c r="AF41" s="1232" t="s">
        <v>466</v>
      </c>
      <c r="AG41" s="1232" t="s">
        <v>467</v>
      </c>
      <c r="AH41" s="1348" t="s">
        <v>468</v>
      </c>
      <c r="AI41" s="2280" t="s">
        <v>469</v>
      </c>
      <c r="AJ41" s="2281"/>
      <c r="AK41" s="2289"/>
      <c r="AL41" s="2292"/>
      <c r="AM41" s="2137"/>
      <c r="AS41" s="1165">
        <v>34</v>
      </c>
    </row>
    <row s="1651" customFormat="1" customHeight="1" ht="11.25" hidden="1">
      <c r="A42" s="1380"/>
      <c r="B42" s="1380"/>
      <c r="C42" s="1380"/>
      <c r="D42" s="1380"/>
      <c r="E42" s="1380"/>
      <c r="F42" s="1380"/>
      <c r="G42" s="1380"/>
      <c r="H42" s="1380"/>
      <c r="I42" s="1380"/>
      <c r="J42" s="1380"/>
      <c r="K42" s="1380"/>
      <c r="L42" s="1374"/>
      <c r="M42" s="1372"/>
      <c r="N42" s="1372"/>
      <c r="O42" s="1372"/>
      <c r="P42" s="1256"/>
      <c r="Q42" s="1257"/>
      <c r="R42" s="1264">
        <v>1</v>
      </c>
      <c r="S42" s="1287" t="s">
        <v>124</v>
      </c>
      <c r="T42" s="1265" t="s">
        <v>104</v>
      </c>
      <c r="U42" s="1255" t="str">
        <f>OFFSET(U42,0,-1)</f>
        <v>2</v>
      </c>
      <c r="V42" s="1345">
        <f>OFFSET(V42,0,-1)+1</f>
        <v>3</v>
      </c>
      <c r="W42" s="1345"/>
      <c r="X42" s="1345">
        <f>OFFSET(X42,0,-1)+1</f>
        <v>1</v>
      </c>
      <c r="Y42" s="1345">
        <f>OFFSET(Y42,0,-1)+1</f>
        <v>2</v>
      </c>
      <c r="Z42" s="1345">
        <f>OFFSET(Z42,0,-1)+1</f>
        <v>3</v>
      </c>
      <c r="AA42" s="2282">
        <f>OFFSET(AA42,0,-1)+1</f>
        <v>4</v>
      </c>
      <c r="AB42" s="2282"/>
      <c r="AC42" s="1345">
        <f>OFFSET(AC42,0,-2)+1</f>
        <v>5</v>
      </c>
      <c r="AD42" s="1345">
        <f>OFFSET(AD42,0,-1)+1</f>
        <v>6</v>
      </c>
      <c r="AE42" s="1345"/>
      <c r="AF42" s="1345">
        <f>OFFSET(AF42,0,-1)+1</f>
        <v>1</v>
      </c>
      <c r="AG42" s="1345">
        <f>OFFSET(AG42,0,-1)+1</f>
        <v>2</v>
      </c>
      <c r="AH42" s="1345">
        <f>OFFSET(AH42,0,-1)+1</f>
        <v>3</v>
      </c>
      <c r="AI42" s="2282">
        <f>OFFSET(AI42,0,-1)+1</f>
        <v>4</v>
      </c>
      <c r="AJ42" s="2282"/>
      <c r="AK42" s="1345">
        <f>OFFSET(AK42,0,-2)+1</f>
        <v>5</v>
      </c>
      <c r="AL42" s="1255">
        <f>OFFSET(AL42,0,-1)</f>
        <v>5</v>
      </c>
      <c r="AM42" s="1345">
        <f>OFFSET(AM42,0,-1)+1</f>
        <v>6</v>
      </c>
      <c r="AN42" s="521"/>
      <c r="AO42" s="521"/>
      <c r="AP42" s="521"/>
      <c r="AQ42" s="521"/>
      <c r="AR42" s="521"/>
      <c r="AS42" s="506">
        <v>0</v>
      </c>
    </row>
    <row customHeight="1" ht="22.049999999999997">
      <c r="A43" s="1373" t="s">
        <v>204</v>
      </c>
      <c r="B43" s="1373"/>
      <c r="C43" s="1373"/>
      <c r="D43" s="1373"/>
      <c r="E43" s="2268">
        <v>1</v>
      </c>
      <c r="F43" s="1373"/>
      <c r="G43" s="1373"/>
      <c r="H43" s="1373"/>
      <c r="I43" s="1373"/>
      <c r="J43" s="1373"/>
      <c r="K43" s="1373"/>
      <c r="L43" s="1374"/>
      <c r="M43" s="1375"/>
      <c r="N43" s="1375"/>
      <c r="O43" s="1375"/>
      <c r="P43" s="371"/>
      <c r="Q43" s="370"/>
      <c r="R43" s="365"/>
      <c r="S43" s="1346">
        <f>INDEX(PT_DIFFERENTIATION_NUM_NTAR,MATCH(A43,PT_DIFFERENTIATION_NTAR_ID,0))</f>
        <v>0</v>
      </c>
      <c r="T43" s="308" t="s">
        <v>147</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0"/>
      <c r="AP43" s="510" t="str">
        <f>IF(T43="","",T43)</f>
        <v>Наименование тарифа</v>
      </c>
      <c r="AQ43" s="510"/>
      <c r="AR43" s="510"/>
      <c r="AS43" s="1165">
        <v>21</v>
      </c>
    </row>
    <row customHeight="1" ht="22.049999999999997">
      <c r="A44" s="1373" t="s">
        <v>204</v>
      </c>
      <c r="B44" s="1373" t="s">
        <v>205</v>
      </c>
      <c r="C44" s="1373"/>
      <c r="D44" s="1373"/>
      <c r="E44" s="2269"/>
      <c r="F44" s="2268">
        <v>1</v>
      </c>
      <c r="G44" s="1373"/>
      <c r="H44" s="1373"/>
      <c r="I44" s="1373"/>
      <c r="J44" s="1373"/>
      <c r="K44" s="1373"/>
      <c r="L44" s="1374"/>
      <c r="M44" s="1375"/>
      <c r="N44" s="1375"/>
      <c r="O44" s="1375"/>
      <c r="P44" s="1342"/>
      <c r="Q44" s="362"/>
      <c r="R44" s="363"/>
      <c r="S44" s="1346" t="str">
        <f>INDEX(PT_DIFFERENTIATION_NUM_TER,MATCH(B44,PT_DIFFERENTIATION_TER_ID,0))</f>
        <v>.</v>
      </c>
      <c r="T44" s="318" t="s">
        <v>419</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420</v>
      </c>
      <c r="AO44" s="510"/>
      <c r="AP44" s="510" t="str">
        <f>IF(T44="","",T44)</f>
        <v>Территория действия тарифа</v>
      </c>
      <c r="AQ44" s="510"/>
      <c r="AR44" s="510"/>
      <c r="AS44" s="1165">
        <v>21</v>
      </c>
    </row>
    <row customHeight="1" ht="24">
      <c r="A45" s="1373" t="s">
        <v>204</v>
      </c>
      <c r="B45" s="1373" t="s">
        <v>205</v>
      </c>
      <c r="C45" s="1373" t="s">
        <v>206</v>
      </c>
      <c r="D45" s="1373"/>
      <c r="E45" s="2269"/>
      <c r="F45" s="2269"/>
      <c r="G45" s="2268">
        <v>1</v>
      </c>
      <c r="H45" s="1373"/>
      <c r="I45" s="1373"/>
      <c r="J45" s="1373"/>
      <c r="K45" s="1373"/>
      <c r="L45" s="1374"/>
      <c r="M45" s="1375"/>
      <c r="N45" s="1375"/>
      <c r="O45" s="1375"/>
      <c r="P45" s="364"/>
      <c r="Q45" s="362"/>
      <c r="R45" s="363"/>
      <c r="S45" s="1346" t="str">
        <f>INDEX(PT_DIFFERENTIATION_NUM_CS,MATCH(C45,PT_DIFFERENTIATION_CS_ID,0))</f>
        <v>..</v>
      </c>
      <c r="T45" s="319" t="s">
        <v>421</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422</v>
      </c>
      <c r="AO45" s="510"/>
      <c r="AP45" s="510" t="str">
        <f>IF(T45="","",T45)</f>
        <v>Наименование системы теплоснабжения </v>
      </c>
      <c r="AQ45" s="510"/>
      <c r="AR45" s="510"/>
      <c r="AS45" s="1165">
        <v>23</v>
      </c>
    </row>
    <row customHeight="1" ht="22.049999999999997">
      <c r="A46" s="1373" t="s">
        <v>204</v>
      </c>
      <c r="B46" s="1373" t="s">
        <v>205</v>
      </c>
      <c r="C46" s="1373" t="s">
        <v>206</v>
      </c>
      <c r="D46" s="1373" t="s">
        <v>207</v>
      </c>
      <c r="E46" s="2269"/>
      <c r="F46" s="2269"/>
      <c r="G46" s="2269"/>
      <c r="H46" s="2268">
        <v>1</v>
      </c>
      <c r="I46" s="1373"/>
      <c r="J46" s="1373"/>
      <c r="K46" s="1373"/>
      <c r="L46" s="1374"/>
      <c r="M46" s="1375"/>
      <c r="N46" s="1375"/>
      <c r="O46" s="1375"/>
      <c r="P46" s="364"/>
      <c r="Q46" s="362"/>
      <c r="R46" s="363"/>
      <c r="S46" s="1346" t="str">
        <f>INDEX(PT_DIFFERENTIATION_NUM_IST_TE,MATCH(D46,PT_DIFFERENTIATION_IST_TE_ID,0))</f>
        <v>...</v>
      </c>
      <c r="T46" s="320" t="s">
        <v>423</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424</v>
      </c>
      <c r="AO46" s="510"/>
      <c r="AP46" s="510" t="str">
        <f>IF(T46="","",T46)</f>
        <v>Источник тепловой энергии  </v>
      </c>
      <c r="AQ46" s="510"/>
      <c r="AR46" s="510"/>
      <c r="AS46" s="1165">
        <v>21</v>
      </c>
    </row>
    <row s="1652" customFormat="1" customHeight="1" ht="0">
      <c r="A47" s="1353" t="s">
        <v>204</v>
      </c>
      <c r="B47" s="1353" t="s">
        <v>205</v>
      </c>
      <c r="C47" s="1353" t="s">
        <v>206</v>
      </c>
      <c r="D47" s="1353" t="s">
        <v>207</v>
      </c>
      <c r="E47" s="2269"/>
      <c r="F47" s="2269"/>
      <c r="G47" s="2269"/>
      <c r="H47" s="2269"/>
      <c r="I47" s="2266" t="str">
        <f>S46&amp;".1"</f>
        <v>....1</v>
      </c>
      <c r="J47" s="1353"/>
      <c r="K47" s="1353"/>
      <c r="L47" s="1356" t="s">
        <v>425</v>
      </c>
      <c r="M47" s="520"/>
      <c r="N47" s="520"/>
      <c r="O47" s="520"/>
      <c r="P47" s="2267">
        <v>1</v>
      </c>
      <c r="Q47" s="1341"/>
      <c r="R47" s="366"/>
      <c r="S47" s="1052"/>
      <c r="T47" s="1393"/>
      <c r="U47" s="1394"/>
      <c r="V47" s="2306"/>
      <c r="W47" s="2307"/>
      <c r="X47" s="2307"/>
      <c r="Y47" s="2307"/>
      <c r="Z47" s="2307"/>
      <c r="AA47" s="2307"/>
      <c r="AB47" s="2307"/>
      <c r="AC47" s="2308"/>
      <c r="AD47" s="2306"/>
      <c r="AE47" s="2307"/>
      <c r="AF47" s="2307"/>
      <c r="AG47" s="2307"/>
      <c r="AH47" s="2307"/>
      <c r="AI47" s="2307"/>
      <c r="AJ47" s="2307"/>
      <c r="AK47" s="2307"/>
      <c r="AL47" s="2308"/>
      <c r="AM47" s="1395"/>
      <c r="AO47" s="510"/>
      <c r="AP47" s="510" t="str">
        <f>IF(T47="","",T47)</f>
        <v/>
      </c>
      <c r="AQ47" s="510"/>
      <c r="AR47" s="510"/>
      <c r="AS47" s="521">
        <v>0</v>
      </c>
    </row>
    <row customHeight="1" ht="22.049999999999997">
      <c r="A48" s="1373" t="s">
        <v>204</v>
      </c>
      <c r="B48" s="1373" t="s">
        <v>205</v>
      </c>
      <c r="C48" s="1373" t="s">
        <v>206</v>
      </c>
      <c r="D48" s="1373" t="s">
        <v>207</v>
      </c>
      <c r="E48" s="2269"/>
      <c r="F48" s="2269"/>
      <c r="G48" s="2269"/>
      <c r="H48" s="2269"/>
      <c r="I48" s="2296"/>
      <c r="J48" s="2266" t="str">
        <f>S46&amp;".1"</f>
        <v>....1</v>
      </c>
      <c r="K48" s="1373"/>
      <c r="L48" s="1374" t="s">
        <v>428</v>
      </c>
      <c r="P48" s="2267"/>
      <c r="Q48" s="2267">
        <v>1</v>
      </c>
      <c r="R48" s="367"/>
      <c r="S48" s="1346" t="str">
        <f>$J48</f>
        <v>....1</v>
      </c>
      <c r="T48" s="296" t="s">
        <v>429</v>
      </c>
      <c r="U48" s="310"/>
      <c r="V48" s="2255"/>
      <c r="W48" s="2256"/>
      <c r="X48" s="2256"/>
      <c r="Y48" s="2256"/>
      <c r="Z48" s="2256"/>
      <c r="AA48" s="2256"/>
      <c r="AB48" s="2256"/>
      <c r="AC48" s="2257"/>
      <c r="AD48" s="2255"/>
      <c r="AE48" s="2256"/>
      <c r="AF48" s="2256"/>
      <c r="AG48" s="2256"/>
      <c r="AH48" s="2256"/>
      <c r="AI48" s="2256"/>
      <c r="AJ48" s="2256"/>
      <c r="AK48" s="2256"/>
      <c r="AL48" s="2257"/>
      <c r="AM48" s="1268" t="s">
        <v>430</v>
      </c>
      <c r="AO48" s="510"/>
      <c r="AP48" s="510" t="str">
        <f>IF(T48="","",T48)</f>
        <v>Группа потребителей</v>
      </c>
      <c r="AQ48" s="510"/>
      <c r="AR48" s="510"/>
      <c r="AS48" s="1165">
        <v>21</v>
      </c>
    </row>
    <row customHeight="1" ht="22.049999999999997">
      <c r="A49" s="1373" t="s">
        <v>204</v>
      </c>
      <c r="B49" s="1373" t="s">
        <v>205</v>
      </c>
      <c r="C49" s="1373" t="s">
        <v>206</v>
      </c>
      <c r="D49" s="1373" t="s">
        <v>207</v>
      </c>
      <c r="E49" s="2269"/>
      <c r="F49" s="2269"/>
      <c r="G49" s="2269"/>
      <c r="H49" s="2269"/>
      <c r="I49" s="2296"/>
      <c r="J49" s="2296"/>
      <c r="K49" s="2266" t="str">
        <f>J48&amp;".1"</f>
        <v>....1.1</v>
      </c>
      <c r="L49" s="1374" t="s">
        <v>431</v>
      </c>
      <c r="P49" s="2267"/>
      <c r="Q49" s="2267"/>
      <c r="R49" s="367">
        <v>1</v>
      </c>
      <c r="S49" s="1346" t="str">
        <f>$K49</f>
        <v>....1.1</v>
      </c>
      <c r="T49" s="1357"/>
      <c r="U49" s="310"/>
      <c r="V49" s="761"/>
      <c r="W49" s="335"/>
      <c r="X49" s="761"/>
      <c r="Y49" s="1267"/>
      <c r="Z49" s="2275"/>
      <c r="AA49" s="2117" t="s">
        <v>66</v>
      </c>
      <c r="AB49" s="2275"/>
      <c r="AC49" s="2117" t="s">
        <v>66</v>
      </c>
      <c r="AD49" s="761"/>
      <c r="AE49" s="335"/>
      <c r="AF49" s="761"/>
      <c r="AG49" s="1267"/>
      <c r="AH49" s="2275"/>
      <c r="AI49" s="2117" t="s">
        <v>66</v>
      </c>
      <c r="AJ49" s="2297"/>
      <c r="AK49" s="2117" t="s">
        <v>66</v>
      </c>
      <c r="AL49" s="1358"/>
      <c r="AM49" s="2263" t="s">
        <v>473</v>
      </c>
      <c r="AN49" s="521">
        <f>STRCHECKDATE(V50:AL50)</f>
      </c>
      <c r="AO49" s="510"/>
      <c r="AP49" s="510" t="str">
        <f>IF(T49="","",T49)</f>
        <v/>
      </c>
      <c r="AQ49" s="510"/>
      <c r="AR49" s="510"/>
      <c r="AS49" s="1165">
        <v>21</v>
      </c>
    </row>
    <row customHeight="1" ht="1.05">
      <c r="A50" s="1373" t="s">
        <v>204</v>
      </c>
      <c r="B50" s="1373" t="s">
        <v>205</v>
      </c>
      <c r="C50" s="1373" t="s">
        <v>206</v>
      </c>
      <c r="D50" s="1373" t="s">
        <v>207</v>
      </c>
      <c r="E50" s="2269"/>
      <c r="F50" s="2269"/>
      <c r="G50" s="2269"/>
      <c r="H50" s="2269"/>
      <c r="I50" s="2296"/>
      <c r="J50" s="2296"/>
      <c r="K50" s="2266"/>
      <c r="L50" s="1374"/>
      <c r="P50" s="2267"/>
      <c r="Q50" s="2267"/>
      <c r="R50" s="367"/>
      <c r="S50" s="1352"/>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510"/>
      <c r="AP50" s="510" t="str">
        <f>IF(T50="","",T50)</f>
        <v/>
      </c>
      <c r="AQ50" s="510"/>
      <c r="AR50" s="510"/>
      <c r="AS50" s="1165">
        <v>1</v>
      </c>
    </row>
    <row customHeight="1" ht="11.549999999999999">
      <c r="A51" s="1373" t="s">
        <v>204</v>
      </c>
      <c r="B51" s="1373" t="s">
        <v>205</v>
      </c>
      <c r="C51" s="1373" t="s">
        <v>206</v>
      </c>
      <c r="D51" s="1373" t="s">
        <v>207</v>
      </c>
      <c r="E51" s="2269"/>
      <c r="F51" s="2269"/>
      <c r="G51" s="2269"/>
      <c r="H51" s="2269"/>
      <c r="I51" s="2296"/>
      <c r="J51" s="2266"/>
      <c r="K51" s="1373"/>
      <c r="L51" s="1374"/>
      <c r="P51" s="2267"/>
      <c r="Q51" s="2267"/>
      <c r="R51" s="366"/>
      <c r="S51" s="1288"/>
      <c r="T51" s="297" t="s">
        <v>433</v>
      </c>
      <c r="U51" s="377"/>
      <c r="V51" s="377"/>
      <c r="W51" s="377"/>
      <c r="X51" s="377"/>
      <c r="Y51" s="377"/>
      <c r="Z51" s="377"/>
      <c r="AA51" s="377"/>
      <c r="AB51" s="377"/>
      <c r="AC51" s="377"/>
      <c r="AD51" s="377"/>
      <c r="AE51" s="377"/>
      <c r="AF51" s="377"/>
      <c r="AG51" s="377"/>
      <c r="AH51" s="377"/>
      <c r="AI51" s="377"/>
      <c r="AJ51" s="377"/>
      <c r="AK51" s="377"/>
      <c r="AL51" s="334"/>
      <c r="AM51" s="2265"/>
      <c r="AO51" s="510"/>
      <c r="AP51" s="510" t="str">
        <f>IF(T51="","",T51)</f>
        <v>Добавить вид теплоносителя (параметры теплоносителя)</v>
      </c>
      <c r="AQ51" s="510"/>
      <c r="AR51" s="510"/>
      <c r="AS51" s="1165">
        <v>11</v>
      </c>
    </row>
    <row customHeight="1" ht="11.549999999999999">
      <c r="A52" s="1373" t="s">
        <v>204</v>
      </c>
      <c r="B52" s="1373" t="s">
        <v>205</v>
      </c>
      <c r="C52" s="1373" t="s">
        <v>206</v>
      </c>
      <c r="D52" s="1373" t="s">
        <v>207</v>
      </c>
      <c r="E52" s="2269"/>
      <c r="F52" s="2269"/>
      <c r="G52" s="2269"/>
      <c r="H52" s="2269"/>
      <c r="I52" s="2266"/>
      <c r="J52" s="1373"/>
      <c r="K52" s="1373"/>
      <c r="L52" s="1374"/>
      <c r="P52" s="2267"/>
      <c r="Q52" s="1341"/>
      <c r="R52" s="366"/>
      <c r="S52" s="1288"/>
      <c r="T52" s="375" t="s">
        <v>434</v>
      </c>
      <c r="U52" s="377"/>
      <c r="V52" s="377"/>
      <c r="W52" s="377"/>
      <c r="X52" s="377"/>
      <c r="Y52" s="377"/>
      <c r="Z52" s="377"/>
      <c r="AA52" s="377"/>
      <c r="AB52" s="377"/>
      <c r="AC52" s="376"/>
      <c r="AD52" s="377"/>
      <c r="AE52" s="377"/>
      <c r="AF52" s="377"/>
      <c r="AG52" s="377"/>
      <c r="AH52" s="377"/>
      <c r="AI52" s="377"/>
      <c r="AJ52" s="377"/>
      <c r="AK52" s="376"/>
      <c r="AL52" s="377"/>
      <c r="AM52" s="313"/>
      <c r="AO52" s="510"/>
      <c r="AP52" s="510" t="str">
        <f>IF(T52="","",T52)</f>
        <v>Добавить группу потребителей</v>
      </c>
      <c r="AQ52" s="510"/>
      <c r="AR52" s="510"/>
      <c r="AS52" s="1165">
        <v>11</v>
      </c>
    </row>
    <row customHeight="1" ht="0">
      <c r="A53" s="1373" t="s">
        <v>204</v>
      </c>
      <c r="B53" s="1373" t="s">
        <v>205</v>
      </c>
      <c r="C53" s="1373" t="s">
        <v>206</v>
      </c>
      <c r="D53" s="1373" t="s">
        <v>207</v>
      </c>
      <c r="E53" s="2269"/>
      <c r="F53" s="2269"/>
      <c r="G53" s="2269"/>
      <c r="H53" s="2268"/>
      <c r="I53" s="1373"/>
      <c r="J53" s="1373"/>
      <c r="K53" s="1373"/>
      <c r="L53" s="1374"/>
      <c r="M53" s="1375"/>
      <c r="N53" s="1375"/>
      <c r="O53" s="547"/>
      <c r="P53" s="370"/>
      <c r="Q53" s="385"/>
      <c r="R53" s="365"/>
      <c r="S53" s="1396"/>
      <c r="T53" s="1397"/>
      <c r="U53" s="1398"/>
      <c r="V53" s="1398"/>
      <c r="W53" s="1398"/>
      <c r="X53" s="1398"/>
      <c r="Y53" s="1398"/>
      <c r="Z53" s="1398"/>
      <c r="AA53" s="1398"/>
      <c r="AB53" s="1398"/>
      <c r="AC53" s="1398"/>
      <c r="AD53" s="1398"/>
      <c r="AE53" s="1398"/>
      <c r="AF53" s="1398"/>
      <c r="AG53" s="1398"/>
      <c r="AH53" s="1398"/>
      <c r="AI53" s="1398"/>
      <c r="AJ53" s="1398"/>
      <c r="AK53" s="1398"/>
      <c r="AL53" s="1398"/>
      <c r="AM53" s="1399"/>
      <c r="AO53" s="510"/>
      <c r="AP53" s="510" t="str">
        <f>IF(T53="","",T53)</f>
        <v/>
      </c>
      <c r="AQ53" s="510"/>
      <c r="AR53" s="510"/>
      <c r="AS53" s="1165">
        <v>0</v>
      </c>
    </row>
    <row s="1652" customFormat="1" customHeight="1" ht="1.05">
      <c r="A54" s="1353" t="s">
        <v>204</v>
      </c>
      <c r="B54" s="1353" t="s">
        <v>205</v>
      </c>
      <c r="C54" s="1353" t="s">
        <v>206</v>
      </c>
      <c r="D54" s="1324"/>
      <c r="E54" s="2269"/>
      <c r="F54" s="2269"/>
      <c r="G54" s="2268"/>
      <c r="H54" s="1324"/>
      <c r="I54" s="1324"/>
      <c r="J54" s="1324"/>
      <c r="K54" s="1324"/>
      <c r="L54" s="1349"/>
      <c r="M54" s="1325"/>
      <c r="N54" s="1325"/>
      <c r="P54" s="1326"/>
      <c r="Q54" s="1327"/>
      <c r="R54" s="1326"/>
      <c r="S54" s="1332"/>
      <c r="T54" s="1335" t="s">
        <v>436</v>
      </c>
      <c r="U54" s="1334"/>
      <c r="V54" s="1334"/>
      <c r="W54" s="1334"/>
      <c r="X54" s="1334"/>
      <c r="Y54" s="1334"/>
      <c r="Z54" s="1334"/>
      <c r="AA54" s="1334"/>
      <c r="AB54" s="1334"/>
      <c r="AC54" s="1334"/>
      <c r="AD54" s="1334"/>
      <c r="AE54" s="1334"/>
      <c r="AF54" s="1334"/>
      <c r="AG54" s="1334"/>
      <c r="AH54" s="1334"/>
      <c r="AI54" s="1334"/>
      <c r="AJ54" s="1334"/>
      <c r="AK54" s="1334"/>
      <c r="AL54" s="1334"/>
      <c r="AM54" s="1334"/>
      <c r="AO54" s="799"/>
      <c r="AP54" s="799" t="str">
        <f>IF(T54="","",T54)</f>
        <v>Добавить источник для дифференциации</v>
      </c>
      <c r="AQ54" s="799"/>
      <c r="AR54" s="799"/>
      <c r="AS54" s="528">
        <v>1</v>
      </c>
    </row>
    <row s="1652" customFormat="1" customHeight="1" ht="1.05">
      <c r="A55" s="1353" t="s">
        <v>204</v>
      </c>
      <c r="B55" s="1353" t="s">
        <v>205</v>
      </c>
      <c r="C55" s="1324"/>
      <c r="D55" s="1324"/>
      <c r="E55" s="2269"/>
      <c r="F55" s="2268"/>
      <c r="G55" s="1324"/>
      <c r="H55" s="1324"/>
      <c r="I55" s="1324"/>
      <c r="J55" s="1324"/>
      <c r="K55" s="1324"/>
      <c r="L55" s="1349"/>
      <c r="M55" s="1331"/>
      <c r="N55" s="1331"/>
      <c r="P55" s="1326"/>
      <c r="Q55" s="1327"/>
      <c r="R55" s="1326"/>
      <c r="S55" s="1332"/>
      <c r="T55" s="1335" t="s">
        <v>437</v>
      </c>
      <c r="U55" s="1334"/>
      <c r="V55" s="1334"/>
      <c r="W55" s="1334"/>
      <c r="X55" s="1334"/>
      <c r="Y55" s="1334"/>
      <c r="Z55" s="1334"/>
      <c r="AA55" s="1334"/>
      <c r="AB55" s="1334"/>
      <c r="AC55" s="1334"/>
      <c r="AD55" s="1334"/>
      <c r="AE55" s="1334"/>
      <c r="AF55" s="1334"/>
      <c r="AG55" s="1334"/>
      <c r="AH55" s="1334"/>
      <c r="AI55" s="1334"/>
      <c r="AJ55" s="1334"/>
      <c r="AK55" s="1334"/>
      <c r="AL55" s="1334"/>
      <c r="AM55" s="1334"/>
      <c r="AO55" s="799"/>
      <c r="AP55" s="799" t="str">
        <f>IF(T55="","",T55)</f>
        <v>Добавить централизованную систему для дифференциации</v>
      </c>
      <c r="AQ55" s="799"/>
      <c r="AR55" s="799"/>
      <c r="AS55" s="528">
        <v>1</v>
      </c>
    </row>
    <row s="1652" customFormat="1" customHeight="1" ht="1.05">
      <c r="A56" s="1353" t="s">
        <v>204</v>
      </c>
      <c r="B56" s="1353"/>
      <c r="C56" s="1353"/>
      <c r="D56" s="1353"/>
      <c r="E56" s="2268"/>
      <c r="F56" s="1353"/>
      <c r="G56" s="1353"/>
      <c r="H56" s="1353"/>
      <c r="I56" s="1353"/>
      <c r="J56" s="1353"/>
      <c r="K56" s="1353"/>
      <c r="L56" s="1356"/>
      <c r="M56" s="1331"/>
      <c r="N56" s="1331"/>
      <c r="O56" s="528"/>
      <c r="P56" s="390"/>
      <c r="Q56" s="1354"/>
      <c r="R56" s="390"/>
      <c r="S56" s="1332"/>
      <c r="T56" s="1335" t="s">
        <v>438</v>
      </c>
      <c r="U56" s="1334"/>
      <c r="V56" s="1334"/>
      <c r="W56" s="1334"/>
      <c r="X56" s="1334"/>
      <c r="Y56" s="1334"/>
      <c r="Z56" s="1334"/>
      <c r="AA56" s="1334"/>
      <c r="AB56" s="1334"/>
      <c r="AC56" s="1334"/>
      <c r="AD56" s="1334"/>
      <c r="AE56" s="1334"/>
      <c r="AF56" s="1334"/>
      <c r="AG56" s="1334"/>
      <c r="AH56" s="1334"/>
      <c r="AI56" s="1334"/>
      <c r="AJ56" s="1334"/>
      <c r="AK56" s="1334"/>
      <c r="AL56" s="1334"/>
      <c r="AM56" s="1334"/>
      <c r="AO56" s="510"/>
      <c r="AP56" s="510" t="str">
        <f>IF(T56="","",T56)</f>
        <v>Добавить территорию для дифференциации</v>
      </c>
      <c r="AQ56" s="510"/>
      <c r="AR56" s="510"/>
      <c r="AS56" s="521">
        <v>1</v>
      </c>
    </row>
    <row s="1652" customFormat="1" customHeight="1" ht="1.05">
      <c r="A57" s="1324"/>
      <c r="B57" s="1324"/>
      <c r="C57" s="1324"/>
      <c r="D57" s="1324"/>
      <c r="E57" s="1353"/>
      <c r="F57" s="1324"/>
      <c r="G57" s="1324"/>
      <c r="H57" s="1324"/>
      <c r="I57" s="1324"/>
      <c r="J57" s="1324"/>
      <c r="K57" s="1324"/>
      <c r="L57" s="1349"/>
      <c r="M57" s="1331"/>
      <c r="N57" s="1331"/>
      <c r="P57" s="1326"/>
      <c r="Q57" s="1327"/>
      <c r="R57" s="1326"/>
      <c r="S57" s="1332"/>
      <c r="T57" s="1335" t="s">
        <v>470</v>
      </c>
      <c r="U57" s="1334"/>
      <c r="V57" s="1334"/>
      <c r="W57" s="1334"/>
      <c r="X57" s="1334"/>
      <c r="Y57" s="1334"/>
      <c r="Z57" s="1334"/>
      <c r="AA57" s="1334"/>
      <c r="AB57" s="1334"/>
      <c r="AC57" s="1334"/>
      <c r="AD57" s="1334"/>
      <c r="AE57" s="1334"/>
      <c r="AF57" s="1334"/>
      <c r="AG57" s="1334"/>
      <c r="AH57" s="1334"/>
      <c r="AI57" s="1334"/>
      <c r="AJ57" s="1334"/>
      <c r="AK57" s="1334"/>
      <c r="AL57" s="1334"/>
      <c r="AM57" s="1334"/>
      <c r="AO57" s="799"/>
      <c r="AP57" s="799" t="str">
        <f>IF(T57="","",T57)</f>
        <v>Добавить наименование тарифа</v>
      </c>
      <c r="AQ57" s="799"/>
      <c r="AR57" s="799"/>
      <c r="AS57" s="528">
        <v>1</v>
      </c>
    </row>
    <row customHeight="1" ht="11.549999999999999">
      <c r="M58" s="1170"/>
      <c r="N58" s="1170"/>
      <c r="O58" s="547"/>
      <c r="P58" s="1165"/>
      <c r="Q58" s="1165"/>
      <c r="R58" s="1165"/>
      <c r="S58" s="1165"/>
      <c r="AN58" s="1165"/>
      <c r="AO58" s="1165"/>
      <c r="AP58" s="1165"/>
      <c r="AQ58" s="1165"/>
      <c r="AR58" s="1165"/>
      <c r="AS58" s="1165">
        <v>11</v>
      </c>
    </row>
    <row customHeight="1" ht="23.25">
      <c r="O59" s="547"/>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165">
        <v>22</v>
      </c>
    </row>
    <row customHeight="1" ht="30.45">
      <c r="O60" s="547"/>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165">
        <v>29</v>
      </c>
    </row>
    <row customHeight="1" ht="42">
      <c r="O61" s="547"/>
      <c r="T61" s="2295"/>
      <c r="U61" s="2295"/>
      <c r="V61" s="2295"/>
      <c r="W61" s="2295"/>
      <c r="X61" s="2295"/>
      <c r="Y61" s="2295"/>
      <c r="Z61" s="2295"/>
      <c r="AA61" s="2295"/>
      <c r="AB61" s="2295"/>
      <c r="AC61" s="2295"/>
      <c r="AD61" s="2295"/>
      <c r="AE61" s="2295"/>
      <c r="AF61" s="2295"/>
      <c r="AG61" s="2295"/>
      <c r="AH61" s="2295"/>
      <c r="AI61" s="2295"/>
      <c r="AJ61" s="2295"/>
      <c r="AK61" s="2295"/>
      <c r="AL61" s="2295"/>
      <c r="AM61" s="2295"/>
      <c r="AS61" s="1165">
        <v>40</v>
      </c>
    </row>
    <row customHeight="1" ht="14.699999999999998">
      <c r="O62" s="547"/>
      <c r="AS62" s="1165">
        <v>14</v>
      </c>
    </row>
    <row customHeight="1" ht="21">
      <c r="O63" s="547"/>
      <c r="S63" s="1263"/>
      <c r="T63" s="2309"/>
      <c r="U63" s="2295"/>
      <c r="V63" s="2295"/>
      <c r="W63" s="2295"/>
      <c r="X63" s="2295"/>
      <c r="Y63" s="2295"/>
      <c r="Z63" s="2295"/>
      <c r="AA63" s="2295"/>
      <c r="AB63" s="2295"/>
      <c r="AC63" s="2295"/>
      <c r="AD63" s="2295"/>
      <c r="AE63" s="2295"/>
      <c r="AF63" s="2295"/>
      <c r="AG63" s="2295"/>
      <c r="AH63" s="2295"/>
      <c r="AI63" s="2295"/>
      <c r="AJ63" s="2295"/>
      <c r="AK63" s="2295"/>
      <c r="AL63" s="2295"/>
      <c r="AM63" s="2295"/>
      <c r="AS63" s="1165">
        <v>20</v>
      </c>
    </row>
    <row customHeight="1" ht="29.25">
      <c r="O64" s="547"/>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165">
        <v>28</v>
      </c>
    </row>
    <row customHeight="1" ht="35.699999999999996">
      <c r="T65" s="2295"/>
      <c r="U65" s="2295"/>
      <c r="V65" s="2295"/>
      <c r="W65" s="2295"/>
      <c r="X65" s="2295"/>
      <c r="Y65" s="2295"/>
      <c r="Z65" s="2295"/>
      <c r="AA65" s="2295"/>
      <c r="AB65" s="2295"/>
      <c r="AC65" s="2295"/>
      <c r="AD65" s="2295"/>
      <c r="AE65" s="2295"/>
      <c r="AF65" s="2295"/>
      <c r="AG65" s="2295"/>
      <c r="AH65" s="2295"/>
      <c r="AI65" s="2295"/>
      <c r="AJ65" s="2295"/>
      <c r="AK65" s="2295"/>
      <c r="AL65" s="2295"/>
      <c r="AM65" s="2295"/>
      <c r="AS65" s="1165">
        <v>34</v>
      </c>
    </row>
    <row customHeight="1" ht="22.5" hidden="1">
      <c r="A66" s="1170" t="s">
        <v>82</v>
      </c>
      <c r="B66" s="1170">
        <v>0</v>
      </c>
      <c r="C66" s="1170">
        <v>0</v>
      </c>
      <c r="D66" s="1170">
        <v>0</v>
      </c>
      <c r="E66" s="1170">
        <v>0</v>
      </c>
      <c r="F66" s="1170">
        <v>0</v>
      </c>
      <c r="G66" s="1170">
        <v>0</v>
      </c>
      <c r="H66" s="1170">
        <v>0</v>
      </c>
      <c r="I66" s="1170">
        <v>0</v>
      </c>
      <c r="J66" s="1170">
        <v>0</v>
      </c>
      <c r="K66" s="1170">
        <v>0</v>
      </c>
      <c r="L66" s="1339">
        <v>0</v>
      </c>
      <c r="M66" s="1372">
        <v>0</v>
      </c>
      <c r="N66" s="1372">
        <v>0</v>
      </c>
      <c r="O66" s="1372">
        <v>0</v>
      </c>
      <c r="P66" s="1338">
        <v>0</v>
      </c>
      <c r="Q66" s="354">
        <v>3</v>
      </c>
      <c r="R66" s="354">
        <v>3</v>
      </c>
      <c r="S66" s="591">
        <v>12</v>
      </c>
      <c r="T66" s="1165">
        <v>31</v>
      </c>
      <c r="U66" s="1165">
        <v>0</v>
      </c>
      <c r="V66" s="1165">
        <v>0</v>
      </c>
      <c r="W66" s="1165">
        <v>0</v>
      </c>
      <c r="X66" s="1165">
        <v>0</v>
      </c>
      <c r="Y66" s="1165">
        <v>0</v>
      </c>
      <c r="Z66" s="1165">
        <v>0</v>
      </c>
      <c r="AA66" s="1165">
        <v>0</v>
      </c>
      <c r="AB66" s="1165">
        <v>0</v>
      </c>
      <c r="AC66" s="1165">
        <v>0</v>
      </c>
      <c r="AD66" s="1165">
        <v>24</v>
      </c>
      <c r="AE66" s="1165">
        <v>0</v>
      </c>
      <c r="AF66" s="1165">
        <v>24</v>
      </c>
      <c r="AG66" s="1165">
        <v>24</v>
      </c>
      <c r="AH66" s="1165">
        <v>11</v>
      </c>
      <c r="AI66" s="1165">
        <v>3</v>
      </c>
      <c r="AJ66" s="1165">
        <v>11</v>
      </c>
      <c r="AK66" s="1165">
        <v>0</v>
      </c>
      <c r="AL66" s="1165">
        <v>4</v>
      </c>
      <c r="AM66" s="1165">
        <v>115</v>
      </c>
      <c r="AN66" s="521">
        <v>10</v>
      </c>
      <c r="AO66" s="521">
        <v>10</v>
      </c>
      <c r="AP66" s="521">
        <v>10</v>
      </c>
      <c r="AQ66" s="521">
        <v>10</v>
      </c>
      <c r="AR66" s="521">
        <v>10</v>
      </c>
      <c r="AS66" s="1165">
        <v>23</v>
      </c>
    </row>
  </sheetData>
  <sheetProtection sheet="1" formatColumns="0" formatRows="0" autoFilter="0" sort="1" insertRows="1" insertColumns="1" deleteRows="1" deleteColumns="1"/>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73D114-0666-7AF9-AE65-0.09C9D545}"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2407" width="3.7109375" hidden="1" customWidth="1"/>
    <col min="17" max="18" style="354" width="3.00390625" customWidth="1"/>
    <col min="19" max="19" style="2417" width="12.00390625" customWidth="1"/>
    <col min="20" max="20" style="1645" width="31.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Y1" s="337"/>
      <c r="Z1" s="337"/>
      <c r="AG1" s="337"/>
      <c r="AH1" s="337"/>
      <c r="AS1" s="1165" t="s">
        <v>14</v>
      </c>
    </row>
    <row customHeight="1" ht="21" hidden="1">
      <c r="A2" s="1373"/>
      <c r="B2" s="1373"/>
      <c r="C2" s="1373"/>
      <c r="D2" s="1373"/>
      <c r="E2" s="2268">
        <v>1</v>
      </c>
      <c r="F2" s="1373"/>
      <c r="G2" s="1373"/>
      <c r="H2" s="1373"/>
      <c r="I2" s="1373"/>
      <c r="J2" s="1373"/>
      <c r="K2" s="1373"/>
      <c r="L2" s="1374"/>
      <c r="M2" s="1375"/>
      <c r="N2" s="1375"/>
      <c r="O2" s="1375"/>
      <c r="P2" s="371"/>
      <c r="Q2" s="370"/>
      <c r="R2" s="365"/>
      <c r="S2" s="1346">
        <f>INDEX(PT_DIFFERENTIATION_NUM_NTAR,MATCH(A2,PT_DIFFERENTIATION_NTAR_ID,0))</f>
      </c>
      <c r="T2" s="308" t="s">
        <v>147</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418</v>
      </c>
      <c r="AO2" s="510"/>
      <c r="AP2" s="510" t="str">
        <f>IF(T2="","",T2)</f>
        <v>Наименование тарифа</v>
      </c>
      <c r="AQ2" s="510"/>
      <c r="AR2" s="510"/>
      <c r="AS2" s="1165">
        <v>0</v>
      </c>
    </row>
    <row customHeight="1" ht="21" hidden="1">
      <c r="A3" s="1373"/>
      <c r="B3" s="1373"/>
      <c r="C3" s="1373"/>
      <c r="D3" s="1373"/>
      <c r="E3" s="2269"/>
      <c r="F3" s="2268">
        <v>1</v>
      </c>
      <c r="G3" s="1373"/>
      <c r="H3" s="1373"/>
      <c r="I3" s="1373"/>
      <c r="J3" s="1373"/>
      <c r="K3" s="1373"/>
      <c r="L3" s="1374"/>
      <c r="M3" s="1375"/>
      <c r="N3" s="1375"/>
      <c r="O3" s="1375"/>
      <c r="P3" s="1342"/>
      <c r="Q3" s="362"/>
      <c r="R3" s="363"/>
      <c r="S3" s="1346">
        <f>INDEX(PT_DIFFERENTIATION_NUM_TER,MATCH(B3,PT_DIFFERENTIATION_TER_ID,0))</f>
      </c>
      <c r="T3" s="318" t="s">
        <v>419</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420</v>
      </c>
      <c r="AO3" s="510"/>
      <c r="AP3" s="510" t="str">
        <f>IF(T3="","",T3)</f>
        <v>Территория действия тарифа</v>
      </c>
      <c r="AQ3" s="510"/>
      <c r="AR3" s="510"/>
      <c r="AS3" s="1165">
        <v>0</v>
      </c>
    </row>
    <row customHeight="1" ht="23.25" hidden="1">
      <c r="A4" s="1373"/>
      <c r="B4" s="1373"/>
      <c r="C4" s="1373"/>
      <c r="D4" s="1373"/>
      <c r="E4" s="2269"/>
      <c r="F4" s="2269"/>
      <c r="G4" s="2268">
        <v>1</v>
      </c>
      <c r="H4" s="1373"/>
      <c r="I4" s="1373"/>
      <c r="J4" s="1373"/>
      <c r="K4" s="1373"/>
      <c r="L4" s="1374"/>
      <c r="M4" s="1375"/>
      <c r="N4" s="1375"/>
      <c r="O4" s="1375"/>
      <c r="P4" s="364"/>
      <c r="Q4" s="362"/>
      <c r="R4" s="363"/>
      <c r="S4" s="1346">
        <f>INDEX(PT_DIFFERENTIATION_NUM_CS,MATCH(C4,PT_DIFFERENTIATION_CS_ID,0))</f>
      </c>
      <c r="T4" s="319" t="s">
        <v>421</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422</v>
      </c>
      <c r="AO4" s="510"/>
      <c r="AP4" s="510" t="str">
        <f>IF(T4="","",T4)</f>
        <v>Наименование системы теплоснабжения </v>
      </c>
      <c r="AQ4" s="510"/>
      <c r="AR4" s="510"/>
      <c r="AS4" s="1165">
        <v>0</v>
      </c>
    </row>
    <row customHeight="1" ht="21" hidden="1">
      <c r="A5" s="1373"/>
      <c r="B5" s="1373"/>
      <c r="C5" s="1373"/>
      <c r="D5" s="1373"/>
      <c r="E5" s="2269"/>
      <c r="F5" s="2269"/>
      <c r="G5" s="2269"/>
      <c r="H5" s="2268">
        <v>1</v>
      </c>
      <c r="I5" s="1373"/>
      <c r="J5" s="1373"/>
      <c r="K5" s="1373"/>
      <c r="L5" s="1374"/>
      <c r="M5" s="1375"/>
      <c r="N5" s="1375"/>
      <c r="O5" s="1375"/>
      <c r="P5" s="364"/>
      <c r="Q5" s="362"/>
      <c r="R5" s="363"/>
      <c r="S5" s="1346">
        <f>INDEX(PT_DIFFERENTIATION_NUM_IST_TE,MATCH(D5,PT_DIFFERENTIATION_IST_TE_ID,0))</f>
      </c>
      <c r="T5" s="320" t="s">
        <v>423</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424</v>
      </c>
      <c r="AO5" s="510"/>
      <c r="AP5" s="510" t="str">
        <f>IF(T5="","",T5)</f>
        <v>Источник тепловой энергии  </v>
      </c>
      <c r="AQ5" s="510"/>
      <c r="AR5" s="510"/>
      <c r="AS5" s="1165">
        <v>0</v>
      </c>
    </row>
    <row customHeight="1" ht="14.25" hidden="1">
      <c r="A6" s="1373"/>
      <c r="B6" s="1373"/>
      <c r="C6" s="1373"/>
      <c r="D6" s="1373"/>
      <c r="E6" s="2269"/>
      <c r="F6" s="2269"/>
      <c r="G6" s="2269"/>
      <c r="H6" s="2269"/>
      <c r="I6" s="2266">
        <f>S5&amp;".1"</f>
      </c>
      <c r="J6" s="1373"/>
      <c r="K6" s="1373"/>
      <c r="L6" s="1374" t="s">
        <v>425</v>
      </c>
      <c r="M6" s="547"/>
      <c r="P6" s="2267">
        <v>1</v>
      </c>
      <c r="Q6" s="1341"/>
      <c r="R6" s="366"/>
      <c r="S6" s="1052"/>
      <c r="T6" s="1393"/>
      <c r="U6" s="1394"/>
      <c r="V6" s="2306"/>
      <c r="W6" s="2307"/>
      <c r="X6" s="2307"/>
      <c r="Y6" s="2307"/>
      <c r="Z6" s="2307"/>
      <c r="AA6" s="2307"/>
      <c r="AB6" s="2307"/>
      <c r="AC6" s="2308"/>
      <c r="AD6" s="2306"/>
      <c r="AE6" s="2307"/>
      <c r="AF6" s="2307"/>
      <c r="AG6" s="2307"/>
      <c r="AH6" s="2307"/>
      <c r="AI6" s="2307"/>
      <c r="AJ6" s="2307"/>
      <c r="AK6" s="2307"/>
      <c r="AL6" s="2308"/>
      <c r="AM6" s="1395"/>
      <c r="AO6" s="510"/>
      <c r="AP6" s="510" t="str">
        <f>IF(T6="","",T6)</f>
        <v/>
      </c>
      <c r="AQ6" s="510"/>
      <c r="AR6" s="510"/>
      <c r="AS6" s="1165">
        <v>0</v>
      </c>
    </row>
    <row customHeight="1" ht="21" hidden="1">
      <c r="A7" s="1373"/>
      <c r="B7" s="1373"/>
      <c r="C7" s="1373"/>
      <c r="D7" s="1373"/>
      <c r="E7" s="2269"/>
      <c r="F7" s="2269"/>
      <c r="G7" s="2269"/>
      <c r="H7" s="2269"/>
      <c r="I7" s="2296"/>
      <c r="J7" s="2266">
        <f>I6&amp;".1"</f>
      </c>
      <c r="K7" s="1373"/>
      <c r="L7" s="1374" t="s">
        <v>428</v>
      </c>
      <c r="M7" s="547"/>
      <c r="N7" s="1376"/>
      <c r="P7" s="2267"/>
      <c r="Q7" s="2267">
        <v>1</v>
      </c>
      <c r="R7" s="367"/>
      <c r="S7" s="1346">
        <f>$J7</f>
      </c>
      <c r="T7" s="296" t="s">
        <v>429</v>
      </c>
      <c r="U7" s="310"/>
      <c r="V7" s="2255"/>
      <c r="W7" s="2256"/>
      <c r="X7" s="2256"/>
      <c r="Y7" s="2256"/>
      <c r="Z7" s="2256"/>
      <c r="AA7" s="2256"/>
      <c r="AB7" s="2256"/>
      <c r="AC7" s="2257"/>
      <c r="AD7" s="2255"/>
      <c r="AE7" s="2256"/>
      <c r="AF7" s="2256"/>
      <c r="AG7" s="2256"/>
      <c r="AH7" s="2256"/>
      <c r="AI7" s="2256"/>
      <c r="AJ7" s="2256"/>
      <c r="AK7" s="2256"/>
      <c r="AL7" s="2257"/>
      <c r="AM7" s="1268" t="s">
        <v>430</v>
      </c>
      <c r="AO7" s="510"/>
      <c r="AP7" s="510" t="str">
        <f>IF(T7="","",T7)</f>
        <v>Группа потребителей</v>
      </c>
      <c r="AQ7" s="510"/>
      <c r="AR7" s="510"/>
      <c r="AS7" s="1165">
        <v>0</v>
      </c>
    </row>
    <row customHeight="1" ht="21" hidden="1">
      <c r="A8" s="1373"/>
      <c r="B8" s="1373"/>
      <c r="C8" s="1373"/>
      <c r="D8" s="1373"/>
      <c r="E8" s="2269"/>
      <c r="F8" s="2269"/>
      <c r="G8" s="2269"/>
      <c r="H8" s="2269"/>
      <c r="I8" s="2296"/>
      <c r="J8" s="2296"/>
      <c r="K8" s="2266">
        <f>J7&amp;".1"</f>
      </c>
      <c r="L8" s="1374" t="s">
        <v>431</v>
      </c>
      <c r="M8" s="547"/>
      <c r="N8" s="1376"/>
      <c r="O8" s="1376"/>
      <c r="P8" s="2267"/>
      <c r="Q8" s="2267"/>
      <c r="R8" s="367">
        <v>1</v>
      </c>
      <c r="S8" s="1346">
        <f>$K8</f>
      </c>
      <c r="T8" s="1357"/>
      <c r="U8" s="310"/>
      <c r="V8" s="761"/>
      <c r="W8" s="335"/>
      <c r="X8" s="761"/>
      <c r="Y8" s="1267"/>
      <c r="Z8" s="2275"/>
      <c r="AA8" s="2117" t="s">
        <v>66</v>
      </c>
      <c r="AB8" s="2275"/>
      <c r="AC8" s="2117" t="s">
        <v>66</v>
      </c>
      <c r="AD8" s="761"/>
      <c r="AE8" s="335"/>
      <c r="AF8" s="761"/>
      <c r="AG8" s="1267"/>
      <c r="AH8" s="2275"/>
      <c r="AI8" s="2117" t="s">
        <v>66</v>
      </c>
      <c r="AJ8" s="2275"/>
      <c r="AK8" s="2117" t="s">
        <v>66</v>
      </c>
      <c r="AL8" s="335"/>
      <c r="AM8" s="2263" t="s">
        <v>432</v>
      </c>
      <c r="AN8" s="521">
        <f>STRCHECKDATE(V9:AL9)</f>
      </c>
      <c r="AO8" s="510"/>
      <c r="AP8" s="510" t="str">
        <f>IF(T8="","",T8)</f>
        <v/>
      </c>
      <c r="AQ8" s="510"/>
      <c r="AR8" s="510"/>
      <c r="AS8" s="1165">
        <v>0</v>
      </c>
    </row>
    <row customHeight="1" ht="14.25" hidden="1">
      <c r="A9" s="1373"/>
      <c r="B9" s="1373"/>
      <c r="C9" s="1373"/>
      <c r="D9" s="1373"/>
      <c r="E9" s="2269"/>
      <c r="F9" s="2269"/>
      <c r="G9" s="2269"/>
      <c r="H9" s="2269"/>
      <c r="I9" s="2296"/>
      <c r="J9" s="2296"/>
      <c r="K9" s="2266"/>
      <c r="L9" s="1374"/>
      <c r="M9" s="547"/>
      <c r="N9" s="1376"/>
      <c r="O9" s="1376"/>
      <c r="P9" s="2267"/>
      <c r="Q9" s="2267"/>
      <c r="R9" s="367"/>
      <c r="S9" s="1352"/>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510"/>
      <c r="AP9" s="510" t="str">
        <f>IF(T9="","",T9)</f>
        <v/>
      </c>
      <c r="AQ9" s="510"/>
      <c r="AR9" s="510"/>
      <c r="AS9" s="1165">
        <v>0</v>
      </c>
    </row>
    <row customHeight="1" ht="15" hidden="1">
      <c r="A10" s="1373"/>
      <c r="B10" s="1373"/>
      <c r="C10" s="1373"/>
      <c r="D10" s="1373"/>
      <c r="E10" s="2269"/>
      <c r="F10" s="2269"/>
      <c r="G10" s="2269"/>
      <c r="H10" s="2269"/>
      <c r="I10" s="2296"/>
      <c r="J10" s="2266"/>
      <c r="K10" s="1373"/>
      <c r="L10" s="1374"/>
      <c r="M10" s="547"/>
      <c r="N10" s="1376"/>
      <c r="P10" s="2267"/>
      <c r="Q10" s="2267"/>
      <c r="R10" s="366"/>
      <c r="S10" s="1288"/>
      <c r="T10" s="297" t="s">
        <v>433</v>
      </c>
      <c r="U10" s="377"/>
      <c r="V10" s="377"/>
      <c r="W10" s="377"/>
      <c r="X10" s="377"/>
      <c r="Y10" s="377"/>
      <c r="Z10" s="377"/>
      <c r="AA10" s="377"/>
      <c r="AB10" s="377"/>
      <c r="AC10" s="377"/>
      <c r="AD10" s="377"/>
      <c r="AE10" s="377"/>
      <c r="AF10" s="377"/>
      <c r="AG10" s="377"/>
      <c r="AH10" s="377"/>
      <c r="AI10" s="377"/>
      <c r="AJ10" s="377"/>
      <c r="AK10" s="377"/>
      <c r="AL10" s="334"/>
      <c r="AM10" s="2265"/>
      <c r="AO10" s="510"/>
      <c r="AP10" s="510" t="str">
        <f>IF(T10="","",T10)</f>
        <v>Добавить вид теплоносителя (параметры теплоносителя)</v>
      </c>
      <c r="AQ10" s="510"/>
      <c r="AR10" s="510"/>
      <c r="AS10" s="1165">
        <v>0</v>
      </c>
    </row>
    <row customHeight="1" ht="11.25" hidden="1">
      <c r="A11" s="1373"/>
      <c r="B11" s="1373"/>
      <c r="C11" s="1373"/>
      <c r="D11" s="1373"/>
      <c r="E11" s="2269"/>
      <c r="F11" s="2269"/>
      <c r="G11" s="2269"/>
      <c r="H11" s="2269"/>
      <c r="I11" s="2266"/>
      <c r="J11" s="1373"/>
      <c r="K11" s="1373"/>
      <c r="L11" s="1374"/>
      <c r="M11" s="547"/>
      <c r="P11" s="2267"/>
      <c r="Q11" s="1341"/>
      <c r="R11" s="366"/>
      <c r="S11" s="1288"/>
      <c r="T11" s="375" t="s">
        <v>434</v>
      </c>
      <c r="U11" s="377"/>
      <c r="V11" s="377"/>
      <c r="W11" s="377"/>
      <c r="X11" s="377"/>
      <c r="Y11" s="377"/>
      <c r="Z11" s="377"/>
      <c r="AA11" s="377"/>
      <c r="AB11" s="377"/>
      <c r="AC11" s="376"/>
      <c r="AD11" s="377"/>
      <c r="AE11" s="377"/>
      <c r="AF11" s="377"/>
      <c r="AG11" s="377"/>
      <c r="AH11" s="377"/>
      <c r="AI11" s="377"/>
      <c r="AJ11" s="377"/>
      <c r="AK11" s="376"/>
      <c r="AL11" s="377"/>
      <c r="AM11" s="313"/>
      <c r="AO11" s="510"/>
      <c r="AP11" s="510" t="str">
        <f>IF(T11="","",T11)</f>
        <v>Добавить группу потребителей</v>
      </c>
      <c r="AQ11" s="510"/>
      <c r="AR11" s="510"/>
      <c r="AS11" s="1165">
        <v>0</v>
      </c>
    </row>
    <row customHeight="1" ht="14.25" hidden="1">
      <c r="A12" s="1373"/>
      <c r="B12" s="1373"/>
      <c r="C12" s="1373"/>
      <c r="D12" s="1373"/>
      <c r="E12" s="2269"/>
      <c r="F12" s="2269"/>
      <c r="G12" s="2269"/>
      <c r="H12" s="2268"/>
      <c r="I12" s="1373"/>
      <c r="J12" s="1373"/>
      <c r="K12" s="1373"/>
      <c r="L12" s="1374"/>
      <c r="M12" s="1375"/>
      <c r="N12" s="1375"/>
      <c r="O12" s="547"/>
      <c r="P12" s="370"/>
      <c r="Q12" s="385"/>
      <c r="R12" s="365"/>
      <c r="S12" s="1396"/>
      <c r="T12" s="1397"/>
      <c r="U12" s="1398"/>
      <c r="V12" s="1398"/>
      <c r="W12" s="1398"/>
      <c r="X12" s="1398"/>
      <c r="Y12" s="1398"/>
      <c r="Z12" s="1398"/>
      <c r="AA12" s="1398"/>
      <c r="AB12" s="1398"/>
      <c r="AC12" s="1398"/>
      <c r="AD12" s="1398"/>
      <c r="AE12" s="1398"/>
      <c r="AF12" s="1398"/>
      <c r="AG12" s="1398"/>
      <c r="AH12" s="1398"/>
      <c r="AI12" s="1398"/>
      <c r="AJ12" s="1398"/>
      <c r="AK12" s="1398"/>
      <c r="AL12" s="1398"/>
      <c r="AM12" s="1399"/>
      <c r="AO12" s="510"/>
      <c r="AP12" s="510" t="str">
        <f>IF(T12="","",T12)</f>
        <v/>
      </c>
      <c r="AQ12" s="510"/>
      <c r="AR12" s="510"/>
      <c r="AS12" s="1165">
        <v>0</v>
      </c>
    </row>
    <row s="1652" customFormat="1" customHeight="1" ht="14.25" hidden="1">
      <c r="A13" s="1324"/>
      <c r="B13" s="1324"/>
      <c r="C13" s="1324"/>
      <c r="D13" s="1324"/>
      <c r="E13" s="2269"/>
      <c r="F13" s="2269"/>
      <c r="G13" s="2268"/>
      <c r="H13" s="1324"/>
      <c r="I13" s="1324"/>
      <c r="J13" s="1324"/>
      <c r="K13" s="1324"/>
      <c r="L13" s="1349"/>
      <c r="M13" s="1325"/>
      <c r="N13" s="1325"/>
      <c r="P13" s="1326"/>
      <c r="Q13" s="1327"/>
      <c r="R13" s="1326"/>
      <c r="S13" s="1328"/>
      <c r="T13" s="1329" t="s">
        <v>436</v>
      </c>
      <c r="U13" s="1330"/>
      <c r="V13" s="1330"/>
      <c r="W13" s="1330"/>
      <c r="X13" s="1330"/>
      <c r="Y13" s="1330"/>
      <c r="Z13" s="1330"/>
      <c r="AA13" s="1330"/>
      <c r="AB13" s="1330"/>
      <c r="AC13" s="1330"/>
      <c r="AD13" s="1330"/>
      <c r="AE13" s="1330"/>
      <c r="AF13" s="1330"/>
      <c r="AG13" s="1330"/>
      <c r="AH13" s="1330"/>
      <c r="AI13" s="1330"/>
      <c r="AJ13" s="1330"/>
      <c r="AK13" s="1330"/>
      <c r="AL13" s="1330"/>
      <c r="AM13" s="1330"/>
      <c r="AO13" s="799"/>
      <c r="AP13" s="799" t="str">
        <f>IF(T13="","",T13)</f>
        <v>Добавить источник для дифференциации</v>
      </c>
      <c r="AQ13" s="799"/>
      <c r="AR13" s="799"/>
      <c r="AS13" s="528">
        <v>0</v>
      </c>
    </row>
    <row s="1652" customFormat="1" customHeight="1" ht="14.25" hidden="1">
      <c r="A14" s="1324"/>
      <c r="B14" s="1324"/>
      <c r="C14" s="1324"/>
      <c r="D14" s="1324"/>
      <c r="E14" s="2269"/>
      <c r="F14" s="2268"/>
      <c r="G14" s="1324"/>
      <c r="H14" s="1324"/>
      <c r="I14" s="1324"/>
      <c r="J14" s="1324"/>
      <c r="K14" s="1324"/>
      <c r="L14" s="1349"/>
      <c r="M14" s="1331"/>
      <c r="N14" s="1331"/>
      <c r="P14" s="1326"/>
      <c r="Q14" s="1327"/>
      <c r="R14" s="1326"/>
      <c r="S14" s="1332"/>
      <c r="T14" s="1333" t="s">
        <v>437</v>
      </c>
      <c r="U14" s="1334"/>
      <c r="V14" s="1334"/>
      <c r="W14" s="1334"/>
      <c r="X14" s="1334"/>
      <c r="Y14" s="1334"/>
      <c r="Z14" s="1334"/>
      <c r="AA14" s="1334"/>
      <c r="AB14" s="1334"/>
      <c r="AC14" s="1334"/>
      <c r="AD14" s="1334"/>
      <c r="AE14" s="1334"/>
      <c r="AF14" s="1334"/>
      <c r="AG14" s="1334"/>
      <c r="AH14" s="1334"/>
      <c r="AI14" s="1334"/>
      <c r="AJ14" s="1334"/>
      <c r="AK14" s="1334"/>
      <c r="AL14" s="1334"/>
      <c r="AM14" s="1334"/>
      <c r="AO14" s="799"/>
      <c r="AP14" s="799" t="str">
        <f>IF(T14="","",T14)</f>
        <v>Добавить централизованную систему для дифференциации</v>
      </c>
      <c r="AQ14" s="799"/>
      <c r="AR14" s="799"/>
      <c r="AS14" s="528">
        <v>0</v>
      </c>
    </row>
    <row s="1652" customFormat="1" customHeight="1" ht="14.25" hidden="1">
      <c r="A15" s="1324"/>
      <c r="B15" s="1324"/>
      <c r="C15" s="1324"/>
      <c r="D15" s="1324"/>
      <c r="E15" s="2268"/>
      <c r="F15" s="1324"/>
      <c r="G15" s="1324"/>
      <c r="H15" s="1324"/>
      <c r="I15" s="1324"/>
      <c r="J15" s="1324"/>
      <c r="K15" s="1324"/>
      <c r="L15" s="1349"/>
      <c r="M15" s="1331"/>
      <c r="N15" s="1331"/>
      <c r="P15" s="1326"/>
      <c r="Q15" s="1327"/>
      <c r="R15" s="1326"/>
      <c r="S15" s="1332"/>
      <c r="T15" s="1335" t="s">
        <v>438</v>
      </c>
      <c r="U15" s="1334"/>
      <c r="V15" s="1334"/>
      <c r="W15" s="1334"/>
      <c r="X15" s="1334"/>
      <c r="Y15" s="1334"/>
      <c r="Z15" s="1334"/>
      <c r="AA15" s="1334"/>
      <c r="AB15" s="1334"/>
      <c r="AC15" s="1334"/>
      <c r="AD15" s="1334"/>
      <c r="AE15" s="1334"/>
      <c r="AF15" s="1334"/>
      <c r="AG15" s="1334"/>
      <c r="AH15" s="1334"/>
      <c r="AI15" s="1334"/>
      <c r="AJ15" s="1334"/>
      <c r="AK15" s="1334"/>
      <c r="AL15" s="1334"/>
      <c r="AM15" s="1334"/>
      <c r="AO15" s="799"/>
      <c r="AP15" s="799" t="str">
        <f>IF(T15="","",T15)</f>
        <v>Добавить территорию для дифференциации</v>
      </c>
      <c r="AQ15" s="799"/>
      <c r="AR15" s="799"/>
      <c r="AS15" s="528">
        <v>0</v>
      </c>
    </row>
    <row customHeight="1" ht="14.25" hidden="1">
      <c r="AC16" s="337"/>
      <c r="AK16" s="337"/>
      <c r="AS16" s="1165">
        <v>0</v>
      </c>
    </row>
    <row customHeight="1" ht="14.25" hidden="1">
      <c r="AD17" s="1370"/>
      <c r="AE17" s="1370"/>
      <c r="AF17" s="1370"/>
      <c r="AG17" s="1371"/>
      <c r="AH17" s="2277"/>
      <c r="AI17" s="2278" t="s">
        <v>66</v>
      </c>
      <c r="AJ17" s="2277"/>
      <c r="AK17" s="2278" t="s">
        <v>66</v>
      </c>
      <c r="AS17" s="1165">
        <v>0</v>
      </c>
    </row>
    <row customHeight="1" ht="14.25" hidden="1">
      <c r="AD18" s="1370"/>
      <c r="AE18" s="1370"/>
      <c r="AF18" s="1370"/>
      <c r="AG18" s="338" t="str">
        <f>AH17&amp;"-"&amp;AJ17</f>
        <v>-</v>
      </c>
      <c r="AH18" s="2278"/>
      <c r="AI18" s="2278"/>
      <c r="AJ18" s="2278"/>
      <c r="AK18" s="2278"/>
      <c r="AS18" s="1165">
        <v>0</v>
      </c>
    </row>
    <row customHeight="1" ht="14.25" hidden="1">
      <c r="AK19" s="337"/>
      <c r="AS19" s="1165">
        <v>0</v>
      </c>
    </row>
    <row s="1376" customFormat="1" customHeight="1" ht="22.5" hidden="1">
      <c r="L20" s="1339"/>
      <c r="M20" s="1372"/>
      <c r="N20" s="1372"/>
      <c r="O20" s="1377" t="s">
        <v>439</v>
      </c>
      <c r="P20" s="1372"/>
      <c r="Q20" s="1381"/>
      <c r="R20" s="1381"/>
      <c r="S20" s="739"/>
      <c r="Z20" s="1377"/>
      <c r="AB20" s="1377"/>
      <c r="AC20" s="1376"/>
      <c r="AH20" s="1377"/>
      <c r="AJ20" s="1377"/>
      <c r="AK20" s="1376"/>
      <c r="AN20" s="521"/>
      <c r="AO20" s="521"/>
      <c r="AP20" s="521"/>
      <c r="AQ20" s="521"/>
      <c r="AR20" s="521"/>
      <c r="AS20" s="1170">
        <v>0</v>
      </c>
    </row>
    <row s="1376" customFormat="1" customHeight="1" ht="14.25" hidden="1">
      <c r="L21" s="1339"/>
      <c r="M21" s="1372"/>
      <c r="N21" s="1372"/>
      <c r="O21" s="1372"/>
      <c r="P21" s="1372"/>
      <c r="Q21" s="1381"/>
      <c r="R21" s="1381"/>
      <c r="S21" s="739"/>
      <c r="AC21" s="1376"/>
      <c r="AK21" s="1376"/>
      <c r="AN21" s="521"/>
      <c r="AO21" s="521"/>
      <c r="AP21" s="521"/>
      <c r="AQ21" s="521"/>
      <c r="AR21" s="521"/>
      <c r="AS21" s="1170">
        <v>0</v>
      </c>
    </row>
    <row s="1376" customFormat="1" customHeight="1" ht="14.25" hidden="1">
      <c r="L22" s="1339"/>
      <c r="M22" s="1372"/>
      <c r="N22" s="1372"/>
      <c r="O22" s="1374" t="s">
        <v>440</v>
      </c>
      <c r="P22" s="1372"/>
      <c r="Q22" s="1381"/>
      <c r="R22" s="1381"/>
      <c r="S22" s="739"/>
      <c r="T22" s="1170" t="s">
        <v>441</v>
      </c>
      <c r="AA22" s="196" t="s">
        <v>442</v>
      </c>
      <c r="AC22" s="196" t="s">
        <v>443</v>
      </c>
      <c r="AD22" s="1170" t="s">
        <v>441</v>
      </c>
      <c r="AI22" s="196" t="s">
        <v>444</v>
      </c>
      <c r="AK22" s="196" t="s">
        <v>443</v>
      </c>
      <c r="AN22" s="521"/>
      <c r="AO22" s="521"/>
      <c r="AP22" s="521"/>
      <c r="AQ22" s="521"/>
      <c r="AR22" s="521"/>
      <c r="AS22" s="1170">
        <v>0</v>
      </c>
    </row>
    <row customHeight="1" ht="14.25" hidden="1">
      <c r="O23" s="1374"/>
      <c r="AS23" s="1165">
        <v>0</v>
      </c>
    </row>
    <row customHeight="1" ht="14.25" hidden="1">
      <c r="O24" s="1374"/>
      <c r="AS24" s="1165">
        <v>0</v>
      </c>
    </row>
    <row customHeight="1" ht="14.699999999999998">
      <c r="Q25" s="386"/>
      <c r="R25" s="386"/>
      <c r="S25" s="1285"/>
      <c r="T25" s="373"/>
      <c r="U25" s="373"/>
      <c r="V25" s="519"/>
      <c r="W25" s="519"/>
      <c r="X25" s="519"/>
      <c r="Y25" s="519"/>
      <c r="Z25" s="519"/>
      <c r="AA25" s="519"/>
      <c r="AB25" s="519"/>
      <c r="AC25" s="519"/>
      <c r="AD25" s="519"/>
      <c r="AE25" s="519"/>
      <c r="AF25" s="519"/>
      <c r="AG25" s="519"/>
      <c r="AH25" s="519"/>
      <c r="AI25" s="519"/>
      <c r="AJ25" s="519"/>
      <c r="AK25" s="519"/>
      <c r="AS25" s="1165">
        <v>14</v>
      </c>
    </row>
    <row customHeight="1" ht="53.54999999999999">
      <c r="Q26" s="386"/>
      <c r="R26" s="386"/>
      <c r="S26" s="225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8"/>
      <c r="U26" s="2258"/>
      <c r="V26" s="2258"/>
      <c r="W26" s="2258"/>
      <c r="X26" s="2258"/>
      <c r="Y26" s="2258"/>
      <c r="Z26" s="2258"/>
      <c r="AA26" s="2258"/>
      <c r="AB26" s="2258"/>
      <c r="AC26" s="2258"/>
      <c r="AD26" s="2258"/>
      <c r="AE26" s="2258"/>
      <c r="AF26" s="2258"/>
      <c r="AG26" s="2258"/>
      <c r="AH26" s="2258"/>
      <c r="AI26" s="2258"/>
      <c r="AJ26" s="2258"/>
      <c r="AK26" s="1253"/>
      <c r="AS26" s="1165">
        <v>51</v>
      </c>
    </row>
    <row customHeight="1" ht="14.699999999999998">
      <c r="Q27" s="386"/>
      <c r="R27" s="386"/>
      <c r="S27" s="2259" t="str">
        <f>IF(org=0,"Не определено",org)</f>
        <v>АО «ДГК» СП «Нерюнгринская ГРЭС»</v>
      </c>
      <c r="T27" s="2259"/>
      <c r="U27" s="2259"/>
      <c r="V27" s="2259"/>
      <c r="W27" s="2259"/>
      <c r="X27" s="2259"/>
      <c r="Y27" s="2259"/>
      <c r="Z27" s="2259"/>
      <c r="AA27" s="2259"/>
      <c r="AB27" s="2259"/>
      <c r="AC27" s="2259"/>
      <c r="AD27" s="2259"/>
      <c r="AE27" s="2259"/>
      <c r="AF27" s="2259"/>
      <c r="AG27" s="2259"/>
      <c r="AH27" s="2259"/>
      <c r="AI27" s="2259"/>
      <c r="AJ27" s="2259"/>
      <c r="AK27" s="1253"/>
      <c r="AS27" s="1165">
        <v>14</v>
      </c>
    </row>
    <row customHeight="1" ht="14.25" hidden="1">
      <c r="Q28" s="386"/>
      <c r="R28" s="386"/>
      <c r="S28" s="1285"/>
      <c r="T28" s="373"/>
      <c r="U28" s="373"/>
      <c r="V28" s="332"/>
      <c r="W28" s="332"/>
      <c r="X28" s="332"/>
      <c r="Y28" s="332"/>
      <c r="Z28" s="332"/>
      <c r="AA28" s="332"/>
      <c r="AB28" s="332"/>
      <c r="AC28" s="332"/>
      <c r="AD28" s="332"/>
      <c r="AE28" s="332"/>
      <c r="AF28" s="332"/>
      <c r="AG28" s="332"/>
      <c r="AH28" s="332"/>
      <c r="AI28" s="332"/>
      <c r="AJ28" s="332"/>
      <c r="AK28" s="332"/>
      <c r="AL28" s="519"/>
      <c r="AS28" s="1165">
        <v>0</v>
      </c>
    </row>
    <row s="1863" customFormat="1" customHeight="1" ht="25.5" hidden="1">
      <c r="A29" s="1378"/>
      <c r="B29" s="1378"/>
      <c r="C29" s="1378"/>
      <c r="D29" s="1378"/>
      <c r="E29" s="1378"/>
      <c r="F29" s="1378"/>
      <c r="G29" s="1378"/>
      <c r="H29" s="1378"/>
      <c r="I29" s="1378"/>
      <c r="J29" s="1378"/>
      <c r="K29" s="1378"/>
      <c r="L29" s="1379"/>
      <c r="M29" s="1378"/>
      <c r="N29" s="1378"/>
      <c r="O29" s="1378"/>
      <c r="S29" s="2260" t="s">
        <v>42</v>
      </c>
      <c r="T29" s="2260"/>
      <c r="U29" s="1382"/>
      <c r="V29" s="2261" t="str">
        <f>IF(TITLE_NAME_OR_PR_CHANGE="",IF(TITLE_NAME_OR_PR="","",TITLE_NAME_OR_PR),TITLE_NAME_OR_PR_CHANGE)</f>
        <v/>
      </c>
      <c r="W29" s="2261"/>
      <c r="X29" s="2261"/>
      <c r="Y29" s="2261"/>
      <c r="Z29" s="2261"/>
      <c r="AA29" s="2261"/>
      <c r="AB29" s="2261"/>
      <c r="AC29" s="336"/>
      <c r="AD29" s="2261" t="str">
        <f>IF(TITLE_NAME_OR_PR_CHANGE="",IF(TITLE_NAME_OR_PR="","",TITLE_NAME_OR_PR),TITLE_NAME_OR_PR_CHANGE)</f>
        <v/>
      </c>
      <c r="AE29" s="2261"/>
      <c r="AF29" s="2261"/>
      <c r="AG29" s="2261"/>
      <c r="AH29" s="2261"/>
      <c r="AI29" s="2261"/>
      <c r="AJ29" s="2261"/>
      <c r="AK29" s="336"/>
      <c r="AL29" s="336"/>
      <c r="AM29" s="290"/>
      <c r="AN29" s="378"/>
      <c r="AO29" s="378"/>
      <c r="AP29" s="378"/>
      <c r="AQ29" s="378"/>
      <c r="AR29" s="378"/>
      <c r="AS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445</v>
      </c>
      <c r="T30" s="2260"/>
      <c r="U30" s="1382"/>
      <c r="V30" s="2274" t="str">
        <f>IF(TITLE_DATE_PR_CHANGE="",IF(TITLE_DATE_PR="","",TITLE_DATE_PR),TITLE_DATE_PR_CHANGE)</f>
        <v/>
      </c>
      <c r="W30" s="2274"/>
      <c r="X30" s="2274"/>
      <c r="Y30" s="2274"/>
      <c r="Z30" s="2274"/>
      <c r="AA30" s="2274"/>
      <c r="AB30" s="2274"/>
      <c r="AC30" s="336"/>
      <c r="AD30" s="2274" t="str">
        <f>IF(TITLE_DATE_PR_CHANGE="",IF(TITLE_DATE_PR="","",TITLE_DATE_PR),TITLE_DATE_PR_CHANGE)</f>
        <v/>
      </c>
      <c r="AE30" s="2274"/>
      <c r="AF30" s="2274"/>
      <c r="AG30" s="2274"/>
      <c r="AH30" s="2274"/>
      <c r="AI30" s="2274"/>
      <c r="AJ30" s="2274"/>
      <c r="AK30" s="336"/>
      <c r="AL30" s="336"/>
      <c r="AM30" s="290"/>
      <c r="AN30" s="378"/>
      <c r="AO30" s="378"/>
      <c r="AP30" s="378"/>
      <c r="AQ30" s="378"/>
      <c r="AR30" s="378"/>
      <c r="AS30" s="428">
        <v>0</v>
      </c>
    </row>
    <row s="1863" customFormat="1" customHeight="1" ht="18.75" hidden="1">
      <c r="A31" s="1378"/>
      <c r="B31" s="1378"/>
      <c r="C31" s="1378"/>
      <c r="D31" s="1378"/>
      <c r="E31" s="1378"/>
      <c r="F31" s="1378"/>
      <c r="G31" s="1378"/>
      <c r="H31" s="1378"/>
      <c r="I31" s="1378"/>
      <c r="J31" s="1378"/>
      <c r="K31" s="1378"/>
      <c r="L31" s="1379"/>
      <c r="M31" s="1378"/>
      <c r="N31" s="1378"/>
      <c r="O31" s="1378"/>
      <c r="S31" s="2260" t="s">
        <v>446</v>
      </c>
      <c r="T31" s="2260"/>
      <c r="U31" s="1382"/>
      <c r="V31" s="2261" t="str">
        <f>IF(TITLE_NUMBER_PR_CHANGE="",IF(TITLE_NUMBER_PR="","",TITLE_NUMBER_PR),TITLE_NUMBER_PR_CHANGE)</f>
        <v/>
      </c>
      <c r="W31" s="2261"/>
      <c r="X31" s="2261"/>
      <c r="Y31" s="2261"/>
      <c r="Z31" s="2261"/>
      <c r="AA31" s="2261"/>
      <c r="AB31" s="2261"/>
      <c r="AC31" s="336"/>
      <c r="AD31" s="2261" t="str">
        <f>IF(TITLE_NUMBER_PR_CHANGE="",IF(TITLE_NUMBER_PR="","",TITLE_NUMBER_PR),TITLE_NUMBER_PR_CHANGE)</f>
        <v/>
      </c>
      <c r="AE31" s="2261"/>
      <c r="AF31" s="2261"/>
      <c r="AG31" s="2261"/>
      <c r="AH31" s="2261"/>
      <c r="AI31" s="2261"/>
      <c r="AJ31" s="2261"/>
      <c r="AK31" s="336"/>
      <c r="AL31" s="336"/>
      <c r="AM31" s="290"/>
      <c r="AN31" s="378"/>
      <c r="AO31" s="378"/>
      <c r="AP31" s="378"/>
      <c r="AQ31" s="378"/>
      <c r="AR31" s="378"/>
      <c r="AS31" s="428">
        <v>0</v>
      </c>
    </row>
    <row s="1863" customFormat="1" customHeight="1" ht="18.75" hidden="1">
      <c r="A32" s="1378"/>
      <c r="B32" s="1378"/>
      <c r="C32" s="1378"/>
      <c r="D32" s="1378"/>
      <c r="E32" s="1378"/>
      <c r="F32" s="1378"/>
      <c r="G32" s="1378"/>
      <c r="H32" s="1378"/>
      <c r="I32" s="1378"/>
      <c r="J32" s="1378"/>
      <c r="K32" s="1378"/>
      <c r="L32" s="1379"/>
      <c r="M32" s="1378"/>
      <c r="N32" s="1378"/>
      <c r="O32" s="1378"/>
      <c r="S32" s="2260" t="s">
        <v>43</v>
      </c>
      <c r="T32" s="2260"/>
      <c r="U32" s="1382"/>
      <c r="V32" s="2261" t="str">
        <f>IF(TITLE_IST_PUB_CHANGE="",IF(TITLE_IST_PUB="","",TITLE_IST_PUB),TITLE_IST_PUB_CHANGE)</f>
        <v/>
      </c>
      <c r="W32" s="2261"/>
      <c r="X32" s="2261"/>
      <c r="Y32" s="2261"/>
      <c r="Z32" s="2261"/>
      <c r="AA32" s="2261"/>
      <c r="AB32" s="2261"/>
      <c r="AC32" s="336"/>
      <c r="AD32" s="2261" t="str">
        <f>IF(TITLE_IST_PUB_CHANGE="",IF(TITLE_IST_PUB="","",TITLE_IST_PUB),TITLE_IST_PUB_CHANGE)</f>
        <v/>
      </c>
      <c r="AE32" s="2261"/>
      <c r="AF32" s="2261"/>
      <c r="AG32" s="2261"/>
      <c r="AH32" s="2261"/>
      <c r="AI32" s="2261"/>
      <c r="AJ32" s="2261"/>
      <c r="AK32" s="336"/>
      <c r="AL32" s="336"/>
      <c r="AM32" s="290"/>
      <c r="AN32" s="378"/>
      <c r="AO32" s="378"/>
      <c r="AP32" s="378"/>
      <c r="AQ32" s="378"/>
      <c r="AR32" s="378"/>
      <c r="AS32" s="428">
        <v>0</v>
      </c>
    </row>
    <row customHeight="1" ht="14.25" hidden="1">
      <c r="Q33" s="386"/>
      <c r="R33" s="386"/>
      <c r="S33" s="1285"/>
      <c r="T33" s="373"/>
      <c r="U33" s="373"/>
      <c r="V33" s="332"/>
      <c r="W33" s="332"/>
      <c r="X33" s="332"/>
      <c r="Y33" s="332"/>
      <c r="Z33" s="332"/>
      <c r="AA33" s="332"/>
      <c r="AB33" s="332"/>
      <c r="AC33" s="332"/>
      <c r="AD33" s="332"/>
      <c r="AE33" s="332"/>
      <c r="AF33" s="332"/>
      <c r="AG33" s="332"/>
      <c r="AH33" s="332"/>
      <c r="AI33" s="332"/>
      <c r="AJ33" s="332"/>
      <c r="AK33" s="332"/>
      <c r="AL33" s="519"/>
      <c r="AS33" s="1165">
        <v>0</v>
      </c>
    </row>
    <row s="1863" customFormat="1" customHeight="1" ht="18.75" hidden="1">
      <c r="A34" s="1378"/>
      <c r="B34" s="1378"/>
      <c r="C34" s="1378"/>
      <c r="D34" s="1378"/>
      <c r="E34" s="1378"/>
      <c r="F34" s="1378"/>
      <c r="G34" s="1378"/>
      <c r="H34" s="1378"/>
      <c r="I34" s="1378"/>
      <c r="J34" s="1378"/>
      <c r="K34" s="1378"/>
      <c r="L34" s="1379"/>
      <c r="M34" s="1378"/>
      <c r="N34" s="1378"/>
      <c r="O34" s="1378"/>
      <c r="S34" s="2260" t="s">
        <v>447</v>
      </c>
      <c r="T34" s="2260"/>
      <c r="U34" s="1382"/>
      <c r="V34" s="2274" t="str">
        <f>IF(TITLE_DATE_PR_CHANGE="",IF(TITLE_DATE_PR="","",TITLE_DATE_PR),TITLE_DATE_PR_CHANGE)</f>
        <v/>
      </c>
      <c r="W34" s="2274"/>
      <c r="X34" s="2274"/>
      <c r="Y34" s="2274"/>
      <c r="Z34" s="2274"/>
      <c r="AA34" s="2274"/>
      <c r="AB34" s="2274"/>
      <c r="AC34" s="336"/>
      <c r="AD34" s="2274" t="str">
        <f>IF(TITLE_DATE_PR_CHANGE="",IF(TITLE_DATE_PR="","",TITLE_DATE_PR),TITLE_DATE_PR_CHANGE)</f>
        <v/>
      </c>
      <c r="AE34" s="2274"/>
      <c r="AF34" s="2274"/>
      <c r="AG34" s="2274"/>
      <c r="AH34" s="2274"/>
      <c r="AI34" s="2274"/>
      <c r="AJ34" s="2274"/>
      <c r="AK34" s="336"/>
      <c r="AL34" s="336"/>
      <c r="AM34" s="290"/>
      <c r="AN34" s="378"/>
      <c r="AO34" s="378"/>
      <c r="AP34" s="378"/>
      <c r="AQ34" s="378"/>
      <c r="AR34" s="378"/>
      <c r="AS34" s="428">
        <v>0</v>
      </c>
    </row>
    <row s="1863" customFormat="1" customHeight="1" ht="25.5" hidden="1">
      <c r="A35" s="1378"/>
      <c r="B35" s="1378"/>
      <c r="C35" s="1378"/>
      <c r="D35" s="1378"/>
      <c r="E35" s="1378"/>
      <c r="F35" s="1378"/>
      <c r="G35" s="1378"/>
      <c r="H35" s="1378"/>
      <c r="I35" s="1378"/>
      <c r="J35" s="1378"/>
      <c r="K35" s="1378"/>
      <c r="L35" s="1379"/>
      <c r="M35" s="1378"/>
      <c r="N35" s="1378"/>
      <c r="O35" s="1378"/>
      <c r="S35" s="2260" t="s">
        <v>448</v>
      </c>
      <c r="T35" s="2260"/>
      <c r="U35" s="1382"/>
      <c r="V35" s="2261" t="str">
        <f>IF(TITLE_NUMBER_PR_CHANGE="",IF(TITLE_NUMBER_PR="","",TITLE_NUMBER_PR),TITLE_NUMBER_PR_CHANGE)</f>
        <v/>
      </c>
      <c r="W35" s="2261"/>
      <c r="X35" s="2261"/>
      <c r="Y35" s="2261"/>
      <c r="Z35" s="2261"/>
      <c r="AA35" s="2261"/>
      <c r="AB35" s="2261"/>
      <c r="AC35" s="336"/>
      <c r="AD35" s="2261" t="str">
        <f>IF(TITLE_NUMBER_PR_CHANGE="",IF(TITLE_NUMBER_PR="","",TITLE_NUMBER_PR),TITLE_NUMBER_PR_CHANGE)</f>
        <v/>
      </c>
      <c r="AE35" s="2261"/>
      <c r="AF35" s="2261"/>
      <c r="AG35" s="2261"/>
      <c r="AH35" s="2261"/>
      <c r="AI35" s="2261"/>
      <c r="AJ35" s="2261"/>
      <c r="AK35" s="336"/>
      <c r="AL35" s="336"/>
      <c r="AM35" s="290"/>
      <c r="AN35" s="378"/>
      <c r="AO35" s="378"/>
      <c r="AP35" s="378"/>
      <c r="AQ35" s="378"/>
      <c r="AR35" s="378"/>
      <c r="AS35" s="428">
        <v>0</v>
      </c>
    </row>
    <row s="1863" customFormat="1" customHeight="1" ht="0">
      <c r="A36" s="1378"/>
      <c r="B36" s="1378"/>
      <c r="C36" s="1378"/>
      <c r="D36" s="1378"/>
      <c r="E36" s="1378"/>
      <c r="F36" s="1378"/>
      <c r="G36" s="1378"/>
      <c r="H36" s="1378"/>
      <c r="I36" s="1378"/>
      <c r="J36" s="1378"/>
      <c r="K36" s="1378"/>
      <c r="L36" s="1379"/>
      <c r="M36" s="1378"/>
      <c r="N36" s="1378"/>
      <c r="O36" s="1378"/>
      <c r="S36" s="333"/>
      <c r="T36" s="333"/>
      <c r="U36" s="1350"/>
      <c r="V36" s="336"/>
      <c r="W36" s="336"/>
      <c r="X36" s="336"/>
      <c r="Y36" s="336"/>
      <c r="Z36" s="336"/>
      <c r="AA36" s="336"/>
      <c r="AB36" s="336"/>
      <c r="AC36" s="288" t="s">
        <v>449</v>
      </c>
      <c r="AD36" s="336"/>
      <c r="AE36" s="336"/>
      <c r="AF36" s="336"/>
      <c r="AG36" s="336"/>
      <c r="AH36" s="336"/>
      <c r="AI36" s="336"/>
      <c r="AJ36" s="336"/>
      <c r="AK36" s="288" t="s">
        <v>449</v>
      </c>
      <c r="AN36" s="378"/>
      <c r="AO36" s="378"/>
      <c r="AP36" s="378"/>
      <c r="AQ36" s="378"/>
      <c r="AR36" s="378"/>
      <c r="AS36" s="428">
        <v>0</v>
      </c>
    </row>
    <row customHeight="1" ht="14.699999999999998">
      <c r="Q37" s="386"/>
      <c r="R37" s="386"/>
      <c r="S37" s="1285"/>
      <c r="T37" s="373"/>
      <c r="U37" s="1254"/>
      <c r="V37" s="2262"/>
      <c r="W37" s="2262"/>
      <c r="X37" s="2262"/>
      <c r="Y37" s="2262"/>
      <c r="Z37" s="2262"/>
      <c r="AA37" s="2262"/>
      <c r="AB37" s="2262"/>
      <c r="AC37" s="2262"/>
      <c r="AD37" s="2262"/>
      <c r="AE37" s="2262"/>
      <c r="AF37" s="2262"/>
      <c r="AG37" s="2262"/>
      <c r="AH37" s="2262"/>
      <c r="AI37" s="2262"/>
      <c r="AJ37" s="2262"/>
      <c r="AK37" s="2262"/>
      <c r="AS37" s="1165">
        <v>14</v>
      </c>
    </row>
    <row customHeight="1" ht="14.699999999999998">
      <c r="Q38" s="386"/>
      <c r="R38" s="386"/>
      <c r="S38" s="2137" t="s">
        <v>322</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323</v>
      </c>
      <c r="AS38" s="1165">
        <v>14</v>
      </c>
    </row>
    <row customHeight="1" ht="14.699999999999998">
      <c r="Q39" s="386"/>
      <c r="R39" s="386"/>
      <c r="S39" s="2283" t="s">
        <v>88</v>
      </c>
      <c r="T39" s="2219" t="s">
        <v>450</v>
      </c>
      <c r="U39" s="311"/>
      <c r="V39" s="2284" t="s">
        <v>451</v>
      </c>
      <c r="W39" s="2285"/>
      <c r="X39" s="2285"/>
      <c r="Y39" s="2285"/>
      <c r="Z39" s="2285"/>
      <c r="AA39" s="2285"/>
      <c r="AB39" s="2286"/>
      <c r="AC39" s="2287" t="s">
        <v>452</v>
      </c>
      <c r="AD39" s="2284" t="s">
        <v>451</v>
      </c>
      <c r="AE39" s="2285"/>
      <c r="AF39" s="2285"/>
      <c r="AG39" s="2285"/>
      <c r="AH39" s="2285"/>
      <c r="AI39" s="2285"/>
      <c r="AJ39" s="2286"/>
      <c r="AK39" s="2287" t="s">
        <v>453</v>
      </c>
      <c r="AL39" s="2290" t="s">
        <v>454</v>
      </c>
      <c r="AM39" s="2137"/>
      <c r="AS39" s="1165">
        <v>14</v>
      </c>
    </row>
    <row customHeight="1" ht="35.699999999999996">
      <c r="Q40" s="386"/>
      <c r="R40" s="386"/>
      <c r="S40" s="2283"/>
      <c r="T40" s="2219"/>
      <c r="U40" s="1041"/>
      <c r="V40" s="2270" t="s">
        <v>455</v>
      </c>
      <c r="W40" s="2293"/>
      <c r="X40" s="2272" t="s">
        <v>457</v>
      </c>
      <c r="Y40" s="2273"/>
      <c r="Z40" s="2272" t="s">
        <v>458</v>
      </c>
      <c r="AA40" s="2279"/>
      <c r="AB40" s="2273"/>
      <c r="AC40" s="2288"/>
      <c r="AD40" s="2270" t="s">
        <v>472</v>
      </c>
      <c r="AE40" s="2293"/>
      <c r="AF40" s="2272" t="s">
        <v>457</v>
      </c>
      <c r="AG40" s="2273"/>
      <c r="AH40" s="2272" t="s">
        <v>458</v>
      </c>
      <c r="AI40" s="2279"/>
      <c r="AJ40" s="2273"/>
      <c r="AK40" s="2288"/>
      <c r="AL40" s="2291"/>
      <c r="AM40" s="2137"/>
      <c r="AS40" s="1165">
        <v>34</v>
      </c>
    </row>
    <row customHeight="1" ht="35.699999999999996">
      <c r="A41" s="1380"/>
      <c r="B41" s="1380" t="s">
        <v>159</v>
      </c>
      <c r="C41" s="1380" t="s">
        <v>160</v>
      </c>
      <c r="D41" s="1380" t="s">
        <v>161</v>
      </c>
      <c r="E41" s="1374" t="s">
        <v>459</v>
      </c>
      <c r="F41" s="1374" t="s">
        <v>460</v>
      </c>
      <c r="G41" s="1374" t="s">
        <v>461</v>
      </c>
      <c r="H41" s="1374" t="s">
        <v>462</v>
      </c>
      <c r="I41" s="1374" t="s">
        <v>463</v>
      </c>
      <c r="J41" s="1374" t="s">
        <v>464</v>
      </c>
      <c r="K41" s="1374" t="s">
        <v>465</v>
      </c>
      <c r="L41" s="1374" t="s">
        <v>440</v>
      </c>
      <c r="Q41" s="386"/>
      <c r="R41" s="386"/>
      <c r="S41" s="2283"/>
      <c r="T41" s="2219"/>
      <c r="U41" s="312"/>
      <c r="V41" s="2271"/>
      <c r="W41" s="2294"/>
      <c r="X41" s="1232" t="s">
        <v>466</v>
      </c>
      <c r="Y41" s="1232" t="s">
        <v>467</v>
      </c>
      <c r="Z41" s="1348" t="s">
        <v>468</v>
      </c>
      <c r="AA41" s="2280" t="s">
        <v>469</v>
      </c>
      <c r="AB41" s="2281"/>
      <c r="AC41" s="2289"/>
      <c r="AD41" s="2271"/>
      <c r="AE41" s="2294"/>
      <c r="AF41" s="1232" t="s">
        <v>466</v>
      </c>
      <c r="AG41" s="1232" t="s">
        <v>467</v>
      </c>
      <c r="AH41" s="1348" t="s">
        <v>468</v>
      </c>
      <c r="AI41" s="2280" t="s">
        <v>469</v>
      </c>
      <c r="AJ41" s="2281"/>
      <c r="AK41" s="2289"/>
      <c r="AL41" s="2292"/>
      <c r="AM41" s="2137"/>
      <c r="AS41" s="1165">
        <v>34</v>
      </c>
    </row>
    <row s="1651" customFormat="1" customHeight="1" ht="11.25" hidden="1">
      <c r="A42" s="1380"/>
      <c r="B42" s="1380"/>
      <c r="C42" s="1380"/>
      <c r="D42" s="1380"/>
      <c r="E42" s="1380"/>
      <c r="F42" s="1380"/>
      <c r="G42" s="1380"/>
      <c r="H42" s="1380"/>
      <c r="I42" s="1380"/>
      <c r="J42" s="1380"/>
      <c r="K42" s="1380"/>
      <c r="L42" s="1374"/>
      <c r="M42" s="1372"/>
      <c r="N42" s="1372"/>
      <c r="O42" s="1372"/>
      <c r="P42" s="1256"/>
      <c r="Q42" s="1257"/>
      <c r="R42" s="1264">
        <v>1</v>
      </c>
      <c r="S42" s="1287" t="s">
        <v>124</v>
      </c>
      <c r="T42" s="1265" t="s">
        <v>104</v>
      </c>
      <c r="U42" s="1255" t="str">
        <f>OFFSET(U42,0,-1)</f>
        <v>2</v>
      </c>
      <c r="V42" s="1345">
        <f>OFFSET(V42,0,-1)+1</f>
        <v>3</v>
      </c>
      <c r="W42" s="1345"/>
      <c r="X42" s="1345">
        <f>OFFSET(X42,0,-1)+1</f>
        <v>1</v>
      </c>
      <c r="Y42" s="1345">
        <f>OFFSET(Y42,0,-1)+1</f>
        <v>2</v>
      </c>
      <c r="Z42" s="1345">
        <f>OFFSET(Z42,0,-1)+1</f>
        <v>3</v>
      </c>
      <c r="AA42" s="2282">
        <f>OFFSET(AA42,0,-1)+1</f>
        <v>4</v>
      </c>
      <c r="AB42" s="2282"/>
      <c r="AC42" s="1345">
        <f>OFFSET(AC42,0,-2)+1</f>
        <v>5</v>
      </c>
      <c r="AD42" s="1345">
        <f>OFFSET(AD42,0,-1)+1</f>
        <v>6</v>
      </c>
      <c r="AE42" s="1345"/>
      <c r="AF42" s="1345">
        <f>OFFSET(AF42,0,-1)+1</f>
        <v>1</v>
      </c>
      <c r="AG42" s="1345">
        <f>OFFSET(AG42,0,-1)+1</f>
        <v>2</v>
      </c>
      <c r="AH42" s="1345">
        <f>OFFSET(AH42,0,-1)+1</f>
        <v>3</v>
      </c>
      <c r="AI42" s="2282">
        <f>OFFSET(AI42,0,-1)+1</f>
        <v>4</v>
      </c>
      <c r="AJ42" s="2282"/>
      <c r="AK42" s="1345">
        <f>OFFSET(AK42,0,-2)+1</f>
        <v>5</v>
      </c>
      <c r="AL42" s="1255">
        <f>OFFSET(AL42,0,-1)</f>
        <v>5</v>
      </c>
      <c r="AM42" s="1345">
        <f>OFFSET(AM42,0,-1)+1</f>
        <v>6</v>
      </c>
      <c r="AN42" s="521"/>
      <c r="AO42" s="521"/>
      <c r="AP42" s="521"/>
      <c r="AQ42" s="521"/>
      <c r="AR42" s="521"/>
      <c r="AS42" s="506">
        <v>0</v>
      </c>
    </row>
    <row customHeight="1" ht="22.049999999999997">
      <c r="A43" s="1373" t="s">
        <v>210</v>
      </c>
      <c r="B43" s="1373"/>
      <c r="C43" s="1373"/>
      <c r="D43" s="1373"/>
      <c r="E43" s="2268">
        <v>1</v>
      </c>
      <c r="F43" s="1373"/>
      <c r="G43" s="1373"/>
      <c r="H43" s="1373"/>
      <c r="I43" s="1373"/>
      <c r="J43" s="1373"/>
      <c r="K43" s="1373"/>
      <c r="L43" s="1374"/>
      <c r="M43" s="1375"/>
      <c r="N43" s="1375"/>
      <c r="O43" s="1375"/>
      <c r="P43" s="371"/>
      <c r="Q43" s="370"/>
      <c r="R43" s="365"/>
      <c r="S43" s="1346">
        <f>INDEX(PT_DIFFERENTIATION_NUM_NTAR,MATCH(A43,PT_DIFFERENTIATION_NTAR_ID,0))</f>
        <v>0</v>
      </c>
      <c r="T43" s="308" t="s">
        <v>147</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0"/>
      <c r="AP43" s="510" t="str">
        <f>IF(T43="","",T43)</f>
        <v>Наименование тарифа</v>
      </c>
      <c r="AQ43" s="510"/>
      <c r="AR43" s="510"/>
      <c r="AS43" s="1165">
        <v>21</v>
      </c>
    </row>
    <row customHeight="1" ht="22.049999999999997">
      <c r="A44" s="1373" t="s">
        <v>210</v>
      </c>
      <c r="B44" s="1373" t="s">
        <v>211</v>
      </c>
      <c r="C44" s="1373"/>
      <c r="D44" s="1373"/>
      <c r="E44" s="2269"/>
      <c r="F44" s="2268">
        <v>1</v>
      </c>
      <c r="G44" s="1373"/>
      <c r="H44" s="1373"/>
      <c r="I44" s="1373"/>
      <c r="J44" s="1373"/>
      <c r="K44" s="1373"/>
      <c r="L44" s="1374"/>
      <c r="M44" s="1375"/>
      <c r="N44" s="1375"/>
      <c r="O44" s="1375"/>
      <c r="P44" s="1342"/>
      <c r="Q44" s="362"/>
      <c r="R44" s="363"/>
      <c r="S44" s="1346" t="str">
        <f>INDEX(PT_DIFFERENTIATION_NUM_TER,MATCH(B44,PT_DIFFERENTIATION_TER_ID,0))</f>
        <v>.</v>
      </c>
      <c r="T44" s="318" t="s">
        <v>419</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420</v>
      </c>
      <c r="AO44" s="510"/>
      <c r="AP44" s="510" t="str">
        <f>IF(T44="","",T44)</f>
        <v>Территория действия тарифа</v>
      </c>
      <c r="AQ44" s="510"/>
      <c r="AR44" s="510"/>
      <c r="AS44" s="1165">
        <v>21</v>
      </c>
    </row>
    <row customHeight="1" ht="24">
      <c r="A45" s="1373" t="s">
        <v>210</v>
      </c>
      <c r="B45" s="1373" t="s">
        <v>211</v>
      </c>
      <c r="C45" s="1373" t="s">
        <v>212</v>
      </c>
      <c r="D45" s="1373"/>
      <c r="E45" s="2269"/>
      <c r="F45" s="2269"/>
      <c r="G45" s="2268">
        <v>1</v>
      </c>
      <c r="H45" s="1373"/>
      <c r="I45" s="1373"/>
      <c r="J45" s="1373"/>
      <c r="K45" s="1373"/>
      <c r="L45" s="1374"/>
      <c r="M45" s="1375"/>
      <c r="N45" s="1375"/>
      <c r="O45" s="1375"/>
      <c r="P45" s="364"/>
      <c r="Q45" s="362"/>
      <c r="R45" s="363"/>
      <c r="S45" s="1346" t="str">
        <f>INDEX(PT_DIFFERENTIATION_NUM_CS,MATCH(C45,PT_DIFFERENTIATION_CS_ID,0))</f>
        <v>..</v>
      </c>
      <c r="T45" s="319" t="s">
        <v>421</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422</v>
      </c>
      <c r="AO45" s="510"/>
      <c r="AP45" s="510" t="str">
        <f>IF(T45="","",T45)</f>
        <v>Наименование системы теплоснабжения </v>
      </c>
      <c r="AQ45" s="510"/>
      <c r="AR45" s="510"/>
      <c r="AS45" s="1165">
        <v>23</v>
      </c>
    </row>
    <row customHeight="1" ht="22.049999999999997">
      <c r="A46" s="1373" t="s">
        <v>210</v>
      </c>
      <c r="B46" s="1373" t="s">
        <v>211</v>
      </c>
      <c r="C46" s="1373" t="s">
        <v>212</v>
      </c>
      <c r="D46" s="1373" t="s">
        <v>213</v>
      </c>
      <c r="E46" s="2269"/>
      <c r="F46" s="2269"/>
      <c r="G46" s="2269"/>
      <c r="H46" s="2268">
        <v>1</v>
      </c>
      <c r="I46" s="1373"/>
      <c r="J46" s="1373"/>
      <c r="K46" s="1373"/>
      <c r="L46" s="1374"/>
      <c r="M46" s="1375"/>
      <c r="N46" s="1375"/>
      <c r="O46" s="1375"/>
      <c r="P46" s="364"/>
      <c r="Q46" s="362"/>
      <c r="R46" s="363"/>
      <c r="S46" s="1346" t="str">
        <f>INDEX(PT_DIFFERENTIATION_NUM_IST_TE,MATCH(D46,PT_DIFFERENTIATION_IST_TE_ID,0))</f>
        <v>...</v>
      </c>
      <c r="T46" s="320" t="s">
        <v>423</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424</v>
      </c>
      <c r="AO46" s="510"/>
      <c r="AP46" s="510" t="str">
        <f>IF(T46="","",T46)</f>
        <v>Источник тепловой энергии  </v>
      </c>
      <c r="AQ46" s="510"/>
      <c r="AR46" s="510"/>
      <c r="AS46" s="1165">
        <v>21</v>
      </c>
    </row>
    <row s="1652" customFormat="1" customHeight="1" ht="0">
      <c r="A47" s="1353" t="s">
        <v>210</v>
      </c>
      <c r="B47" s="1353" t="s">
        <v>211</v>
      </c>
      <c r="C47" s="1353" t="s">
        <v>212</v>
      </c>
      <c r="D47" s="1353" t="s">
        <v>213</v>
      </c>
      <c r="E47" s="2269"/>
      <c r="F47" s="2269"/>
      <c r="G47" s="2269"/>
      <c r="H47" s="2269"/>
      <c r="I47" s="2266" t="str">
        <f>S46&amp;".1"</f>
        <v>....1</v>
      </c>
      <c r="J47" s="1353"/>
      <c r="K47" s="1353"/>
      <c r="L47" s="1356" t="s">
        <v>425</v>
      </c>
      <c r="M47" s="520"/>
      <c r="N47" s="520"/>
      <c r="O47" s="520"/>
      <c r="P47" s="2267">
        <v>1</v>
      </c>
      <c r="Q47" s="1341"/>
      <c r="R47" s="366"/>
      <c r="S47" s="1052"/>
      <c r="T47" s="1393"/>
      <c r="U47" s="1394"/>
      <c r="V47" s="2306"/>
      <c r="W47" s="2307"/>
      <c r="X47" s="2307"/>
      <c r="Y47" s="2307"/>
      <c r="Z47" s="2307"/>
      <c r="AA47" s="2307"/>
      <c r="AB47" s="2307"/>
      <c r="AC47" s="2308"/>
      <c r="AD47" s="2306"/>
      <c r="AE47" s="2307"/>
      <c r="AF47" s="2307"/>
      <c r="AG47" s="2307"/>
      <c r="AH47" s="2307"/>
      <c r="AI47" s="2307"/>
      <c r="AJ47" s="2307"/>
      <c r="AK47" s="2307"/>
      <c r="AL47" s="2308"/>
      <c r="AM47" s="1395"/>
      <c r="AO47" s="510"/>
      <c r="AP47" s="510" t="str">
        <f>IF(T47="","",T47)</f>
        <v/>
      </c>
      <c r="AQ47" s="510"/>
      <c r="AR47" s="510"/>
      <c r="AS47" s="521">
        <v>0</v>
      </c>
    </row>
    <row customHeight="1" ht="22.049999999999997">
      <c r="A48" s="1373" t="s">
        <v>210</v>
      </c>
      <c r="B48" s="1373" t="s">
        <v>211</v>
      </c>
      <c r="C48" s="1373" t="s">
        <v>212</v>
      </c>
      <c r="D48" s="1373" t="s">
        <v>213</v>
      </c>
      <c r="E48" s="2269"/>
      <c r="F48" s="2269"/>
      <c r="G48" s="2269"/>
      <c r="H48" s="2269"/>
      <c r="I48" s="2296"/>
      <c r="J48" s="2266" t="str">
        <f>S46&amp;".1"</f>
        <v>....1</v>
      </c>
      <c r="K48" s="1373"/>
      <c r="L48" s="1374" t="s">
        <v>428</v>
      </c>
      <c r="P48" s="2267"/>
      <c r="Q48" s="2267">
        <v>1</v>
      </c>
      <c r="R48" s="367"/>
      <c r="S48" s="1346" t="str">
        <f>$J48</f>
        <v>....1</v>
      </c>
      <c r="T48" s="296" t="s">
        <v>429</v>
      </c>
      <c r="U48" s="310"/>
      <c r="V48" s="2255"/>
      <c r="W48" s="2256"/>
      <c r="X48" s="2256"/>
      <c r="Y48" s="2256"/>
      <c r="Z48" s="2256"/>
      <c r="AA48" s="2256"/>
      <c r="AB48" s="2256"/>
      <c r="AC48" s="2257"/>
      <c r="AD48" s="2255"/>
      <c r="AE48" s="2256"/>
      <c r="AF48" s="2256"/>
      <c r="AG48" s="2256"/>
      <c r="AH48" s="2256"/>
      <c r="AI48" s="2256"/>
      <c r="AJ48" s="2256"/>
      <c r="AK48" s="2256"/>
      <c r="AL48" s="2257"/>
      <c r="AM48" s="1268" t="s">
        <v>430</v>
      </c>
      <c r="AO48" s="510"/>
      <c r="AP48" s="510" t="str">
        <f>IF(T48="","",T48)</f>
        <v>Группа потребителей</v>
      </c>
      <c r="AQ48" s="510"/>
      <c r="AR48" s="510"/>
      <c r="AS48" s="1165">
        <v>21</v>
      </c>
    </row>
    <row customHeight="1" ht="22.049999999999997">
      <c r="A49" s="1373" t="s">
        <v>210</v>
      </c>
      <c r="B49" s="1373" t="s">
        <v>211</v>
      </c>
      <c r="C49" s="1373" t="s">
        <v>212</v>
      </c>
      <c r="D49" s="1373" t="s">
        <v>213</v>
      </c>
      <c r="E49" s="2269"/>
      <c r="F49" s="2269"/>
      <c r="G49" s="2269"/>
      <c r="H49" s="2269"/>
      <c r="I49" s="2296"/>
      <c r="J49" s="2296"/>
      <c r="K49" s="2266" t="str">
        <f>J48&amp;".1"</f>
        <v>....1.1</v>
      </c>
      <c r="L49" s="1374" t="s">
        <v>431</v>
      </c>
      <c r="P49" s="2267"/>
      <c r="Q49" s="2267"/>
      <c r="R49" s="367">
        <v>1</v>
      </c>
      <c r="S49" s="1346" t="str">
        <f>$K49</f>
        <v>....1.1</v>
      </c>
      <c r="T49" s="1357"/>
      <c r="U49" s="310"/>
      <c r="V49" s="761"/>
      <c r="W49" s="335"/>
      <c r="X49" s="761"/>
      <c r="Y49" s="1267"/>
      <c r="Z49" s="2275"/>
      <c r="AA49" s="2117" t="s">
        <v>66</v>
      </c>
      <c r="AB49" s="2275"/>
      <c r="AC49" s="2117" t="s">
        <v>66</v>
      </c>
      <c r="AD49" s="761"/>
      <c r="AE49" s="335"/>
      <c r="AF49" s="761"/>
      <c r="AG49" s="1267"/>
      <c r="AH49" s="2275"/>
      <c r="AI49" s="2117" t="s">
        <v>66</v>
      </c>
      <c r="AJ49" s="2297"/>
      <c r="AK49" s="2117" t="s">
        <v>66</v>
      </c>
      <c r="AL49" s="1358"/>
      <c r="AM49" s="2263" t="s">
        <v>473</v>
      </c>
      <c r="AN49" s="521">
        <f>STRCHECKDATE(V50:AL50)</f>
      </c>
      <c r="AO49" s="510"/>
      <c r="AP49" s="510" t="str">
        <f>IF(T49="","",T49)</f>
        <v/>
      </c>
      <c r="AQ49" s="510"/>
      <c r="AR49" s="510"/>
      <c r="AS49" s="1165">
        <v>21</v>
      </c>
    </row>
    <row customHeight="1" ht="0">
      <c r="A50" s="1373" t="s">
        <v>210</v>
      </c>
      <c r="B50" s="1373" t="s">
        <v>211</v>
      </c>
      <c r="C50" s="1373" t="s">
        <v>212</v>
      </c>
      <c r="D50" s="1373" t="s">
        <v>213</v>
      </c>
      <c r="E50" s="2269"/>
      <c r="F50" s="2269"/>
      <c r="G50" s="2269"/>
      <c r="H50" s="2269"/>
      <c r="I50" s="2296"/>
      <c r="J50" s="2296"/>
      <c r="K50" s="2266"/>
      <c r="L50" s="1374"/>
      <c r="P50" s="2267"/>
      <c r="Q50" s="2267"/>
      <c r="R50" s="367"/>
      <c r="S50" s="1352"/>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510"/>
      <c r="AP50" s="510" t="str">
        <f>IF(T50="","",T50)</f>
        <v/>
      </c>
      <c r="AQ50" s="510"/>
      <c r="AR50" s="510"/>
      <c r="AS50" s="1165">
        <v>0</v>
      </c>
    </row>
    <row customHeight="1" ht="11.549999999999999">
      <c r="A51" s="1373" t="s">
        <v>210</v>
      </c>
      <c r="B51" s="1373" t="s">
        <v>211</v>
      </c>
      <c r="C51" s="1373" t="s">
        <v>212</v>
      </c>
      <c r="D51" s="1373" t="s">
        <v>213</v>
      </c>
      <c r="E51" s="2269"/>
      <c r="F51" s="2269"/>
      <c r="G51" s="2269"/>
      <c r="H51" s="2269"/>
      <c r="I51" s="2296"/>
      <c r="J51" s="2266"/>
      <c r="K51" s="1373"/>
      <c r="L51" s="1374"/>
      <c r="P51" s="2267"/>
      <c r="Q51" s="2267"/>
      <c r="R51" s="366"/>
      <c r="S51" s="1288"/>
      <c r="T51" s="297" t="s">
        <v>433</v>
      </c>
      <c r="U51" s="377"/>
      <c r="V51" s="377"/>
      <c r="W51" s="377"/>
      <c r="X51" s="377"/>
      <c r="Y51" s="377"/>
      <c r="Z51" s="377"/>
      <c r="AA51" s="377"/>
      <c r="AB51" s="377"/>
      <c r="AC51" s="377"/>
      <c r="AD51" s="377"/>
      <c r="AE51" s="377"/>
      <c r="AF51" s="377"/>
      <c r="AG51" s="377"/>
      <c r="AH51" s="377"/>
      <c r="AI51" s="377"/>
      <c r="AJ51" s="377"/>
      <c r="AK51" s="377"/>
      <c r="AL51" s="334"/>
      <c r="AM51" s="2265"/>
      <c r="AO51" s="510"/>
      <c r="AP51" s="510" t="str">
        <f>IF(T51="","",T51)</f>
        <v>Добавить вид теплоносителя (параметры теплоносителя)</v>
      </c>
      <c r="AQ51" s="510"/>
      <c r="AR51" s="510"/>
      <c r="AS51" s="1165">
        <v>11</v>
      </c>
    </row>
    <row customHeight="1" ht="11.549999999999999">
      <c r="A52" s="1373" t="s">
        <v>210</v>
      </c>
      <c r="B52" s="1373" t="s">
        <v>211</v>
      </c>
      <c r="C52" s="1373" t="s">
        <v>212</v>
      </c>
      <c r="D52" s="1373" t="s">
        <v>213</v>
      </c>
      <c r="E52" s="2269"/>
      <c r="F52" s="2269"/>
      <c r="G52" s="2269"/>
      <c r="H52" s="2269"/>
      <c r="I52" s="2266"/>
      <c r="J52" s="1373"/>
      <c r="K52" s="1373"/>
      <c r="L52" s="1374"/>
      <c r="P52" s="2267"/>
      <c r="Q52" s="1341"/>
      <c r="R52" s="366"/>
      <c r="S52" s="1288"/>
      <c r="T52" s="375" t="s">
        <v>434</v>
      </c>
      <c r="U52" s="377"/>
      <c r="V52" s="377"/>
      <c r="W52" s="377"/>
      <c r="X52" s="377"/>
      <c r="Y52" s="377"/>
      <c r="Z52" s="377"/>
      <c r="AA52" s="377"/>
      <c r="AB52" s="377"/>
      <c r="AC52" s="376"/>
      <c r="AD52" s="377"/>
      <c r="AE52" s="377"/>
      <c r="AF52" s="377"/>
      <c r="AG52" s="377"/>
      <c r="AH52" s="377"/>
      <c r="AI52" s="377"/>
      <c r="AJ52" s="377"/>
      <c r="AK52" s="376"/>
      <c r="AL52" s="377"/>
      <c r="AM52" s="313"/>
      <c r="AO52" s="510"/>
      <c r="AP52" s="510" t="str">
        <f>IF(T52="","",T52)</f>
        <v>Добавить группу потребителей</v>
      </c>
      <c r="AQ52" s="510"/>
      <c r="AR52" s="510"/>
      <c r="AS52" s="1165">
        <v>11</v>
      </c>
    </row>
    <row customHeight="1" ht="0">
      <c r="A53" s="1373" t="s">
        <v>210</v>
      </c>
      <c r="B53" s="1373" t="s">
        <v>211</v>
      </c>
      <c r="C53" s="1373" t="s">
        <v>212</v>
      </c>
      <c r="D53" s="1373" t="s">
        <v>213</v>
      </c>
      <c r="E53" s="2269"/>
      <c r="F53" s="2269"/>
      <c r="G53" s="2269"/>
      <c r="H53" s="2268"/>
      <c r="I53" s="1373"/>
      <c r="J53" s="1373"/>
      <c r="K53" s="1373"/>
      <c r="L53" s="1374"/>
      <c r="M53" s="1375"/>
      <c r="N53" s="1375"/>
      <c r="O53" s="547"/>
      <c r="P53" s="370"/>
      <c r="Q53" s="385"/>
      <c r="R53" s="365"/>
      <c r="S53" s="1396"/>
      <c r="T53" s="1397"/>
      <c r="U53" s="1398"/>
      <c r="V53" s="1398"/>
      <c r="W53" s="1398"/>
      <c r="X53" s="1398"/>
      <c r="Y53" s="1398"/>
      <c r="Z53" s="1398"/>
      <c r="AA53" s="1398"/>
      <c r="AB53" s="1398"/>
      <c r="AC53" s="1398"/>
      <c r="AD53" s="1398"/>
      <c r="AE53" s="1398"/>
      <c r="AF53" s="1398"/>
      <c r="AG53" s="1398"/>
      <c r="AH53" s="1398"/>
      <c r="AI53" s="1398"/>
      <c r="AJ53" s="1398"/>
      <c r="AK53" s="1398"/>
      <c r="AL53" s="1398"/>
      <c r="AM53" s="1399"/>
      <c r="AO53" s="510"/>
      <c r="AP53" s="510" t="str">
        <f>IF(T53="","",T53)</f>
        <v/>
      </c>
      <c r="AQ53" s="510"/>
      <c r="AR53" s="510"/>
      <c r="AS53" s="1165">
        <v>0</v>
      </c>
    </row>
    <row s="1652" customFormat="1" customHeight="1" ht="0">
      <c r="A54" s="1353" t="s">
        <v>210</v>
      </c>
      <c r="B54" s="1353" t="s">
        <v>211</v>
      </c>
      <c r="C54" s="1353" t="s">
        <v>212</v>
      </c>
      <c r="D54" s="1324"/>
      <c r="E54" s="2269"/>
      <c r="F54" s="2269"/>
      <c r="G54" s="2268"/>
      <c r="H54" s="1324"/>
      <c r="I54" s="1324"/>
      <c r="J54" s="1324"/>
      <c r="K54" s="1324"/>
      <c r="L54" s="1349"/>
      <c r="M54" s="1325"/>
      <c r="N54" s="1325"/>
      <c r="P54" s="1326"/>
      <c r="Q54" s="1327"/>
      <c r="R54" s="1326"/>
      <c r="S54" s="1332"/>
      <c r="T54" s="1335" t="s">
        <v>436</v>
      </c>
      <c r="U54" s="1334"/>
      <c r="V54" s="1334"/>
      <c r="W54" s="1334"/>
      <c r="X54" s="1334"/>
      <c r="Y54" s="1334"/>
      <c r="Z54" s="1334"/>
      <c r="AA54" s="1334"/>
      <c r="AB54" s="1334"/>
      <c r="AC54" s="1334"/>
      <c r="AD54" s="1334"/>
      <c r="AE54" s="1334"/>
      <c r="AF54" s="1334"/>
      <c r="AG54" s="1334"/>
      <c r="AH54" s="1334"/>
      <c r="AI54" s="1334"/>
      <c r="AJ54" s="1334"/>
      <c r="AK54" s="1334"/>
      <c r="AL54" s="1334"/>
      <c r="AM54" s="1334"/>
      <c r="AO54" s="799"/>
      <c r="AP54" s="799" t="str">
        <f>IF(T54="","",T54)</f>
        <v>Добавить источник для дифференциации</v>
      </c>
      <c r="AQ54" s="799"/>
      <c r="AR54" s="799"/>
      <c r="AS54" s="528">
        <v>0</v>
      </c>
    </row>
    <row s="1652" customFormat="1" customHeight="1" ht="0">
      <c r="A55" s="1353" t="s">
        <v>210</v>
      </c>
      <c r="B55" s="1353" t="s">
        <v>211</v>
      </c>
      <c r="C55" s="1324"/>
      <c r="D55" s="1324"/>
      <c r="E55" s="2269"/>
      <c r="F55" s="2268"/>
      <c r="G55" s="1324"/>
      <c r="H55" s="1324"/>
      <c r="I55" s="1324"/>
      <c r="J55" s="1324"/>
      <c r="K55" s="1324"/>
      <c r="L55" s="1349"/>
      <c r="M55" s="1331"/>
      <c r="N55" s="1331"/>
      <c r="P55" s="1326"/>
      <c r="Q55" s="1327"/>
      <c r="R55" s="1326"/>
      <c r="S55" s="1332"/>
      <c r="T55" s="1335" t="s">
        <v>437</v>
      </c>
      <c r="U55" s="1334"/>
      <c r="V55" s="1334"/>
      <c r="W55" s="1334"/>
      <c r="X55" s="1334"/>
      <c r="Y55" s="1334"/>
      <c r="Z55" s="1334"/>
      <c r="AA55" s="1334"/>
      <c r="AB55" s="1334"/>
      <c r="AC55" s="1334"/>
      <c r="AD55" s="1334"/>
      <c r="AE55" s="1334"/>
      <c r="AF55" s="1334"/>
      <c r="AG55" s="1334"/>
      <c r="AH55" s="1334"/>
      <c r="AI55" s="1334"/>
      <c r="AJ55" s="1334"/>
      <c r="AK55" s="1334"/>
      <c r="AL55" s="1334"/>
      <c r="AM55" s="1334"/>
      <c r="AO55" s="799"/>
      <c r="AP55" s="799" t="str">
        <f>IF(T55="","",T55)</f>
        <v>Добавить централизованную систему для дифференциации</v>
      </c>
      <c r="AQ55" s="799"/>
      <c r="AR55" s="799"/>
      <c r="AS55" s="528">
        <v>0</v>
      </c>
    </row>
    <row s="1652" customFormat="1" customHeight="1" ht="0">
      <c r="A56" s="1353" t="s">
        <v>210</v>
      </c>
      <c r="B56" s="1353"/>
      <c r="C56" s="1353"/>
      <c r="D56" s="1353"/>
      <c r="E56" s="2268"/>
      <c r="F56" s="1353"/>
      <c r="G56" s="1353"/>
      <c r="H56" s="1353"/>
      <c r="I56" s="1353"/>
      <c r="J56" s="1353"/>
      <c r="K56" s="1353"/>
      <c r="L56" s="1356"/>
      <c r="M56" s="1331"/>
      <c r="N56" s="1331"/>
      <c r="O56" s="528"/>
      <c r="P56" s="390"/>
      <c r="Q56" s="1354"/>
      <c r="R56" s="390"/>
      <c r="S56" s="1332"/>
      <c r="T56" s="1335" t="s">
        <v>438</v>
      </c>
      <c r="U56" s="1334"/>
      <c r="V56" s="1334"/>
      <c r="W56" s="1334"/>
      <c r="X56" s="1334"/>
      <c r="Y56" s="1334"/>
      <c r="Z56" s="1334"/>
      <c r="AA56" s="1334"/>
      <c r="AB56" s="1334"/>
      <c r="AC56" s="1334"/>
      <c r="AD56" s="1334"/>
      <c r="AE56" s="1334"/>
      <c r="AF56" s="1334"/>
      <c r="AG56" s="1334"/>
      <c r="AH56" s="1334"/>
      <c r="AI56" s="1334"/>
      <c r="AJ56" s="1334"/>
      <c r="AK56" s="1334"/>
      <c r="AL56" s="1334"/>
      <c r="AM56" s="1334"/>
      <c r="AO56" s="510"/>
      <c r="AP56" s="510" t="str">
        <f>IF(T56="","",T56)</f>
        <v>Добавить территорию для дифференциации</v>
      </c>
      <c r="AQ56" s="510"/>
      <c r="AR56" s="510"/>
      <c r="AS56" s="521">
        <v>0</v>
      </c>
    </row>
    <row s="1652" customFormat="1" customHeight="1" ht="4.2">
      <c r="A57" s="1324"/>
      <c r="B57" s="1324"/>
      <c r="C57" s="1324"/>
      <c r="D57" s="1324"/>
      <c r="E57" s="1353"/>
      <c r="F57" s="1324"/>
      <c r="G57" s="1324"/>
      <c r="H57" s="1324"/>
      <c r="I57" s="1324"/>
      <c r="J57" s="1324"/>
      <c r="K57" s="1324"/>
      <c r="L57" s="1349"/>
      <c r="M57" s="1331"/>
      <c r="N57" s="1331"/>
      <c r="P57" s="1326"/>
      <c r="Q57" s="1327"/>
      <c r="R57" s="1326"/>
      <c r="S57" s="1332"/>
      <c r="T57" s="1335" t="s">
        <v>470</v>
      </c>
      <c r="U57" s="1334"/>
      <c r="V57" s="1334"/>
      <c r="W57" s="1334"/>
      <c r="X57" s="1334"/>
      <c r="Y57" s="1334"/>
      <c r="Z57" s="1334"/>
      <c r="AA57" s="1334"/>
      <c r="AB57" s="1334"/>
      <c r="AC57" s="1334"/>
      <c r="AD57" s="1334"/>
      <c r="AE57" s="1334"/>
      <c r="AF57" s="1334"/>
      <c r="AG57" s="1334"/>
      <c r="AH57" s="1334"/>
      <c r="AI57" s="1334"/>
      <c r="AJ57" s="1334"/>
      <c r="AK57" s="1334"/>
      <c r="AL57" s="1334"/>
      <c r="AM57" s="1334"/>
      <c r="AO57" s="799"/>
      <c r="AP57" s="799" t="str">
        <f>IF(T57="","",T57)</f>
        <v>Добавить наименование тарифа</v>
      </c>
      <c r="AQ57" s="799"/>
      <c r="AR57" s="799"/>
      <c r="AS57" s="528">
        <v>4</v>
      </c>
    </row>
    <row customHeight="1" ht="11.549999999999999">
      <c r="M58" s="1170"/>
      <c r="N58" s="1170"/>
      <c r="O58" s="547"/>
      <c r="P58" s="1165"/>
      <c r="Q58" s="1165"/>
      <c r="R58" s="1165"/>
      <c r="S58" s="1165"/>
      <c r="AN58" s="1165"/>
      <c r="AO58" s="1165"/>
      <c r="AP58" s="1165"/>
      <c r="AQ58" s="1165"/>
      <c r="AR58" s="1165"/>
      <c r="AS58" s="1165">
        <v>11</v>
      </c>
    </row>
    <row customHeight="1" ht="14.699999999999998">
      <c r="O59" s="547"/>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165">
        <v>14</v>
      </c>
    </row>
    <row customHeight="1" ht="14.699999999999998">
      <c r="O60" s="547"/>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165">
        <v>14</v>
      </c>
    </row>
    <row customHeight="1" ht="14.699999999999998">
      <c r="O61" s="547"/>
      <c r="T61" s="2295"/>
      <c r="U61" s="2295"/>
      <c r="V61" s="2295"/>
      <c r="W61" s="2295"/>
      <c r="X61" s="2295"/>
      <c r="Y61" s="2295"/>
      <c r="Z61" s="2295"/>
      <c r="AA61" s="2295"/>
      <c r="AB61" s="2295"/>
      <c r="AC61" s="2295"/>
      <c r="AD61" s="2295"/>
      <c r="AE61" s="2295"/>
      <c r="AF61" s="2295"/>
      <c r="AG61" s="2295"/>
      <c r="AH61" s="2295"/>
      <c r="AI61" s="2295"/>
      <c r="AJ61" s="2295"/>
      <c r="AK61" s="2295"/>
      <c r="AL61" s="2295"/>
      <c r="AM61" s="2295"/>
      <c r="AS61" s="1165">
        <v>14</v>
      </c>
    </row>
    <row customHeight="1" ht="14.699999999999998">
      <c r="O62" s="547"/>
      <c r="AS62" s="1165">
        <v>14</v>
      </c>
    </row>
    <row customHeight="1" ht="14.699999999999998">
      <c r="O63" s="547"/>
      <c r="S63" s="1263"/>
      <c r="T63" s="2309"/>
      <c r="U63" s="2295"/>
      <c r="V63" s="2295"/>
      <c r="W63" s="2295"/>
      <c r="X63" s="2295"/>
      <c r="Y63" s="2295"/>
      <c r="Z63" s="2295"/>
      <c r="AA63" s="2295"/>
      <c r="AB63" s="2295"/>
      <c r="AC63" s="2295"/>
      <c r="AD63" s="2295"/>
      <c r="AE63" s="2295"/>
      <c r="AF63" s="2295"/>
      <c r="AG63" s="2295"/>
      <c r="AH63" s="2295"/>
      <c r="AI63" s="2295"/>
      <c r="AJ63" s="2295"/>
      <c r="AK63" s="2295"/>
      <c r="AL63" s="2295"/>
      <c r="AM63" s="2295"/>
      <c r="AS63" s="1165">
        <v>14</v>
      </c>
    </row>
    <row customHeight="1" ht="14.699999999999998">
      <c r="O64" s="547"/>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165">
        <v>14</v>
      </c>
    </row>
    <row customHeight="1" ht="14.699999999999998">
      <c r="T65" s="2295"/>
      <c r="U65" s="2295"/>
      <c r="V65" s="2295"/>
      <c r="W65" s="2295"/>
      <c r="X65" s="2295"/>
      <c r="Y65" s="2295"/>
      <c r="Z65" s="2295"/>
      <c r="AA65" s="2295"/>
      <c r="AB65" s="2295"/>
      <c r="AC65" s="2295"/>
      <c r="AD65" s="2295"/>
      <c r="AE65" s="2295"/>
      <c r="AF65" s="2295"/>
      <c r="AG65" s="2295"/>
      <c r="AH65" s="2295"/>
      <c r="AI65" s="2295"/>
      <c r="AJ65" s="2295"/>
      <c r="AK65" s="2295"/>
      <c r="AL65" s="2295"/>
      <c r="AM65" s="2295"/>
      <c r="AS65" s="1165">
        <v>14</v>
      </c>
    </row>
    <row customHeight="1" ht="22.5" hidden="1">
      <c r="A66" s="1170" t="s">
        <v>82</v>
      </c>
      <c r="B66" s="1170">
        <v>0</v>
      </c>
      <c r="C66" s="1170">
        <v>0</v>
      </c>
      <c r="D66" s="1170">
        <v>0</v>
      </c>
      <c r="E66" s="1170">
        <v>0</v>
      </c>
      <c r="F66" s="1170">
        <v>0</v>
      </c>
      <c r="G66" s="1170">
        <v>0</v>
      </c>
      <c r="H66" s="1170">
        <v>0</v>
      </c>
      <c r="I66" s="1170">
        <v>0</v>
      </c>
      <c r="J66" s="1170">
        <v>0</v>
      </c>
      <c r="K66" s="1170">
        <v>0</v>
      </c>
      <c r="L66" s="1339">
        <v>0</v>
      </c>
      <c r="M66" s="1372">
        <v>0</v>
      </c>
      <c r="N66" s="1372">
        <v>0</v>
      </c>
      <c r="O66" s="1372">
        <v>0</v>
      </c>
      <c r="P66" s="1338">
        <v>0</v>
      </c>
      <c r="Q66" s="354">
        <v>3</v>
      </c>
      <c r="R66" s="354">
        <v>3</v>
      </c>
      <c r="S66" s="591">
        <v>12</v>
      </c>
      <c r="T66" s="1165">
        <v>31</v>
      </c>
      <c r="U66" s="1165">
        <v>0</v>
      </c>
      <c r="V66" s="1165">
        <v>0</v>
      </c>
      <c r="W66" s="1165">
        <v>0</v>
      </c>
      <c r="X66" s="1165">
        <v>0</v>
      </c>
      <c r="Y66" s="1165">
        <v>0</v>
      </c>
      <c r="Z66" s="1165">
        <v>0</v>
      </c>
      <c r="AA66" s="1165">
        <v>0</v>
      </c>
      <c r="AB66" s="1165">
        <v>0</v>
      </c>
      <c r="AC66" s="1165">
        <v>0</v>
      </c>
      <c r="AD66" s="1165">
        <v>24</v>
      </c>
      <c r="AE66" s="1165">
        <v>0</v>
      </c>
      <c r="AF66" s="1165">
        <v>24</v>
      </c>
      <c r="AG66" s="1165">
        <v>24</v>
      </c>
      <c r="AH66" s="1165">
        <v>11</v>
      </c>
      <c r="AI66" s="1165">
        <v>3</v>
      </c>
      <c r="AJ66" s="1165">
        <v>11</v>
      </c>
      <c r="AK66" s="1165">
        <v>0</v>
      </c>
      <c r="AL66" s="1165">
        <v>4</v>
      </c>
      <c r="AM66" s="1165">
        <v>115</v>
      </c>
      <c r="AN66" s="521">
        <v>10</v>
      </c>
      <c r="AO66" s="521">
        <v>10</v>
      </c>
      <c r="AP66" s="521">
        <v>10</v>
      </c>
      <c r="AQ66" s="521">
        <v>10</v>
      </c>
      <c r="AR66" s="521">
        <v>10</v>
      </c>
      <c r="AS66" s="1165">
        <v>23</v>
      </c>
    </row>
  </sheetData>
  <sheetProtection sheet="1" formatColumns="0" formatRows="0" autoFilter="0" sort="1" insertRows="1" insertColumns="1" deleteRows="1" deleteColumns="1"/>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A526BD-EE88-E727-9712-0.833AD0BF}"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45" width="10.57421875" hidden="1"/>
    <col min="2" max="2" style="1645" width="11.00390625" hidden="1" customWidth="1"/>
    <col min="3" max="3" style="1645" width="10.57421875" hidden="1"/>
    <col min="4" max="4" style="1645" width="11.8515625" hidden="1" customWidth="1"/>
    <col min="5" max="5" style="1645" width="10.00390625" hidden="1" customWidth="1"/>
    <col min="6" max="6" style="1645" width="8.7109375" hidden="1" customWidth="1"/>
    <col min="7" max="7" style="1645" width="7.57421875" hidden="1" customWidth="1"/>
    <col min="8" max="8" style="1645" width="11.421875" hidden="1" customWidth="1"/>
    <col min="9" max="9" style="1645" width="12.00390625" hidden="1" customWidth="1"/>
    <col min="10" max="10" style="1645" width="9.8515625" hidden="1" customWidth="1"/>
    <col min="11" max="12" style="1645" width="11.421875" hidden="1" customWidth="1"/>
    <col min="13" max="13" style="2135" width="19.140625" hidden="1" customWidth="1"/>
    <col min="14" max="15" style="2407" width="12.28125" hidden="1" customWidth="1"/>
    <col min="16" max="16" style="2407" width="23.421875" hidden="1" customWidth="1"/>
    <col min="17" max="17" style="2407" width="3.7109375" hidden="1" customWidth="1"/>
    <col min="18" max="20" style="354" width="3.00390625" customWidth="1"/>
    <col min="21" max="21" style="2417" width="12.00390625" customWidth="1"/>
    <col min="22" max="22" style="1645" width="31.00390625" customWidth="1"/>
    <col min="23" max="23" style="1645" width="0.140625" customWidth="1"/>
    <col min="24" max="28" style="1645" width="21.7109375" hidden="1" customWidth="1"/>
    <col min="29" max="29" style="1645" width="11.7109375" hidden="1" customWidth="1"/>
    <col min="30" max="30" style="1645" width="3.7109375" hidden="1" customWidth="1"/>
    <col min="31" max="31" style="1645" width="11.7109375" hidden="1" customWidth="1"/>
    <col min="32" max="32" style="1645" width="8.57421875" hidden="1" customWidth="1"/>
    <col min="33" max="33" style="1645" width="21.7109375" customWidth="1"/>
    <col min="34" max="37" style="1645" width="21.00390625" customWidth="1"/>
    <col min="38" max="38" style="1645" width="11.00390625" customWidth="1"/>
    <col min="39" max="39" style="1645" width="3.7109375" customWidth="1"/>
    <col min="40" max="40" style="1645" width="11.00390625" customWidth="1"/>
    <col min="41" max="41" style="1645" width="8.57421875" hidden="1" customWidth="1"/>
    <col min="42" max="42" style="1645" width="4.00390625" customWidth="1"/>
    <col min="43" max="43" style="1645" width="115.00390625" customWidth="1"/>
    <col min="44" max="48" style="1652" width="10.00390625" customWidth="1"/>
    <col min="49" max="49" style="1645" width="10.57421875" hidden="1"/>
  </cols>
  <sheetData>
    <row customHeight="1" ht="22.5" hidden="1">
      <c r="AB1" s="337"/>
      <c r="AC1" s="337"/>
      <c r="AK1" s="337"/>
      <c r="AL1" s="337"/>
      <c r="AW1" s="1165" t="s">
        <v>14</v>
      </c>
    </row>
    <row customHeight="1" ht="21" hidden="1">
      <c r="A2" s="1277"/>
      <c r="B2" s="1277"/>
      <c r="C2" s="1277"/>
      <c r="D2" s="1277"/>
      <c r="E2" s="2299">
        <v>1</v>
      </c>
      <c r="F2" s="1277"/>
      <c r="G2" s="1277"/>
      <c r="H2" s="1277"/>
      <c r="I2" s="1277"/>
      <c r="J2" s="1277"/>
      <c r="K2" s="1277"/>
      <c r="L2" s="1277"/>
      <c r="M2" s="1320"/>
      <c r="N2" s="698"/>
      <c r="O2" s="698"/>
      <c r="P2" s="698"/>
      <c r="Q2" s="371"/>
      <c r="R2" s="370"/>
      <c r="S2" s="370"/>
      <c r="T2" s="365"/>
      <c r="U2" s="1346">
        <f>INDEX(PT_DIFFERENTIATION_NUM_NTAR,MATCH(A2,PT_DIFFERENTIATION_NTAR_ID,0))</f>
      </c>
      <c r="V2" s="308" t="s">
        <v>147</v>
      </c>
      <c r="W2" s="310"/>
      <c r="X2" s="2252"/>
      <c r="Y2" s="2253"/>
      <c r="Z2" s="2253"/>
      <c r="AA2" s="2253"/>
      <c r="AB2" s="2253"/>
      <c r="AC2" s="2253"/>
      <c r="AD2" s="2253"/>
      <c r="AE2" s="2253"/>
      <c r="AF2" s="2254"/>
      <c r="AG2" s="2252">
        <f>INDEX(PT_DIFFERENTIATION_NTAR,MATCH(A2,PT_DIFFERENTIATION_NTAR_ID,0))</f>
      </c>
      <c r="AH2" s="2253"/>
      <c r="AI2" s="2253"/>
      <c r="AJ2" s="2253"/>
      <c r="AK2" s="2253"/>
      <c r="AL2" s="2253"/>
      <c r="AM2" s="2253"/>
      <c r="AN2" s="2253"/>
      <c r="AO2" s="2253"/>
      <c r="AP2" s="2254"/>
      <c r="AQ2" s="1268" t="s">
        <v>418</v>
      </c>
      <c r="AS2" s="510"/>
      <c r="AT2" s="510" t="str">
        <f>IF(V2="","",V2)</f>
        <v>Наименование тарифа</v>
      </c>
      <c r="AU2" s="510"/>
      <c r="AV2" s="510"/>
      <c r="AW2" s="1165">
        <v>0</v>
      </c>
    </row>
    <row customHeight="1" ht="21" hidden="1">
      <c r="A3" s="1277"/>
      <c r="B3" s="1277"/>
      <c r="C3" s="1277"/>
      <c r="D3" s="1277"/>
      <c r="E3" s="2300"/>
      <c r="F3" s="2299">
        <v>1</v>
      </c>
      <c r="G3" s="1277"/>
      <c r="H3" s="1277"/>
      <c r="I3" s="1277"/>
      <c r="J3" s="1277"/>
      <c r="K3" s="1277"/>
      <c r="L3" s="1277"/>
      <c r="M3" s="1320"/>
      <c r="N3" s="698"/>
      <c r="O3" s="698"/>
      <c r="P3" s="698"/>
      <c r="Q3" s="1342"/>
      <c r="R3" s="362"/>
      <c r="S3" s="519"/>
      <c r="T3" s="363"/>
      <c r="U3" s="1346">
        <f>INDEX(PT_DIFFERENTIATION_NUM_TER,MATCH(B3,PT_DIFFERENTIATION_TER_ID,0))</f>
      </c>
      <c r="V3" s="318" t="s">
        <v>419</v>
      </c>
      <c r="W3" s="310"/>
      <c r="X3" s="2252"/>
      <c r="Y3" s="2253"/>
      <c r="Z3" s="2253"/>
      <c r="AA3" s="2253"/>
      <c r="AB3" s="2253"/>
      <c r="AC3" s="2253"/>
      <c r="AD3" s="2253"/>
      <c r="AE3" s="2253"/>
      <c r="AF3" s="2254"/>
      <c r="AG3" s="2252">
        <f>INDEX(PT_DIFFERENTIATION_TER,MATCH(B3,PT_DIFFERENTIATION_TER_ID,0))</f>
      </c>
      <c r="AH3" s="2253"/>
      <c r="AI3" s="2253"/>
      <c r="AJ3" s="2253"/>
      <c r="AK3" s="2253"/>
      <c r="AL3" s="2253"/>
      <c r="AM3" s="2253"/>
      <c r="AN3" s="2253"/>
      <c r="AO3" s="2253"/>
      <c r="AP3" s="2254"/>
      <c r="AQ3" s="1268" t="s">
        <v>420</v>
      </c>
      <c r="AS3" s="510"/>
      <c r="AT3" s="510" t="str">
        <f>IF(V3="","",V3)</f>
        <v>Территория действия тарифа</v>
      </c>
      <c r="AU3" s="510"/>
      <c r="AV3" s="510"/>
      <c r="AW3" s="1165">
        <v>0</v>
      </c>
    </row>
    <row customHeight="1" ht="22.5" hidden="1">
      <c r="A4" s="1277"/>
      <c r="B4" s="1277"/>
      <c r="C4" s="1277"/>
      <c r="D4" s="1277"/>
      <c r="E4" s="2300"/>
      <c r="F4" s="2300"/>
      <c r="G4" s="2299">
        <v>1</v>
      </c>
      <c r="H4" s="1277"/>
      <c r="I4" s="1277"/>
      <c r="J4" s="1277"/>
      <c r="K4" s="1277"/>
      <c r="L4" s="1277"/>
      <c r="M4" s="1320"/>
      <c r="N4" s="698"/>
      <c r="O4" s="698"/>
      <c r="P4" s="698"/>
      <c r="Q4" s="364"/>
      <c r="R4" s="362"/>
      <c r="S4" s="519"/>
      <c r="T4" s="363"/>
      <c r="U4" s="1346">
        <f>INDEX(PT_DIFFERENTIATION_NUM_CS,MATCH(C4,PT_DIFFERENTIATION_CS_ID,0))</f>
      </c>
      <c r="V4" s="319" t="s">
        <v>421</v>
      </c>
      <c r="W4" s="310"/>
      <c r="X4" s="2252"/>
      <c r="Y4" s="2253"/>
      <c r="Z4" s="2253"/>
      <c r="AA4" s="2253"/>
      <c r="AB4" s="2253"/>
      <c r="AC4" s="2253"/>
      <c r="AD4" s="2253"/>
      <c r="AE4" s="2253"/>
      <c r="AF4" s="2254"/>
      <c r="AG4" s="2252">
        <f>INDEX(PT_DIFFERENTIATION_CS,MATCH(C4,PT_DIFFERENTIATION_CS_ID,0))</f>
      </c>
      <c r="AH4" s="2253"/>
      <c r="AI4" s="2253"/>
      <c r="AJ4" s="2253"/>
      <c r="AK4" s="2253"/>
      <c r="AL4" s="2253"/>
      <c r="AM4" s="2253"/>
      <c r="AN4" s="2253"/>
      <c r="AO4" s="2253"/>
      <c r="AP4" s="2254"/>
      <c r="AQ4" s="1268" t="s">
        <v>422</v>
      </c>
      <c r="AS4" s="510"/>
      <c r="AT4" s="510" t="str">
        <f>IF(V4="","",V4)</f>
        <v>Наименование системы теплоснабжения </v>
      </c>
      <c r="AU4" s="510"/>
      <c r="AV4" s="510"/>
      <c r="AW4" s="1165">
        <v>0</v>
      </c>
    </row>
    <row customHeight="1" ht="21" hidden="1">
      <c r="A5" s="1277"/>
      <c r="B5" s="1277"/>
      <c r="C5" s="1277"/>
      <c r="D5" s="1277"/>
      <c r="E5" s="2300"/>
      <c r="F5" s="2300"/>
      <c r="G5" s="2300"/>
      <c r="H5" s="2299">
        <v>1</v>
      </c>
      <c r="I5" s="1277"/>
      <c r="J5" s="1277"/>
      <c r="K5" s="1277"/>
      <c r="L5" s="1277"/>
      <c r="M5" s="1320"/>
      <c r="N5" s="698"/>
      <c r="O5" s="698"/>
      <c r="P5" s="698"/>
      <c r="Q5" s="364"/>
      <c r="R5" s="362"/>
      <c r="S5" s="519"/>
      <c r="T5" s="363"/>
      <c r="U5" s="1346">
        <f>INDEX(PT_DIFFERENTIATION_NUM_IST_TE,MATCH(D5,PT_DIFFERENTIATION_IST_TE_ID,0))</f>
      </c>
      <c r="V5" s="320" t="s">
        <v>423</v>
      </c>
      <c r="W5" s="310"/>
      <c r="X5" s="2252"/>
      <c r="Y5" s="2253"/>
      <c r="Z5" s="2253"/>
      <c r="AA5" s="2253"/>
      <c r="AB5" s="2253"/>
      <c r="AC5" s="2253"/>
      <c r="AD5" s="2253"/>
      <c r="AE5" s="2253"/>
      <c r="AF5" s="2254"/>
      <c r="AG5" s="2252">
        <f>INDEX(PT_DIFFERENTIATION_IST_TE,MATCH(D5,PT_DIFFERENTIATION_IST_TE_ID,0))</f>
      </c>
      <c r="AH5" s="2253"/>
      <c r="AI5" s="2253"/>
      <c r="AJ5" s="2253"/>
      <c r="AK5" s="2253"/>
      <c r="AL5" s="2253"/>
      <c r="AM5" s="2253"/>
      <c r="AN5" s="2253"/>
      <c r="AO5" s="2253"/>
      <c r="AP5" s="2254"/>
      <c r="AQ5" s="1268" t="s">
        <v>424</v>
      </c>
      <c r="AS5" s="510"/>
      <c r="AT5" s="510" t="str">
        <f>IF(V5="","",V5)</f>
        <v>Источник тепловой энергии  </v>
      </c>
      <c r="AU5" s="510"/>
      <c r="AV5" s="510"/>
      <c r="AW5" s="1165">
        <v>0</v>
      </c>
    </row>
    <row customHeight="1" ht="14.25" hidden="1">
      <c r="A6" s="1277"/>
      <c r="B6" s="1277"/>
      <c r="C6" s="1277"/>
      <c r="D6" s="1277"/>
      <c r="E6" s="2300"/>
      <c r="F6" s="2300"/>
      <c r="G6" s="2300"/>
      <c r="H6" s="2300"/>
      <c r="I6" s="2137">
        <f>U5&amp;".1"</f>
      </c>
      <c r="J6" s="1277"/>
      <c r="K6" s="1277"/>
      <c r="L6" s="1277"/>
      <c r="M6" s="1320" t="s">
        <v>425</v>
      </c>
      <c r="N6" s="519"/>
      <c r="Q6" s="2267">
        <v>1</v>
      </c>
      <c r="R6" s="1341"/>
      <c r="S6" s="1341"/>
      <c r="T6" s="366"/>
      <c r="U6" s="1052"/>
      <c r="V6" s="1393"/>
      <c r="W6" s="1394"/>
      <c r="X6" s="2306"/>
      <c r="Y6" s="2307"/>
      <c r="Z6" s="2307"/>
      <c r="AA6" s="2307"/>
      <c r="AB6" s="2307"/>
      <c r="AC6" s="2307"/>
      <c r="AD6" s="2307"/>
      <c r="AE6" s="2307"/>
      <c r="AF6" s="2308"/>
      <c r="AG6" s="2306"/>
      <c r="AH6" s="2307"/>
      <c r="AI6" s="2307"/>
      <c r="AJ6" s="2307"/>
      <c r="AK6" s="2307"/>
      <c r="AL6" s="2307"/>
      <c r="AM6" s="2307"/>
      <c r="AN6" s="2307"/>
      <c r="AO6" s="2307"/>
      <c r="AP6" s="2308"/>
      <c r="AQ6" s="1395"/>
      <c r="AS6" s="510"/>
      <c r="AT6" s="510" t="str">
        <f>IF(V6="","",V6)</f>
        <v/>
      </c>
      <c r="AU6" s="510"/>
      <c r="AV6" s="510"/>
      <c r="AW6" s="1165">
        <v>0</v>
      </c>
    </row>
    <row customHeight="1" ht="21" hidden="1">
      <c r="A7" s="1277"/>
      <c r="B7" s="1277"/>
      <c r="C7" s="1277"/>
      <c r="D7" s="1277"/>
      <c r="E7" s="2300"/>
      <c r="F7" s="2300"/>
      <c r="G7" s="2300"/>
      <c r="H7" s="2300"/>
      <c r="I7" s="2111"/>
      <c r="J7" s="2137">
        <f>I6&amp;".1"</f>
      </c>
      <c r="K7" s="1277"/>
      <c r="L7" s="1277"/>
      <c r="M7" s="1320" t="s">
        <v>428</v>
      </c>
      <c r="N7" s="519"/>
      <c r="O7" s="337"/>
      <c r="Q7" s="2267"/>
      <c r="R7" s="2267">
        <v>1</v>
      </c>
      <c r="S7" s="528"/>
      <c r="T7" s="367"/>
      <c r="U7" s="1346">
        <f>$J7</f>
      </c>
      <c r="V7" s="296" t="s">
        <v>429</v>
      </c>
      <c r="W7" s="310"/>
      <c r="X7" s="2255"/>
      <c r="Y7" s="2256"/>
      <c r="Z7" s="2256"/>
      <c r="AA7" s="2256"/>
      <c r="AB7" s="2256"/>
      <c r="AC7" s="2245"/>
      <c r="AD7" s="2245"/>
      <c r="AE7" s="2245"/>
      <c r="AF7" s="2318"/>
      <c r="AG7" s="2255"/>
      <c r="AH7" s="2256"/>
      <c r="AI7" s="2256"/>
      <c r="AJ7" s="2256"/>
      <c r="AK7" s="2256"/>
      <c r="AL7" s="2256"/>
      <c r="AM7" s="2256"/>
      <c r="AN7" s="2256"/>
      <c r="AO7" s="2256"/>
      <c r="AP7" s="2257"/>
      <c r="AQ7" s="1268" t="s">
        <v>430</v>
      </c>
      <c r="AS7" s="510"/>
      <c r="AT7" s="510" t="str">
        <f>IF(V7="","",V7)</f>
        <v>Группа потребителей</v>
      </c>
      <c r="AU7" s="510"/>
      <c r="AV7" s="510"/>
      <c r="AW7" s="1165">
        <v>0</v>
      </c>
    </row>
    <row customHeight="1" ht="21" hidden="1">
      <c r="A8" s="1277"/>
      <c r="B8" s="1277"/>
      <c r="C8" s="1277"/>
      <c r="D8" s="1277"/>
      <c r="E8" s="2300"/>
      <c r="F8" s="2300"/>
      <c r="G8" s="2300"/>
      <c r="H8" s="2300"/>
      <c r="I8" s="2111"/>
      <c r="J8" s="2111"/>
      <c r="K8" s="2137">
        <f>J7&amp;".1"</f>
      </c>
      <c r="L8" s="149"/>
      <c r="M8" s="1320" t="s">
        <v>431</v>
      </c>
      <c r="N8" s="519"/>
      <c r="O8" s="337"/>
      <c r="P8" s="337"/>
      <c r="Q8" s="2267"/>
      <c r="R8" s="2267"/>
      <c r="S8" s="2267">
        <v>1</v>
      </c>
      <c r="T8" s="367"/>
      <c r="U8" s="1346">
        <f>$K8</f>
      </c>
      <c r="V8" s="1357"/>
      <c r="W8" s="310"/>
      <c r="X8" s="761"/>
      <c r="Y8" s="761"/>
      <c r="Z8" s="761"/>
      <c r="AA8" s="761"/>
      <c r="AB8" s="1415"/>
      <c r="AC8" s="2275"/>
      <c r="AD8" s="2117" t="s">
        <v>66</v>
      </c>
      <c r="AE8" s="2275"/>
      <c r="AF8" s="2117" t="s">
        <v>66</v>
      </c>
      <c r="AG8" s="1417"/>
      <c r="AH8" s="761"/>
      <c r="AI8" s="761"/>
      <c r="AJ8" s="761"/>
      <c r="AK8" s="1267"/>
      <c r="AL8" s="2275"/>
      <c r="AM8" s="2117" t="s">
        <v>66</v>
      </c>
      <c r="AN8" s="2275"/>
      <c r="AO8" s="2117" t="s">
        <v>66</v>
      </c>
      <c r="AP8" s="335"/>
      <c r="AQ8" s="1317" t="s">
        <v>474</v>
      </c>
      <c r="AR8" s="521">
        <f>STRCHECKDATE(X10:AP10)</f>
      </c>
      <c r="AS8" s="510"/>
      <c r="AT8" s="510" t="str">
        <f>IF(V8="","",V8)</f>
        <v/>
      </c>
      <c r="AU8" s="510"/>
      <c r="AV8" s="510"/>
      <c r="AW8" s="1165">
        <v>0</v>
      </c>
    </row>
    <row customHeight="1" ht="21" hidden="1">
      <c r="A9" s="1277"/>
      <c r="B9" s="1277"/>
      <c r="C9" s="1277"/>
      <c r="D9" s="1277"/>
      <c r="E9" s="2300"/>
      <c r="F9" s="2300"/>
      <c r="G9" s="2300"/>
      <c r="H9" s="2300"/>
      <c r="I9" s="2111"/>
      <c r="J9" s="2111"/>
      <c r="K9" s="2111"/>
      <c r="L9" s="2137">
        <f>K8&amp;".1"</f>
      </c>
      <c r="M9" s="1320"/>
      <c r="N9" s="519"/>
      <c r="O9" s="337"/>
      <c r="P9" s="337"/>
      <c r="Q9" s="2267"/>
      <c r="R9" s="2267"/>
      <c r="S9" s="2267"/>
      <c r="T9" s="367"/>
      <c r="U9" s="1346">
        <f>$L9</f>
      </c>
      <c r="V9" s="1401"/>
      <c r="W9" s="310"/>
      <c r="X9" s="335"/>
      <c r="Y9" s="761"/>
      <c r="Z9" s="761"/>
      <c r="AA9" s="761"/>
      <c r="AB9" s="1415"/>
      <c r="AC9" s="2319"/>
      <c r="AD9" s="2117"/>
      <c r="AE9" s="2319"/>
      <c r="AF9" s="2117"/>
      <c r="AG9" s="1417"/>
      <c r="AH9" s="761"/>
      <c r="AI9" s="761"/>
      <c r="AJ9" s="761"/>
      <c r="AK9" s="1267"/>
      <c r="AL9" s="2319"/>
      <c r="AM9" s="2117"/>
      <c r="AN9" s="2319"/>
      <c r="AO9" s="2117"/>
      <c r="AP9" s="335"/>
      <c r="AQ9" s="2263" t="s">
        <v>475</v>
      </c>
      <c r="AS9" s="510"/>
      <c r="AT9" s="510"/>
      <c r="AU9" s="510"/>
      <c r="AV9" s="510"/>
      <c r="AW9" s="1165">
        <v>0</v>
      </c>
    </row>
    <row customHeight="1" ht="14.25" hidden="1">
      <c r="A10" s="1277"/>
      <c r="B10" s="1277"/>
      <c r="C10" s="1277"/>
      <c r="D10" s="1277"/>
      <c r="E10" s="2300"/>
      <c r="F10" s="2300"/>
      <c r="G10" s="2300"/>
      <c r="H10" s="2300"/>
      <c r="I10" s="2111"/>
      <c r="J10" s="2111"/>
      <c r="K10" s="2111"/>
      <c r="L10" s="2137"/>
      <c r="M10" s="1320"/>
      <c r="N10" s="519"/>
      <c r="O10" s="337"/>
      <c r="P10" s="337"/>
      <c r="Q10" s="2267"/>
      <c r="R10" s="2267"/>
      <c r="S10" s="2267"/>
      <c r="T10" s="367"/>
      <c r="U10" s="1352"/>
      <c r="V10" s="310"/>
      <c r="W10" s="310"/>
      <c r="X10" s="335"/>
      <c r="Y10" s="335"/>
      <c r="Z10" s="335"/>
      <c r="AA10" s="335"/>
      <c r="AB10" s="1416" t="str">
        <f>AC8&amp;"-"&amp;AE8</f>
        <v>-</v>
      </c>
      <c r="AC10" s="2319"/>
      <c r="AD10" s="2117"/>
      <c r="AE10" s="2319"/>
      <c r="AF10" s="2117"/>
      <c r="AG10" s="1392"/>
      <c r="AH10" s="335"/>
      <c r="AI10" s="335"/>
      <c r="AJ10" s="335"/>
      <c r="AK10" s="338" t="str">
        <f>AL8&amp;"-"&amp;AN8</f>
        <v>-</v>
      </c>
      <c r="AL10" s="2319"/>
      <c r="AM10" s="2117"/>
      <c r="AN10" s="2319"/>
      <c r="AO10" s="2117"/>
      <c r="AP10" s="335"/>
      <c r="AQ10" s="2264"/>
      <c r="AS10" s="510"/>
      <c r="AT10" s="510" t="str">
        <f>IF(V10="","",V10)</f>
        <v/>
      </c>
      <c r="AU10" s="510"/>
      <c r="AV10" s="510"/>
      <c r="AW10" s="1165">
        <v>0</v>
      </c>
    </row>
    <row customHeight="1" ht="11.25" hidden="1">
      <c r="A11" s="1277"/>
      <c r="B11" s="1277"/>
      <c r="C11" s="1277"/>
      <c r="D11" s="1277"/>
      <c r="E11" s="2300"/>
      <c r="F11" s="2300"/>
      <c r="G11" s="2300"/>
      <c r="H11" s="2300"/>
      <c r="I11" s="2111"/>
      <c r="J11" s="2111"/>
      <c r="K11" s="2137"/>
      <c r="L11" s="1277"/>
      <c r="M11" s="1320"/>
      <c r="N11" s="519"/>
      <c r="O11" s="337"/>
      <c r="P11" s="337"/>
      <c r="Q11" s="2267"/>
      <c r="R11" s="2267"/>
      <c r="S11" s="2267"/>
      <c r="T11" s="367"/>
      <c r="U11" s="1288"/>
      <c r="V11" s="298" t="s">
        <v>476</v>
      </c>
      <c r="W11" s="1402"/>
      <c r="X11" s="1403"/>
      <c r="Y11" s="1403"/>
      <c r="Z11" s="1403"/>
      <c r="AA11" s="1403"/>
      <c r="AB11" s="1404"/>
      <c r="AC11" s="2319"/>
      <c r="AD11" s="2117"/>
      <c r="AE11" s="2319"/>
      <c r="AF11" s="2117"/>
      <c r="AG11" s="1403"/>
      <c r="AH11" s="1403"/>
      <c r="AI11" s="1403"/>
      <c r="AJ11" s="1403"/>
      <c r="AK11" s="1404"/>
      <c r="AL11" s="2319"/>
      <c r="AM11" s="2117"/>
      <c r="AN11" s="2319"/>
      <c r="AO11" s="2117"/>
      <c r="AP11" s="1405"/>
      <c r="AQ11" s="2264"/>
      <c r="AS11" s="510"/>
      <c r="AT11" s="510"/>
      <c r="AU11" s="510"/>
      <c r="AV11" s="510"/>
      <c r="AW11" s="1165">
        <v>0</v>
      </c>
    </row>
    <row customHeight="1" ht="15" hidden="1">
      <c r="A12" s="1277"/>
      <c r="B12" s="1277"/>
      <c r="C12" s="1277"/>
      <c r="D12" s="1277"/>
      <c r="E12" s="2300"/>
      <c r="F12" s="2300"/>
      <c r="G12" s="2300"/>
      <c r="H12" s="2300"/>
      <c r="I12" s="2111"/>
      <c r="J12" s="2137"/>
      <c r="K12" s="1277"/>
      <c r="L12" s="1277"/>
      <c r="M12" s="1320"/>
      <c r="N12" s="519"/>
      <c r="O12" s="337"/>
      <c r="Q12" s="2267"/>
      <c r="R12" s="2267"/>
      <c r="S12" s="1341"/>
      <c r="T12" s="366"/>
      <c r="U12" s="1288"/>
      <c r="V12" s="297" t="s">
        <v>433</v>
      </c>
      <c r="W12" s="377"/>
      <c r="X12" s="377"/>
      <c r="Y12" s="377"/>
      <c r="Z12" s="377"/>
      <c r="AA12" s="377"/>
      <c r="AB12" s="377"/>
      <c r="AC12" s="1418"/>
      <c r="AD12" s="1418"/>
      <c r="AE12" s="1418"/>
      <c r="AF12" s="1418"/>
      <c r="AG12" s="377"/>
      <c r="AH12" s="377"/>
      <c r="AI12" s="377"/>
      <c r="AJ12" s="377"/>
      <c r="AK12" s="377"/>
      <c r="AL12" s="377"/>
      <c r="AM12" s="377"/>
      <c r="AN12" s="377"/>
      <c r="AO12" s="377"/>
      <c r="AP12" s="334"/>
      <c r="AQ12" s="2265"/>
      <c r="AS12" s="510"/>
      <c r="AT12" s="510" t="str">
        <f>IF(V12="","",V12)</f>
        <v>Добавить вид теплоносителя (параметры теплоносителя)</v>
      </c>
      <c r="AU12" s="510"/>
      <c r="AV12" s="510"/>
      <c r="AW12" s="1165">
        <v>0</v>
      </c>
    </row>
    <row customHeight="1" ht="11.25" hidden="1">
      <c r="A13" s="1277"/>
      <c r="B13" s="1277"/>
      <c r="C13" s="1277"/>
      <c r="D13" s="1277"/>
      <c r="E13" s="2300"/>
      <c r="F13" s="2300"/>
      <c r="G13" s="2300"/>
      <c r="H13" s="2300"/>
      <c r="I13" s="2137"/>
      <c r="J13" s="1277"/>
      <c r="K13" s="1277"/>
      <c r="L13" s="1277"/>
      <c r="M13" s="1320"/>
      <c r="N13" s="519"/>
      <c r="Q13" s="2267"/>
      <c r="R13" s="1341"/>
      <c r="S13" s="1341"/>
      <c r="T13" s="366"/>
      <c r="U13" s="1288"/>
      <c r="V13" s="375" t="s">
        <v>434</v>
      </c>
      <c r="W13" s="377"/>
      <c r="X13" s="377"/>
      <c r="Y13" s="377"/>
      <c r="Z13" s="377"/>
      <c r="AA13" s="377"/>
      <c r="AB13" s="377"/>
      <c r="AC13" s="377"/>
      <c r="AD13" s="377"/>
      <c r="AE13" s="377"/>
      <c r="AF13" s="376"/>
      <c r="AG13" s="377"/>
      <c r="AH13" s="377"/>
      <c r="AI13" s="377"/>
      <c r="AJ13" s="377"/>
      <c r="AK13" s="377"/>
      <c r="AL13" s="377"/>
      <c r="AM13" s="377"/>
      <c r="AN13" s="377"/>
      <c r="AO13" s="376"/>
      <c r="AP13" s="377"/>
      <c r="AQ13" s="313"/>
      <c r="AS13" s="510"/>
      <c r="AT13" s="510" t="str">
        <f>IF(V13="","",V13)</f>
        <v>Добавить группу потребителей</v>
      </c>
      <c r="AU13" s="510"/>
      <c r="AV13" s="510"/>
      <c r="AW13" s="1165">
        <v>0</v>
      </c>
    </row>
    <row customHeight="1" ht="14.25" hidden="1">
      <c r="A14" s="1277"/>
      <c r="B14" s="1277"/>
      <c r="C14" s="1277"/>
      <c r="D14" s="1277"/>
      <c r="E14" s="2300"/>
      <c r="F14" s="2300"/>
      <c r="G14" s="2300"/>
      <c r="H14" s="2299"/>
      <c r="I14" s="1277"/>
      <c r="J14" s="1277"/>
      <c r="K14" s="1277"/>
      <c r="L14" s="1277"/>
      <c r="M14" s="1320"/>
      <c r="N14" s="698"/>
      <c r="O14" s="698"/>
      <c r="P14" s="519"/>
      <c r="Q14" s="370"/>
      <c r="R14" s="385"/>
      <c r="S14" s="365"/>
      <c r="T14" s="370"/>
      <c r="U14" s="1396"/>
      <c r="V14" s="1397"/>
      <c r="W14" s="1398"/>
      <c r="X14" s="1398"/>
      <c r="Y14" s="1398"/>
      <c r="Z14" s="1398"/>
      <c r="AA14" s="1398"/>
      <c r="AB14" s="1398"/>
      <c r="AC14" s="1398"/>
      <c r="AD14" s="1398"/>
      <c r="AE14" s="1398"/>
      <c r="AF14" s="1398"/>
      <c r="AG14" s="1398"/>
      <c r="AH14" s="1398"/>
      <c r="AI14" s="1398"/>
      <c r="AJ14" s="1398"/>
      <c r="AK14" s="1398"/>
      <c r="AL14" s="1398"/>
      <c r="AM14" s="1398"/>
      <c r="AN14" s="1398"/>
      <c r="AO14" s="1398"/>
      <c r="AP14" s="1398"/>
      <c r="AQ14" s="1399"/>
      <c r="AS14" s="510"/>
      <c r="AT14" s="510" t="str">
        <f>IF(V14="","",V14)</f>
        <v/>
      </c>
      <c r="AU14" s="510"/>
      <c r="AV14" s="510"/>
      <c r="AW14" s="1165">
        <v>0</v>
      </c>
    </row>
    <row s="1652" customFormat="1" customHeight="1" ht="14.25" hidden="1">
      <c r="A15" s="1384"/>
      <c r="B15" s="1384"/>
      <c r="C15" s="1384"/>
      <c r="D15" s="1384"/>
      <c r="E15" s="2300"/>
      <c r="F15" s="2300"/>
      <c r="G15" s="2299"/>
      <c r="H15" s="1384"/>
      <c r="I15" s="1384"/>
      <c r="J15" s="1384"/>
      <c r="K15" s="1384"/>
      <c r="L15" s="1384"/>
      <c r="M15" s="1387"/>
      <c r="N15" s="1388"/>
      <c r="O15" s="1388"/>
      <c r="P15" s="361"/>
      <c r="Q15" s="1326"/>
      <c r="R15" s="1327"/>
      <c r="S15" s="1326"/>
      <c r="T15" s="1326"/>
      <c r="U15" s="1328"/>
      <c r="V15" s="1329" t="s">
        <v>436</v>
      </c>
      <c r="W15" s="1330"/>
      <c r="X15" s="1330"/>
      <c r="Y15" s="1330"/>
      <c r="Z15" s="1330"/>
      <c r="AA15" s="1330"/>
      <c r="AB15" s="1330"/>
      <c r="AC15" s="1330"/>
      <c r="AD15" s="1330"/>
      <c r="AE15" s="1330"/>
      <c r="AF15" s="1330"/>
      <c r="AG15" s="1330"/>
      <c r="AH15" s="1330"/>
      <c r="AI15" s="1330"/>
      <c r="AJ15" s="1330"/>
      <c r="AK15" s="1330"/>
      <c r="AL15" s="1330"/>
      <c r="AM15" s="1330"/>
      <c r="AN15" s="1330"/>
      <c r="AO15" s="1330"/>
      <c r="AP15" s="1330"/>
      <c r="AQ15" s="1330"/>
      <c r="AS15" s="799"/>
      <c r="AT15" s="799" t="str">
        <f>IF(V15="","",V15)</f>
        <v>Добавить источник для дифференциации</v>
      </c>
      <c r="AU15" s="799"/>
      <c r="AV15" s="799"/>
      <c r="AW15" s="528">
        <v>0</v>
      </c>
    </row>
    <row s="1652" customFormat="1" customHeight="1" ht="14.25" hidden="1">
      <c r="A16" s="1384"/>
      <c r="B16" s="1384"/>
      <c r="C16" s="1384"/>
      <c r="D16" s="1384"/>
      <c r="E16" s="2300"/>
      <c r="F16" s="2299"/>
      <c r="G16" s="1384"/>
      <c r="H16" s="1384"/>
      <c r="I16" s="1384"/>
      <c r="J16" s="1384"/>
      <c r="K16" s="1384"/>
      <c r="L16" s="1384"/>
      <c r="M16" s="1387"/>
      <c r="N16" s="1389"/>
      <c r="O16" s="1389"/>
      <c r="P16" s="361"/>
      <c r="Q16" s="1326"/>
      <c r="R16" s="1327"/>
      <c r="S16" s="1326"/>
      <c r="T16" s="1326"/>
      <c r="U16" s="1332"/>
      <c r="V16" s="1333" t="s">
        <v>437</v>
      </c>
      <c r="W16" s="1334"/>
      <c r="X16" s="1334"/>
      <c r="Y16" s="1334"/>
      <c r="Z16" s="1334"/>
      <c r="AA16" s="1334"/>
      <c r="AB16" s="1334"/>
      <c r="AC16" s="1334"/>
      <c r="AD16" s="1334"/>
      <c r="AE16" s="1334"/>
      <c r="AF16" s="1334"/>
      <c r="AG16" s="1334"/>
      <c r="AH16" s="1334"/>
      <c r="AI16" s="1334"/>
      <c r="AJ16" s="1334"/>
      <c r="AK16" s="1334"/>
      <c r="AL16" s="1334"/>
      <c r="AM16" s="1334"/>
      <c r="AN16" s="1334"/>
      <c r="AO16" s="1334"/>
      <c r="AP16" s="1334"/>
      <c r="AQ16" s="1334"/>
      <c r="AS16" s="799"/>
      <c r="AT16" s="799" t="str">
        <f>IF(V16="","",V16)</f>
        <v>Добавить централизованную систему для дифференциации</v>
      </c>
      <c r="AU16" s="799"/>
      <c r="AV16" s="799"/>
      <c r="AW16" s="528">
        <v>0</v>
      </c>
    </row>
    <row s="1652" customFormat="1" customHeight="1" ht="14.25" hidden="1">
      <c r="A17" s="1384"/>
      <c r="B17" s="1384"/>
      <c r="C17" s="1384"/>
      <c r="D17" s="1384"/>
      <c r="E17" s="2299"/>
      <c r="F17" s="1384"/>
      <c r="G17" s="1384"/>
      <c r="H17" s="1384"/>
      <c r="I17" s="1384"/>
      <c r="J17" s="1384"/>
      <c r="K17" s="1384"/>
      <c r="L17" s="1384"/>
      <c r="M17" s="1387"/>
      <c r="N17" s="1389"/>
      <c r="O17" s="1389"/>
      <c r="P17" s="361"/>
      <c r="Q17" s="1326"/>
      <c r="R17" s="1327"/>
      <c r="S17" s="1326"/>
      <c r="T17" s="1326"/>
      <c r="U17" s="1332"/>
      <c r="V17" s="1335" t="s">
        <v>438</v>
      </c>
      <c r="W17" s="1334"/>
      <c r="X17" s="1334"/>
      <c r="Y17" s="1334"/>
      <c r="Z17" s="1334"/>
      <c r="AA17" s="1334"/>
      <c r="AB17" s="1334"/>
      <c r="AC17" s="1334"/>
      <c r="AD17" s="1334"/>
      <c r="AE17" s="1334"/>
      <c r="AF17" s="1334"/>
      <c r="AG17" s="1334"/>
      <c r="AH17" s="1334"/>
      <c r="AI17" s="1334"/>
      <c r="AJ17" s="1334"/>
      <c r="AK17" s="1334"/>
      <c r="AL17" s="1334"/>
      <c r="AM17" s="1334"/>
      <c r="AN17" s="1334"/>
      <c r="AO17" s="1334"/>
      <c r="AP17" s="1334"/>
      <c r="AQ17" s="1334"/>
      <c r="AS17" s="799"/>
      <c r="AT17" s="799" t="str">
        <f>IF(V17="","",V17)</f>
        <v>Добавить территорию для дифференциации</v>
      </c>
      <c r="AU17" s="799"/>
      <c r="AV17" s="799"/>
      <c r="AW17" s="528">
        <v>0</v>
      </c>
    </row>
    <row customHeight="1" ht="14.25" hidden="1">
      <c r="AF18" s="337"/>
      <c r="AO18" s="337"/>
      <c r="AW18" s="1165">
        <v>0</v>
      </c>
    </row>
    <row customHeight="1" ht="14.25" hidden="1">
      <c r="AG19" s="1370"/>
      <c r="AH19" s="1370"/>
      <c r="AI19" s="1370"/>
      <c r="AJ19" s="1370"/>
      <c r="AK19" s="1371"/>
      <c r="AL19" s="2277"/>
      <c r="AM19" s="2278" t="s">
        <v>66</v>
      </c>
      <c r="AN19" s="2277"/>
      <c r="AO19" s="2278" t="s">
        <v>66</v>
      </c>
      <c r="AW19" s="1165">
        <v>0</v>
      </c>
    </row>
    <row customHeight="1" ht="14.25" hidden="1">
      <c r="AG20" s="1370"/>
      <c r="AH20" s="1370"/>
      <c r="AI20" s="1370"/>
      <c r="AJ20" s="1370"/>
      <c r="AK20" s="1371"/>
      <c r="AL20" s="2277"/>
      <c r="AM20" s="2278"/>
      <c r="AN20" s="2277"/>
      <c r="AO20" s="2278"/>
      <c r="AW20" s="1165">
        <v>0</v>
      </c>
    </row>
    <row customHeight="1" ht="14.25" hidden="1">
      <c r="AG21" s="1370"/>
      <c r="AH21" s="1370"/>
      <c r="AI21" s="1370"/>
      <c r="AJ21" s="1370"/>
      <c r="AK21" s="1371"/>
      <c r="AL21" s="2277"/>
      <c r="AM21" s="2278"/>
      <c r="AN21" s="2277"/>
      <c r="AO21" s="2278"/>
      <c r="AW21" s="1165">
        <v>0</v>
      </c>
    </row>
    <row customHeight="1" ht="14.25" hidden="1">
      <c r="AG22" s="1370"/>
      <c r="AH22" s="1370"/>
      <c r="AI22" s="1370"/>
      <c r="AJ22" s="1370"/>
      <c r="AK22" s="338" t="str">
        <f>AL19&amp;"-"&amp;AN19</f>
        <v>-</v>
      </c>
      <c r="AL22" s="2278"/>
      <c r="AM22" s="2278"/>
      <c r="AN22" s="2278"/>
      <c r="AO22" s="2278"/>
      <c r="AW22" s="1165">
        <v>0</v>
      </c>
    </row>
    <row customHeight="1" ht="14.25" hidden="1">
      <c r="AO23" s="337"/>
      <c r="AW23" s="1165">
        <v>0</v>
      </c>
    </row>
    <row s="1376" customFormat="1" customHeight="1" ht="22.5" hidden="1">
      <c r="A24" s="1165"/>
      <c r="B24" s="1165"/>
      <c r="C24" s="1165"/>
      <c r="D24" s="1165"/>
      <c r="E24" s="1165"/>
      <c r="F24" s="1165"/>
      <c r="G24" s="1165"/>
      <c r="H24" s="1165"/>
      <c r="I24" s="1165"/>
      <c r="J24" s="1165"/>
      <c r="K24" s="1165"/>
      <c r="L24" s="1165"/>
      <c r="M24" s="1337"/>
      <c r="N24" s="1338"/>
      <c r="O24" s="1338"/>
      <c r="P24" s="1355" t="s">
        <v>439</v>
      </c>
      <c r="Q24" s="1372"/>
      <c r="R24" s="1381"/>
      <c r="S24" s="1381"/>
      <c r="T24" s="1381"/>
      <c r="U24" s="739"/>
      <c r="AC24" s="1377"/>
      <c r="AE24" s="1377"/>
      <c r="AF24" s="1376"/>
      <c r="AL24" s="1377"/>
      <c r="AN24" s="1377"/>
      <c r="AO24" s="1376"/>
      <c r="AR24" s="521"/>
      <c r="AS24" s="521"/>
      <c r="AT24" s="521"/>
      <c r="AU24" s="521"/>
      <c r="AV24" s="521"/>
      <c r="AW24" s="1170">
        <v>0</v>
      </c>
    </row>
    <row s="1376" customFormat="1" customHeight="1" ht="14.25" hidden="1">
      <c r="A25" s="1165"/>
      <c r="B25" s="1165"/>
      <c r="C25" s="1165"/>
      <c r="D25" s="1165"/>
      <c r="E25" s="1165"/>
      <c r="F25" s="1165"/>
      <c r="G25" s="1165"/>
      <c r="H25" s="1165"/>
      <c r="I25" s="1165"/>
      <c r="J25" s="1165"/>
      <c r="K25" s="1165"/>
      <c r="L25" s="1165"/>
      <c r="M25" s="1337"/>
      <c r="N25" s="1338"/>
      <c r="O25" s="1338"/>
      <c r="P25" s="1338"/>
      <c r="Q25" s="1372"/>
      <c r="R25" s="1381"/>
      <c r="S25" s="1381"/>
      <c r="T25" s="1381"/>
      <c r="U25" s="739"/>
      <c r="AF25" s="1376"/>
      <c r="AO25" s="1376"/>
      <c r="AR25" s="521"/>
      <c r="AS25" s="521"/>
      <c r="AT25" s="521"/>
      <c r="AU25" s="521"/>
      <c r="AV25" s="521"/>
      <c r="AW25" s="1170">
        <v>0</v>
      </c>
    </row>
    <row s="1376" customFormat="1" customHeight="1" ht="14.25" hidden="1">
      <c r="A26" s="1165"/>
      <c r="B26" s="1165"/>
      <c r="C26" s="1165"/>
      <c r="D26" s="1165"/>
      <c r="E26" s="1165"/>
      <c r="F26" s="1165"/>
      <c r="G26" s="1165"/>
      <c r="H26" s="1165"/>
      <c r="I26" s="1165"/>
      <c r="J26" s="1165"/>
      <c r="K26" s="1165"/>
      <c r="L26" s="1165"/>
      <c r="M26" s="1337"/>
      <c r="N26" s="1338"/>
      <c r="O26" s="1338"/>
      <c r="P26" s="1320" t="s">
        <v>440</v>
      </c>
      <c r="Q26" s="1372"/>
      <c r="R26" s="1381"/>
      <c r="S26" s="1381"/>
      <c r="T26" s="1381"/>
      <c r="U26" s="739"/>
      <c r="V26" s="1170" t="s">
        <v>441</v>
      </c>
      <c r="AD26" s="196" t="s">
        <v>442</v>
      </c>
      <c r="AF26" s="196" t="s">
        <v>443</v>
      </c>
      <c r="AG26" s="1170" t="s">
        <v>441</v>
      </c>
      <c r="AM26" s="196" t="s">
        <v>444</v>
      </c>
      <c r="AO26" s="196" t="s">
        <v>443</v>
      </c>
      <c r="AR26" s="521"/>
      <c r="AS26" s="521"/>
      <c r="AT26" s="521"/>
      <c r="AU26" s="521"/>
      <c r="AV26" s="521"/>
      <c r="AW26" s="1170">
        <v>0</v>
      </c>
    </row>
    <row customHeight="1" ht="14.25" hidden="1">
      <c r="P27" s="1320"/>
      <c r="AW27" s="1165">
        <v>0</v>
      </c>
    </row>
    <row customHeight="1" ht="14.25" hidden="1">
      <c r="P28" s="1320"/>
      <c r="AW28" s="1165">
        <v>0</v>
      </c>
    </row>
    <row customHeight="1" ht="14.699999999999998">
      <c r="R29" s="386"/>
      <c r="S29" s="386"/>
      <c r="T29" s="386"/>
      <c r="U29" s="1285"/>
      <c r="V29" s="373"/>
      <c r="W29" s="373"/>
      <c r="X29" s="519"/>
      <c r="Y29" s="519"/>
      <c r="Z29" s="519"/>
      <c r="AA29" s="519"/>
      <c r="AB29" s="519"/>
      <c r="AC29" s="519"/>
      <c r="AD29" s="519"/>
      <c r="AE29" s="519"/>
      <c r="AF29" s="519"/>
      <c r="AG29" s="519"/>
      <c r="AH29" s="519"/>
      <c r="AI29" s="519"/>
      <c r="AJ29" s="519"/>
      <c r="AK29" s="519"/>
      <c r="AL29" s="519"/>
      <c r="AM29" s="519"/>
      <c r="AN29" s="519"/>
      <c r="AO29" s="519"/>
      <c r="AW29" s="1165">
        <v>14</v>
      </c>
    </row>
    <row customHeight="1" ht="56.699999999999996">
      <c r="R30" s="386"/>
      <c r="S30" s="386"/>
      <c r="T30" s="386"/>
      <c r="U30" s="2258"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8"/>
      <c r="W30" s="2258"/>
      <c r="X30" s="2258"/>
      <c r="Y30" s="2258"/>
      <c r="Z30" s="2258"/>
      <c r="AA30" s="2258"/>
      <c r="AB30" s="2258"/>
      <c r="AC30" s="2258"/>
      <c r="AD30" s="2258"/>
      <c r="AE30" s="2258"/>
      <c r="AF30" s="2258"/>
      <c r="AG30" s="2258"/>
      <c r="AH30" s="2258"/>
      <c r="AI30" s="2258"/>
      <c r="AJ30" s="2258"/>
      <c r="AK30" s="2258"/>
      <c r="AL30" s="2258"/>
      <c r="AM30" s="2258"/>
      <c r="AN30" s="2258"/>
      <c r="AO30" s="1253"/>
      <c r="AW30" s="1165">
        <v>54</v>
      </c>
    </row>
    <row customHeight="1" ht="14.699999999999998">
      <c r="R31" s="386"/>
      <c r="S31" s="386"/>
      <c r="T31" s="386"/>
      <c r="U31" s="2259" t="str">
        <f>IF(org=0,"Не определено",org)</f>
        <v>АО «ДГК» СП «Нерюнгринская ГРЭС»</v>
      </c>
      <c r="V31" s="2259"/>
      <c r="W31" s="2259"/>
      <c r="X31" s="2259"/>
      <c r="Y31" s="2259"/>
      <c r="Z31" s="2259"/>
      <c r="AA31" s="2259"/>
      <c r="AB31" s="2259"/>
      <c r="AC31" s="2259"/>
      <c r="AD31" s="2259"/>
      <c r="AE31" s="2259"/>
      <c r="AF31" s="2259"/>
      <c r="AG31" s="2259"/>
      <c r="AH31" s="2259"/>
      <c r="AI31" s="2259"/>
      <c r="AJ31" s="2259"/>
      <c r="AK31" s="2259"/>
      <c r="AL31" s="2259"/>
      <c r="AM31" s="2259"/>
      <c r="AN31" s="2259"/>
      <c r="AO31" s="1253"/>
      <c r="AW31" s="1165">
        <v>14</v>
      </c>
    </row>
    <row customHeight="1" ht="14.25" hidden="1">
      <c r="R32" s="386"/>
      <c r="S32" s="386"/>
      <c r="T32" s="386"/>
      <c r="U32" s="1285"/>
      <c r="V32" s="373"/>
      <c r="W32" s="373"/>
      <c r="X32" s="332"/>
      <c r="Y32" s="332"/>
      <c r="Z32" s="332"/>
      <c r="AA32" s="332"/>
      <c r="AB32" s="332"/>
      <c r="AC32" s="332"/>
      <c r="AD32" s="332"/>
      <c r="AE32" s="332"/>
      <c r="AF32" s="332"/>
      <c r="AG32" s="332"/>
      <c r="AH32" s="332"/>
      <c r="AI32" s="332"/>
      <c r="AJ32" s="332"/>
      <c r="AK32" s="332"/>
      <c r="AL32" s="332"/>
      <c r="AM32" s="332"/>
      <c r="AN32" s="332"/>
      <c r="AO32" s="332"/>
      <c r="AP32" s="519"/>
      <c r="AW32" s="1165">
        <v>0</v>
      </c>
    </row>
    <row s="1863" customFormat="1" customHeight="1" ht="25.5" hidden="1">
      <c r="A33" s="1258"/>
      <c r="B33" s="1258"/>
      <c r="C33" s="1258"/>
      <c r="D33" s="1258"/>
      <c r="E33" s="1258"/>
      <c r="F33" s="1258"/>
      <c r="G33" s="1258"/>
      <c r="H33" s="1258"/>
      <c r="I33" s="1258"/>
      <c r="J33" s="1258"/>
      <c r="K33" s="1258"/>
      <c r="L33" s="1258"/>
      <c r="M33" s="1390"/>
      <c r="N33" s="1258"/>
      <c r="O33" s="1258"/>
      <c r="P33" s="1258"/>
      <c r="U33" s="2260" t="s">
        <v>42</v>
      </c>
      <c r="V33" s="2260"/>
      <c r="W33" s="1382"/>
      <c r="X33" s="2261" t="str">
        <f>IF(TITLE_NAME_OR_PR_CHANGE="",IF(TITLE_NAME_OR_PR="","",TITLE_NAME_OR_PR),TITLE_NAME_OR_PR_CHANGE)</f>
        <v/>
      </c>
      <c r="Y33" s="2261"/>
      <c r="Z33" s="2261"/>
      <c r="AA33" s="2261"/>
      <c r="AB33" s="2261"/>
      <c r="AC33" s="2261"/>
      <c r="AD33" s="2261"/>
      <c r="AE33" s="2261"/>
      <c r="AF33" s="336"/>
      <c r="AG33" s="2261" t="str">
        <f>IF(TITLE_NAME_OR_PR_CHANGE="",IF(TITLE_NAME_OR_PR="","",TITLE_NAME_OR_PR),TITLE_NAME_OR_PR_CHANGE)</f>
        <v/>
      </c>
      <c r="AH33" s="2261"/>
      <c r="AI33" s="2261"/>
      <c r="AJ33" s="2261"/>
      <c r="AK33" s="2261"/>
      <c r="AL33" s="2261"/>
      <c r="AM33" s="2261"/>
      <c r="AN33" s="2261"/>
      <c r="AO33" s="336"/>
      <c r="AP33" s="336"/>
      <c r="AQ33" s="290"/>
      <c r="AR33" s="378"/>
      <c r="AS33" s="378"/>
      <c r="AT33" s="378"/>
      <c r="AU33" s="378"/>
      <c r="AV33" s="378"/>
      <c r="AW33" s="428">
        <v>0</v>
      </c>
    </row>
    <row s="1863" customFormat="1" customHeight="1" ht="18.75" hidden="1">
      <c r="A34" s="1258"/>
      <c r="B34" s="1258"/>
      <c r="C34" s="1258"/>
      <c r="D34" s="1258"/>
      <c r="E34" s="1258"/>
      <c r="F34" s="1258"/>
      <c r="G34" s="1258"/>
      <c r="H34" s="1258"/>
      <c r="I34" s="1258"/>
      <c r="J34" s="1258"/>
      <c r="K34" s="1258"/>
      <c r="L34" s="1258"/>
      <c r="M34" s="1390"/>
      <c r="N34" s="1258"/>
      <c r="O34" s="1258"/>
      <c r="P34" s="1258"/>
      <c r="U34" s="2260" t="s">
        <v>445</v>
      </c>
      <c r="V34" s="2260"/>
      <c r="W34" s="1382"/>
      <c r="X34" s="2274" t="str">
        <f>IF(TITLE_DATE_PR_CHANGE="",IF(TITLE_DATE_PR="","",TITLE_DATE_PR),TITLE_DATE_PR_CHANGE)</f>
        <v/>
      </c>
      <c r="Y34" s="2274"/>
      <c r="Z34" s="2274"/>
      <c r="AA34" s="2274"/>
      <c r="AB34" s="2274"/>
      <c r="AC34" s="2274"/>
      <c r="AD34" s="2274"/>
      <c r="AE34" s="2274"/>
      <c r="AF34" s="336"/>
      <c r="AG34" s="2274" t="str">
        <f>IF(TITLE_DATE_PR_CHANGE="",IF(TITLE_DATE_PR="","",TITLE_DATE_PR),TITLE_DATE_PR_CHANGE)</f>
        <v/>
      </c>
      <c r="AH34" s="2274"/>
      <c r="AI34" s="2274"/>
      <c r="AJ34" s="2274"/>
      <c r="AK34" s="2274"/>
      <c r="AL34" s="2274"/>
      <c r="AM34" s="2274"/>
      <c r="AN34" s="2274"/>
      <c r="AO34" s="336"/>
      <c r="AP34" s="336"/>
      <c r="AQ34" s="290"/>
      <c r="AR34" s="378"/>
      <c r="AS34" s="378"/>
      <c r="AT34" s="378"/>
      <c r="AU34" s="378"/>
      <c r="AV34" s="378"/>
      <c r="AW34" s="428">
        <v>0</v>
      </c>
    </row>
    <row s="1863" customFormat="1" customHeight="1" ht="18.75" hidden="1">
      <c r="A35" s="1258"/>
      <c r="B35" s="1258"/>
      <c r="C35" s="1258"/>
      <c r="D35" s="1258"/>
      <c r="E35" s="1258"/>
      <c r="F35" s="1258"/>
      <c r="G35" s="1258"/>
      <c r="H35" s="1258"/>
      <c r="I35" s="1258"/>
      <c r="J35" s="1258"/>
      <c r="K35" s="1258"/>
      <c r="L35" s="1258"/>
      <c r="M35" s="1390"/>
      <c r="N35" s="1258"/>
      <c r="O35" s="1258"/>
      <c r="P35" s="1258"/>
      <c r="U35" s="2260" t="s">
        <v>446</v>
      </c>
      <c r="V35" s="2260"/>
      <c r="W35" s="1382"/>
      <c r="X35" s="2261" t="str">
        <f>IF(TITLE_NUMBER_PR_CHANGE="",IF(TITLE_NUMBER_PR="","",TITLE_NUMBER_PR),TITLE_NUMBER_PR_CHANGE)</f>
        <v/>
      </c>
      <c r="Y35" s="2261"/>
      <c r="Z35" s="2261"/>
      <c r="AA35" s="2261"/>
      <c r="AB35" s="2261"/>
      <c r="AC35" s="2261"/>
      <c r="AD35" s="2261"/>
      <c r="AE35" s="2261"/>
      <c r="AF35" s="336"/>
      <c r="AG35" s="2261" t="str">
        <f>IF(TITLE_NUMBER_PR_CHANGE="",IF(TITLE_NUMBER_PR="","",TITLE_NUMBER_PR),TITLE_NUMBER_PR_CHANGE)</f>
        <v/>
      </c>
      <c r="AH35" s="2261"/>
      <c r="AI35" s="2261"/>
      <c r="AJ35" s="2261"/>
      <c r="AK35" s="2261"/>
      <c r="AL35" s="2261"/>
      <c r="AM35" s="2261"/>
      <c r="AN35" s="2261"/>
      <c r="AO35" s="336"/>
      <c r="AP35" s="336"/>
      <c r="AQ35" s="290"/>
      <c r="AR35" s="378"/>
      <c r="AS35" s="378"/>
      <c r="AT35" s="378"/>
      <c r="AU35" s="378"/>
      <c r="AV35" s="378"/>
      <c r="AW35" s="428">
        <v>0</v>
      </c>
    </row>
    <row s="1863" customFormat="1" customHeight="1" ht="18.75" hidden="1">
      <c r="A36" s="1258"/>
      <c r="B36" s="1258"/>
      <c r="C36" s="1258"/>
      <c r="D36" s="1258"/>
      <c r="E36" s="1258"/>
      <c r="F36" s="1258"/>
      <c r="G36" s="1258"/>
      <c r="H36" s="1258"/>
      <c r="I36" s="1258"/>
      <c r="J36" s="1258"/>
      <c r="K36" s="1258"/>
      <c r="L36" s="1258"/>
      <c r="M36" s="1390"/>
      <c r="N36" s="1258"/>
      <c r="O36" s="1258"/>
      <c r="P36" s="1258"/>
      <c r="U36" s="2260" t="s">
        <v>43</v>
      </c>
      <c r="V36" s="2260"/>
      <c r="W36" s="1382"/>
      <c r="X36" s="2261" t="str">
        <f>IF(TITLE_IST_PUB_CHANGE="",IF(TITLE_IST_PUB="","",TITLE_IST_PUB),TITLE_IST_PUB_CHANGE)</f>
        <v/>
      </c>
      <c r="Y36" s="2261"/>
      <c r="Z36" s="2261"/>
      <c r="AA36" s="2261"/>
      <c r="AB36" s="2261"/>
      <c r="AC36" s="2261"/>
      <c r="AD36" s="2261"/>
      <c r="AE36" s="2261"/>
      <c r="AF36" s="336"/>
      <c r="AG36" s="2261" t="str">
        <f>IF(TITLE_IST_PUB_CHANGE="",IF(TITLE_IST_PUB="","",TITLE_IST_PUB),TITLE_IST_PUB_CHANGE)</f>
        <v/>
      </c>
      <c r="AH36" s="2261"/>
      <c r="AI36" s="2261"/>
      <c r="AJ36" s="2261"/>
      <c r="AK36" s="2261"/>
      <c r="AL36" s="2261"/>
      <c r="AM36" s="2261"/>
      <c r="AN36" s="2261"/>
      <c r="AO36" s="336"/>
      <c r="AP36" s="336"/>
      <c r="AQ36" s="290"/>
      <c r="AR36" s="378"/>
      <c r="AS36" s="378"/>
      <c r="AT36" s="378"/>
      <c r="AU36" s="378"/>
      <c r="AV36" s="378"/>
      <c r="AW36" s="428">
        <v>0</v>
      </c>
    </row>
    <row customHeight="1" ht="14.25" hidden="1">
      <c r="R37" s="386"/>
      <c r="S37" s="386"/>
      <c r="T37" s="386"/>
      <c r="U37" s="1285"/>
      <c r="V37" s="373"/>
      <c r="W37" s="373"/>
      <c r="X37" s="332"/>
      <c r="Y37" s="332"/>
      <c r="Z37" s="332"/>
      <c r="AA37" s="332"/>
      <c r="AB37" s="332"/>
      <c r="AC37" s="332"/>
      <c r="AD37" s="332"/>
      <c r="AE37" s="332"/>
      <c r="AF37" s="332"/>
      <c r="AG37" s="332"/>
      <c r="AH37" s="332"/>
      <c r="AI37" s="332"/>
      <c r="AJ37" s="332"/>
      <c r="AK37" s="332"/>
      <c r="AL37" s="332"/>
      <c r="AM37" s="332"/>
      <c r="AN37" s="332"/>
      <c r="AO37" s="332"/>
      <c r="AP37" s="519"/>
      <c r="AW37" s="1165">
        <v>0</v>
      </c>
    </row>
    <row s="1863" customFormat="1" customHeight="1" ht="18.75" hidden="1">
      <c r="A38" s="1258"/>
      <c r="B38" s="1258"/>
      <c r="C38" s="1258"/>
      <c r="D38" s="1258"/>
      <c r="E38" s="1258"/>
      <c r="F38" s="1258"/>
      <c r="G38" s="1258"/>
      <c r="H38" s="1258"/>
      <c r="I38" s="1258"/>
      <c r="J38" s="1258"/>
      <c r="K38" s="1258"/>
      <c r="L38" s="1258"/>
      <c r="M38" s="1390"/>
      <c r="N38" s="1258"/>
      <c r="O38" s="1258"/>
      <c r="P38" s="1258"/>
      <c r="U38" s="2260" t="s">
        <v>447</v>
      </c>
      <c r="V38" s="2260"/>
      <c r="W38" s="1382"/>
      <c r="X38" s="2274" t="str">
        <f>IF(TITLE_DATE_PR_CHANGE="",IF(TITLE_DATE_PR="","",TITLE_DATE_PR),TITLE_DATE_PR_CHANGE)</f>
        <v/>
      </c>
      <c r="Y38" s="2274"/>
      <c r="Z38" s="2274"/>
      <c r="AA38" s="2274"/>
      <c r="AB38" s="2274"/>
      <c r="AC38" s="2274"/>
      <c r="AD38" s="2274"/>
      <c r="AE38" s="2274"/>
      <c r="AF38" s="336"/>
      <c r="AG38" s="2274" t="str">
        <f>IF(TITLE_DATE_PR_CHANGE="",IF(TITLE_DATE_PR="","",TITLE_DATE_PR),TITLE_DATE_PR_CHANGE)</f>
        <v/>
      </c>
      <c r="AH38" s="2274"/>
      <c r="AI38" s="2274"/>
      <c r="AJ38" s="2274"/>
      <c r="AK38" s="2274"/>
      <c r="AL38" s="2274"/>
      <c r="AM38" s="2274"/>
      <c r="AN38" s="2274"/>
      <c r="AO38" s="336"/>
      <c r="AP38" s="336"/>
      <c r="AQ38" s="290"/>
      <c r="AR38" s="378"/>
      <c r="AS38" s="378"/>
      <c r="AT38" s="378"/>
      <c r="AU38" s="378"/>
      <c r="AV38" s="378"/>
      <c r="AW38" s="428">
        <v>0</v>
      </c>
    </row>
    <row s="1863" customFormat="1" customHeight="1" ht="18.75" hidden="1">
      <c r="A39" s="1258"/>
      <c r="B39" s="1258"/>
      <c r="C39" s="1258"/>
      <c r="D39" s="1258"/>
      <c r="E39" s="1258"/>
      <c r="F39" s="1258"/>
      <c r="G39" s="1258"/>
      <c r="H39" s="1258"/>
      <c r="I39" s="1258"/>
      <c r="J39" s="1258"/>
      <c r="K39" s="1258"/>
      <c r="L39" s="1258"/>
      <c r="M39" s="1390"/>
      <c r="N39" s="1258"/>
      <c r="O39" s="1258"/>
      <c r="P39" s="1258"/>
      <c r="U39" s="2260" t="s">
        <v>448</v>
      </c>
      <c r="V39" s="2260"/>
      <c r="W39" s="1382"/>
      <c r="X39" s="2261" t="str">
        <f>IF(TITLE_NUMBER_PR_CHANGE="",IF(TITLE_NUMBER_PR="","",TITLE_NUMBER_PR),TITLE_NUMBER_PR_CHANGE)</f>
        <v/>
      </c>
      <c r="Y39" s="2261"/>
      <c r="Z39" s="2261"/>
      <c r="AA39" s="2261"/>
      <c r="AB39" s="2261"/>
      <c r="AC39" s="2261"/>
      <c r="AD39" s="2261"/>
      <c r="AE39" s="2261"/>
      <c r="AF39" s="336"/>
      <c r="AG39" s="2261" t="str">
        <f>IF(TITLE_NUMBER_PR_CHANGE="",IF(TITLE_NUMBER_PR="","",TITLE_NUMBER_PR),TITLE_NUMBER_PR_CHANGE)</f>
        <v/>
      </c>
      <c r="AH39" s="2261"/>
      <c r="AI39" s="2261"/>
      <c r="AJ39" s="2261"/>
      <c r="AK39" s="2261"/>
      <c r="AL39" s="2261"/>
      <c r="AM39" s="2261"/>
      <c r="AN39" s="2261"/>
      <c r="AO39" s="336"/>
      <c r="AP39" s="336"/>
      <c r="AQ39" s="290"/>
      <c r="AR39" s="378"/>
      <c r="AS39" s="378"/>
      <c r="AT39" s="378"/>
      <c r="AU39" s="378"/>
      <c r="AV39" s="378"/>
      <c r="AW39" s="428">
        <v>0</v>
      </c>
    </row>
    <row s="1863" customFormat="1" customHeight="1" ht="0">
      <c r="A40" s="1258"/>
      <c r="B40" s="1258"/>
      <c r="C40" s="1258"/>
      <c r="D40" s="1258"/>
      <c r="E40" s="1258"/>
      <c r="F40" s="1258"/>
      <c r="G40" s="1258"/>
      <c r="H40" s="1258"/>
      <c r="I40" s="1258"/>
      <c r="J40" s="1258"/>
      <c r="K40" s="1258"/>
      <c r="L40" s="1258"/>
      <c r="M40" s="1390"/>
      <c r="N40" s="1258"/>
      <c r="O40" s="1258"/>
      <c r="P40" s="1258"/>
      <c r="U40" s="333"/>
      <c r="V40" s="333"/>
      <c r="W40" s="1350"/>
      <c r="X40" s="336"/>
      <c r="Y40" s="336"/>
      <c r="Z40" s="336"/>
      <c r="AA40" s="336"/>
      <c r="AB40" s="336"/>
      <c r="AC40" s="336"/>
      <c r="AD40" s="336"/>
      <c r="AE40" s="336"/>
      <c r="AF40" s="288" t="s">
        <v>449</v>
      </c>
      <c r="AG40" s="336"/>
      <c r="AH40" s="336"/>
      <c r="AI40" s="336"/>
      <c r="AJ40" s="336"/>
      <c r="AK40" s="336"/>
      <c r="AL40" s="336"/>
      <c r="AM40" s="336"/>
      <c r="AN40" s="336"/>
      <c r="AO40" s="288" t="s">
        <v>449</v>
      </c>
      <c r="AR40" s="378"/>
      <c r="AS40" s="378"/>
      <c r="AT40" s="378"/>
      <c r="AU40" s="378"/>
      <c r="AV40" s="378"/>
      <c r="AW40" s="428">
        <v>0</v>
      </c>
    </row>
    <row customHeight="1" ht="14.699999999999998">
      <c r="R41" s="386"/>
      <c r="S41" s="386"/>
      <c r="T41" s="386"/>
      <c r="U41" s="1285"/>
      <c r="V41" s="373"/>
      <c r="W41" s="1254"/>
      <c r="X41" s="2262"/>
      <c r="Y41" s="2262"/>
      <c r="Z41" s="2262"/>
      <c r="AA41" s="2262"/>
      <c r="AB41" s="2262"/>
      <c r="AC41" s="2262"/>
      <c r="AD41" s="2262"/>
      <c r="AE41" s="2262"/>
      <c r="AF41" s="2262"/>
      <c r="AG41" s="2262"/>
      <c r="AH41" s="2262"/>
      <c r="AI41" s="2262"/>
      <c r="AJ41" s="2262"/>
      <c r="AK41" s="2262"/>
      <c r="AL41" s="2262"/>
      <c r="AM41" s="2262"/>
      <c r="AN41" s="2262"/>
      <c r="AO41" s="2262"/>
      <c r="AW41" s="1165">
        <v>14</v>
      </c>
    </row>
    <row customHeight="1" ht="14.699999999999998">
      <c r="R42" s="386"/>
      <c r="S42" s="386"/>
      <c r="T42" s="386"/>
      <c r="U42" s="2137" t="s">
        <v>322</v>
      </c>
      <c r="V42" s="2137"/>
      <c r="W42" s="2137"/>
      <c r="X42" s="2137"/>
      <c r="Y42" s="2137"/>
      <c r="Z42" s="2137"/>
      <c r="AA42" s="2137"/>
      <c r="AB42" s="2137"/>
      <c r="AC42" s="2137"/>
      <c r="AD42" s="2137"/>
      <c r="AE42" s="2137"/>
      <c r="AF42" s="2137"/>
      <c r="AG42" s="2137"/>
      <c r="AH42" s="2137"/>
      <c r="AI42" s="2137"/>
      <c r="AJ42" s="2137"/>
      <c r="AK42" s="2137"/>
      <c r="AL42" s="2137"/>
      <c r="AM42" s="2137"/>
      <c r="AN42" s="2137"/>
      <c r="AO42" s="2137"/>
      <c r="AP42" s="2137"/>
      <c r="AQ42" s="2137" t="s">
        <v>323</v>
      </c>
      <c r="AW42" s="1165">
        <v>14</v>
      </c>
    </row>
    <row customHeight="1" ht="14.699999999999998">
      <c r="R43" s="386"/>
      <c r="S43" s="386"/>
      <c r="T43" s="386"/>
      <c r="U43" s="2283" t="s">
        <v>88</v>
      </c>
      <c r="V43" s="2219" t="s">
        <v>450</v>
      </c>
      <c r="W43" s="311"/>
      <c r="X43" s="2284" t="s">
        <v>451</v>
      </c>
      <c r="Y43" s="2301"/>
      <c r="Z43" s="2301"/>
      <c r="AA43" s="2301"/>
      <c r="AB43" s="2301"/>
      <c r="AC43" s="2285"/>
      <c r="AD43" s="2285"/>
      <c r="AE43" s="2286"/>
      <c r="AF43" s="2287" t="s">
        <v>452</v>
      </c>
      <c r="AG43" s="2284" t="s">
        <v>451</v>
      </c>
      <c r="AH43" s="2301"/>
      <c r="AI43" s="2301"/>
      <c r="AJ43" s="2301"/>
      <c r="AK43" s="2301"/>
      <c r="AL43" s="2285"/>
      <c r="AM43" s="2285"/>
      <c r="AN43" s="2286"/>
      <c r="AO43" s="2287" t="s">
        <v>453</v>
      </c>
      <c r="AP43" s="2290" t="s">
        <v>454</v>
      </c>
      <c r="AQ43" s="2137"/>
      <c r="AW43" s="1165">
        <v>14</v>
      </c>
    </row>
    <row customHeight="1" ht="35.699999999999996">
      <c r="R44" s="386"/>
      <c r="S44" s="386"/>
      <c r="T44" s="386"/>
      <c r="U44" s="2283"/>
      <c r="V44" s="2219"/>
      <c r="W44" s="1041"/>
      <c r="X44" s="2304" t="s">
        <v>477</v>
      </c>
      <c r="Y44" s="2322" t="s">
        <v>478</v>
      </c>
      <c r="Z44" s="2322"/>
      <c r="AA44" s="2322"/>
      <c r="AB44" s="2322"/>
      <c r="AC44" s="2304" t="s">
        <v>458</v>
      </c>
      <c r="AD44" s="2621"/>
      <c r="AE44" s="2324"/>
      <c r="AF44" s="2288"/>
      <c r="AG44" s="2304" t="s">
        <v>477</v>
      </c>
      <c r="AH44" s="2322" t="s">
        <v>478</v>
      </c>
      <c r="AI44" s="2322"/>
      <c r="AJ44" s="2322"/>
      <c r="AK44" s="2322"/>
      <c r="AL44" s="2304" t="s">
        <v>458</v>
      </c>
      <c r="AM44" s="2621"/>
      <c r="AN44" s="2324"/>
      <c r="AO44" s="2288"/>
      <c r="AP44" s="2291"/>
      <c r="AQ44" s="2137"/>
      <c r="AW44" s="1165">
        <v>34</v>
      </c>
    </row>
    <row customHeight="1" ht="14.699999999999998">
      <c r="R45" s="386"/>
      <c r="S45" s="386"/>
      <c r="T45" s="386"/>
      <c r="U45" s="2283"/>
      <c r="V45" s="2219"/>
      <c r="W45" s="1041"/>
      <c r="X45" s="2335"/>
      <c r="Y45" s="2327" t="s">
        <v>479</v>
      </c>
      <c r="Z45" s="2280" t="s">
        <v>480</v>
      </c>
      <c r="AA45" s="2330"/>
      <c r="AB45" s="2281"/>
      <c r="AC45" s="2305"/>
      <c r="AD45" s="2622"/>
      <c r="AE45" s="2326"/>
      <c r="AF45" s="2288"/>
      <c r="AG45" s="2335"/>
      <c r="AH45" s="2327" t="s">
        <v>479</v>
      </c>
      <c r="AI45" s="2280" t="s">
        <v>480</v>
      </c>
      <c r="AJ45" s="2330"/>
      <c r="AK45" s="2281"/>
      <c r="AL45" s="2305"/>
      <c r="AM45" s="2622"/>
      <c r="AN45" s="2326"/>
      <c r="AO45" s="2288"/>
      <c r="AP45" s="2291"/>
      <c r="AQ45" s="2137"/>
      <c r="AW45" s="1165">
        <v>14</v>
      </c>
    </row>
    <row customHeight="1" ht="27.299999999999997">
      <c r="R46" s="386"/>
      <c r="S46" s="386"/>
      <c r="T46" s="386"/>
      <c r="U46" s="2283"/>
      <c r="V46" s="2219"/>
      <c r="W46" s="1041"/>
      <c r="X46" s="2335"/>
      <c r="Y46" s="2328"/>
      <c r="Z46" s="2327" t="s">
        <v>481</v>
      </c>
      <c r="AA46" s="2280" t="s">
        <v>482</v>
      </c>
      <c r="AB46" s="2281"/>
      <c r="AC46" s="2327" t="s">
        <v>468</v>
      </c>
      <c r="AD46" s="2331" t="s">
        <v>469</v>
      </c>
      <c r="AE46" s="2332"/>
      <c r="AF46" s="2288"/>
      <c r="AG46" s="2335"/>
      <c r="AH46" s="2328"/>
      <c r="AI46" s="2327" t="s">
        <v>481</v>
      </c>
      <c r="AJ46" s="2280" t="s">
        <v>482</v>
      </c>
      <c r="AK46" s="2281"/>
      <c r="AL46" s="2327" t="s">
        <v>468</v>
      </c>
      <c r="AM46" s="2331" t="s">
        <v>469</v>
      </c>
      <c r="AN46" s="2332"/>
      <c r="AO46" s="2288"/>
      <c r="AP46" s="2291"/>
      <c r="AQ46" s="2137"/>
      <c r="AW46" s="1165">
        <v>26</v>
      </c>
    </row>
    <row customHeight="1" ht="65.25">
      <c r="A47" s="1269"/>
      <c r="B47" s="1269" t="s">
        <v>159</v>
      </c>
      <c r="C47" s="1269" t="s">
        <v>160</v>
      </c>
      <c r="D47" s="1269" t="s">
        <v>161</v>
      </c>
      <c r="E47" s="1320" t="s">
        <v>459</v>
      </c>
      <c r="F47" s="1320" t="s">
        <v>460</v>
      </c>
      <c r="G47" s="1320" t="s">
        <v>461</v>
      </c>
      <c r="H47" s="1320" t="s">
        <v>462</v>
      </c>
      <c r="I47" s="1320" t="s">
        <v>463</v>
      </c>
      <c r="J47" s="1320" t="s">
        <v>464</v>
      </c>
      <c r="K47" s="1320" t="s">
        <v>465</v>
      </c>
      <c r="L47" s="1320" t="s">
        <v>483</v>
      </c>
      <c r="M47" s="1320" t="s">
        <v>440</v>
      </c>
      <c r="R47" s="386"/>
      <c r="S47" s="386"/>
      <c r="T47" s="386"/>
      <c r="U47" s="2283"/>
      <c r="V47" s="2219"/>
      <c r="W47" s="312"/>
      <c r="X47" s="2305"/>
      <c r="Y47" s="2329"/>
      <c r="Z47" s="2329"/>
      <c r="AA47" s="1232" t="s">
        <v>484</v>
      </c>
      <c r="AB47" s="1232" t="s">
        <v>485</v>
      </c>
      <c r="AC47" s="2329"/>
      <c r="AD47" s="2333"/>
      <c r="AE47" s="2334"/>
      <c r="AF47" s="2289"/>
      <c r="AG47" s="2305"/>
      <c r="AH47" s="2329"/>
      <c r="AI47" s="2329"/>
      <c r="AJ47" s="1232" t="s">
        <v>484</v>
      </c>
      <c r="AK47" s="1232" t="s">
        <v>485</v>
      </c>
      <c r="AL47" s="2329"/>
      <c r="AM47" s="2333"/>
      <c r="AN47" s="2334"/>
      <c r="AO47" s="2289"/>
      <c r="AP47" s="2292"/>
      <c r="AQ47" s="2137"/>
      <c r="AW47" s="1165">
        <v>62</v>
      </c>
    </row>
    <row s="1651" customFormat="1" customHeight="1" ht="11.25" hidden="1">
      <c r="A48" s="1269"/>
      <c r="B48" s="1269"/>
      <c r="C48" s="1269"/>
      <c r="D48" s="1269"/>
      <c r="E48" s="1269"/>
      <c r="F48" s="1269"/>
      <c r="G48" s="1269"/>
      <c r="H48" s="1269"/>
      <c r="I48" s="1269"/>
      <c r="J48" s="1269"/>
      <c r="K48" s="1269"/>
      <c r="L48" s="1269"/>
      <c r="M48" s="1320"/>
      <c r="N48" s="1338"/>
      <c r="O48" s="1338"/>
      <c r="P48" s="1338"/>
      <c r="Q48" s="1256"/>
      <c r="R48" s="1257"/>
      <c r="S48" s="1264">
        <v>1</v>
      </c>
      <c r="T48" s="1264"/>
      <c r="U48" s="1287" t="s">
        <v>124</v>
      </c>
      <c r="V48" s="1265" t="s">
        <v>104</v>
      </c>
      <c r="W48" s="1255" t="str">
        <f>OFFSET(W48,0,-1)</f>
        <v>2</v>
      </c>
      <c r="X48" s="1345">
        <f>OFFSET(X48,0,-1)+1</f>
        <v>3</v>
      </c>
      <c r="Y48" s="1351"/>
      <c r="Z48" s="1351"/>
      <c r="AA48" s="1351">
        <f>OFFSET(AA48,0,-1)+1</f>
        <v>1</v>
      </c>
      <c r="AB48" s="1351">
        <f>OFFSET(AB48,0,-1)+1</f>
        <v>2</v>
      </c>
      <c r="AC48" s="1345">
        <f>OFFSET(AC48,0,-1)+1</f>
        <v>3</v>
      </c>
      <c r="AD48" s="2282">
        <f>OFFSET(AD48,0,-1)+1</f>
        <v>4</v>
      </c>
      <c r="AE48" s="2282"/>
      <c r="AF48" s="1345">
        <f>OFFSET(AF48,0,-2)+1</f>
        <v>5</v>
      </c>
      <c r="AG48" s="1345">
        <f>OFFSET(AG48,0,-1)+1</f>
        <v>6</v>
      </c>
      <c r="AH48" s="1345"/>
      <c r="AI48" s="1345"/>
      <c r="AJ48" s="1345">
        <f>OFFSET(AJ48,0,-1)+1</f>
        <v>1</v>
      </c>
      <c r="AK48" s="1345">
        <f>OFFSET(AK48,0,-1)+1</f>
        <v>2</v>
      </c>
      <c r="AL48" s="1345">
        <f>OFFSET(AL48,0,-1)+1</f>
        <v>3</v>
      </c>
      <c r="AM48" s="2282">
        <f>OFFSET(AM48,0,-1)+1</f>
        <v>4</v>
      </c>
      <c r="AN48" s="2282"/>
      <c r="AO48" s="1345">
        <f>OFFSET(AO48,0,-2)+1</f>
        <v>5</v>
      </c>
      <c r="AP48" s="1255">
        <f>OFFSET(AP48,0,-1)</f>
        <v>5</v>
      </c>
      <c r="AQ48" s="1345">
        <f>OFFSET(AQ48,0,-1)+1</f>
        <v>6</v>
      </c>
      <c r="AR48" s="521"/>
      <c r="AS48" s="521"/>
      <c r="AT48" s="521"/>
      <c r="AU48" s="521"/>
      <c r="AV48" s="521"/>
      <c r="AW48" s="506">
        <v>0</v>
      </c>
    </row>
    <row customHeight="1" ht="22.049999999999997">
      <c r="A49" s="1277" t="s">
        <v>198</v>
      </c>
      <c r="B49" s="1277"/>
      <c r="C49" s="1277"/>
      <c r="D49" s="1277"/>
      <c r="E49" s="2299">
        <v>1</v>
      </c>
      <c r="F49" s="1277"/>
      <c r="G49" s="1277"/>
      <c r="H49" s="1277"/>
      <c r="I49" s="1277"/>
      <c r="J49" s="1277"/>
      <c r="K49" s="1277"/>
      <c r="L49" s="1277"/>
      <c r="M49" s="1320"/>
      <c r="N49" s="698"/>
      <c r="O49" s="698"/>
      <c r="P49" s="698"/>
      <c r="Q49" s="371"/>
      <c r="R49" s="370"/>
      <c r="S49" s="370"/>
      <c r="T49" s="365"/>
      <c r="U49" s="1346">
        <f>INDEX(PT_DIFFERENTIATION_NUM_NTAR,MATCH(A49,PT_DIFFERENTIATION_NTAR_ID,0))</f>
        <v>0</v>
      </c>
      <c r="V49" s="308" t="s">
        <v>147</v>
      </c>
      <c r="W49" s="310"/>
      <c r="X49" s="2252"/>
      <c r="Y49" s="2253"/>
      <c r="Z49" s="2253"/>
      <c r="AA49" s="2253"/>
      <c r="AB49" s="2253"/>
      <c r="AC49" s="2253"/>
      <c r="AD49" s="2253"/>
      <c r="AE49" s="2253"/>
      <c r="AF49" s="2254"/>
      <c r="AG49" s="2252" t="str">
        <f>INDEX(PT_DIFFERENTIATION_NTAR,MATCH(A49,PT_DIFFERENTIATION_NTAR_ID,0))</f>
        <v/>
      </c>
      <c r="AH49" s="2253"/>
      <c r="AI49" s="2253"/>
      <c r="AJ49" s="2253"/>
      <c r="AK49" s="2253"/>
      <c r="AL49" s="2253"/>
      <c r="AM49" s="2253"/>
      <c r="AN49" s="2253"/>
      <c r="AO49" s="2253"/>
      <c r="AP49" s="2254"/>
      <c r="AQ49" s="126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10"/>
      <c r="AT49" s="510" t="str">
        <f>IF(V49="","",V49)</f>
        <v>Наименование тарифа</v>
      </c>
      <c r="AU49" s="510"/>
      <c r="AV49" s="510"/>
      <c r="AW49" s="1165">
        <v>21</v>
      </c>
    </row>
    <row customHeight="1" ht="22.049999999999997">
      <c r="A50" s="1277" t="s">
        <v>198</v>
      </c>
      <c r="B50" s="1277" t="s">
        <v>199</v>
      </c>
      <c r="C50" s="1277"/>
      <c r="D50" s="1277"/>
      <c r="E50" s="2300"/>
      <c r="F50" s="2299">
        <v>1</v>
      </c>
      <c r="G50" s="1277"/>
      <c r="H50" s="1277"/>
      <c r="I50" s="1277"/>
      <c r="J50" s="1277"/>
      <c r="K50" s="1277"/>
      <c r="L50" s="1277"/>
      <c r="M50" s="1320"/>
      <c r="N50" s="698"/>
      <c r="O50" s="698"/>
      <c r="P50" s="698"/>
      <c r="Q50" s="1342"/>
      <c r="R50" s="362"/>
      <c r="S50" s="519"/>
      <c r="T50" s="363"/>
      <c r="U50" s="1346" t="str">
        <f>INDEX(PT_DIFFERENTIATION_NUM_TER,MATCH(B50,PT_DIFFERENTIATION_TER_ID,0))</f>
        <v>.</v>
      </c>
      <c r="V50" s="318" t="s">
        <v>419</v>
      </c>
      <c r="W50" s="310"/>
      <c r="X50" s="2252"/>
      <c r="Y50" s="2253"/>
      <c r="Z50" s="2253"/>
      <c r="AA50" s="2253"/>
      <c r="AB50" s="2253"/>
      <c r="AC50" s="2253"/>
      <c r="AD50" s="2253"/>
      <c r="AE50" s="2253"/>
      <c r="AF50" s="2254"/>
      <c r="AG50" s="2252" t="str">
        <f>INDEX(PT_DIFFERENTIATION_TER,MATCH(B50,PT_DIFFERENTIATION_TER_ID,0))</f>
        <v/>
      </c>
      <c r="AH50" s="2253"/>
      <c r="AI50" s="2253"/>
      <c r="AJ50" s="2253"/>
      <c r="AK50" s="2253"/>
      <c r="AL50" s="2253"/>
      <c r="AM50" s="2253"/>
      <c r="AN50" s="2253"/>
      <c r="AO50" s="2253"/>
      <c r="AP50" s="2254"/>
      <c r="AQ50" s="1268" t="s">
        <v>420</v>
      </c>
      <c r="AS50" s="510"/>
      <c r="AT50" s="510" t="str">
        <f>IF(V50="","",V50)</f>
        <v>Территория действия тарифа</v>
      </c>
      <c r="AU50" s="510"/>
      <c r="AV50" s="510"/>
      <c r="AW50" s="1165">
        <v>21</v>
      </c>
    </row>
    <row customHeight="1" ht="24">
      <c r="A51" s="1277" t="s">
        <v>198</v>
      </c>
      <c r="B51" s="1277" t="s">
        <v>199</v>
      </c>
      <c r="C51" s="1277" t="s">
        <v>200</v>
      </c>
      <c r="D51" s="1277"/>
      <c r="E51" s="2300"/>
      <c r="F51" s="2300"/>
      <c r="G51" s="2299">
        <v>1</v>
      </c>
      <c r="H51" s="1277"/>
      <c r="I51" s="1277"/>
      <c r="J51" s="1277"/>
      <c r="K51" s="1277"/>
      <c r="L51" s="1277"/>
      <c r="M51" s="1320"/>
      <c r="N51" s="698"/>
      <c r="O51" s="698"/>
      <c r="P51" s="698"/>
      <c r="Q51" s="364"/>
      <c r="R51" s="362"/>
      <c r="S51" s="519"/>
      <c r="T51" s="363"/>
      <c r="U51" s="1346" t="str">
        <f>INDEX(PT_DIFFERENTIATION_NUM_CS,MATCH(C51,PT_DIFFERENTIATION_CS_ID,0))</f>
        <v>..</v>
      </c>
      <c r="V51" s="319" t="s">
        <v>421</v>
      </c>
      <c r="W51" s="310"/>
      <c r="X51" s="2252"/>
      <c r="Y51" s="2253"/>
      <c r="Z51" s="2253"/>
      <c r="AA51" s="2253"/>
      <c r="AB51" s="2253"/>
      <c r="AC51" s="2253"/>
      <c r="AD51" s="2253"/>
      <c r="AE51" s="2253"/>
      <c r="AF51" s="2254"/>
      <c r="AG51" s="2252" t="str">
        <f>INDEX(PT_DIFFERENTIATION_CS,MATCH(C51,PT_DIFFERENTIATION_CS_ID,0))</f>
        <v/>
      </c>
      <c r="AH51" s="2253"/>
      <c r="AI51" s="2253"/>
      <c r="AJ51" s="2253"/>
      <c r="AK51" s="2253"/>
      <c r="AL51" s="2253"/>
      <c r="AM51" s="2253"/>
      <c r="AN51" s="2253"/>
      <c r="AO51" s="2253"/>
      <c r="AP51" s="2254"/>
      <c r="AQ51" s="1268" t="s">
        <v>422</v>
      </c>
      <c r="AS51" s="510"/>
      <c r="AT51" s="510" t="str">
        <f>IF(V51="","",V51)</f>
        <v>Наименование системы теплоснабжения </v>
      </c>
      <c r="AU51" s="510"/>
      <c r="AV51" s="510"/>
      <c r="AW51" s="1165">
        <v>23</v>
      </c>
    </row>
    <row customHeight="1" ht="22.049999999999997">
      <c r="A52" s="1277" t="s">
        <v>198</v>
      </c>
      <c r="B52" s="1277" t="s">
        <v>199</v>
      </c>
      <c r="C52" s="1277" t="s">
        <v>200</v>
      </c>
      <c r="D52" s="1277" t="s">
        <v>201</v>
      </c>
      <c r="E52" s="2300"/>
      <c r="F52" s="2300"/>
      <c r="G52" s="2300"/>
      <c r="H52" s="2320">
        <v>1</v>
      </c>
      <c r="I52" s="1277"/>
      <c r="J52" s="1277"/>
      <c r="K52" s="1277"/>
      <c r="L52" s="1277"/>
      <c r="M52" s="1320"/>
      <c r="N52" s="698"/>
      <c r="O52" s="698"/>
      <c r="P52" s="698"/>
      <c r="Q52" s="364"/>
      <c r="R52" s="362"/>
      <c r="S52" s="519"/>
      <c r="T52" s="363"/>
      <c r="U52" s="1346" t="str">
        <f>INDEX(PT_DIFFERENTIATION_NUM_IST_TE,MATCH(D52,PT_DIFFERENTIATION_IST_TE_ID,0))</f>
        <v>...</v>
      </c>
      <c r="V52" s="320" t="s">
        <v>423</v>
      </c>
      <c r="W52" s="310"/>
      <c r="X52" s="2252"/>
      <c r="Y52" s="2253"/>
      <c r="Z52" s="2253"/>
      <c r="AA52" s="2253"/>
      <c r="AB52" s="2253"/>
      <c r="AC52" s="2253"/>
      <c r="AD52" s="2253"/>
      <c r="AE52" s="2253"/>
      <c r="AF52" s="2254"/>
      <c r="AG52" s="2252" t="str">
        <f>INDEX(PT_DIFFERENTIATION_IST_TE,MATCH(D52,PT_DIFFERENTIATION_IST_TE_ID,0))</f>
        <v/>
      </c>
      <c r="AH52" s="2253"/>
      <c r="AI52" s="2253"/>
      <c r="AJ52" s="2253"/>
      <c r="AK52" s="2253"/>
      <c r="AL52" s="2253"/>
      <c r="AM52" s="2253"/>
      <c r="AN52" s="2253"/>
      <c r="AO52" s="2253"/>
      <c r="AP52" s="2254"/>
      <c r="AQ52" s="1268" t="s">
        <v>424</v>
      </c>
      <c r="AS52" s="510"/>
      <c r="AT52" s="510" t="str">
        <f>IF(V52="","",V52)</f>
        <v>Источник тепловой энергии  </v>
      </c>
      <c r="AU52" s="510"/>
      <c r="AV52" s="510"/>
      <c r="AW52" s="1165">
        <v>21</v>
      </c>
    </row>
    <row s="1652" customFormat="1" customHeight="1" ht="0">
      <c r="A53" s="1385" t="s">
        <v>198</v>
      </c>
      <c r="B53" s="1385" t="s">
        <v>199</v>
      </c>
      <c r="C53" s="1385" t="s">
        <v>200</v>
      </c>
      <c r="D53" s="1385" t="s">
        <v>201</v>
      </c>
      <c r="E53" s="2300"/>
      <c r="F53" s="2300"/>
      <c r="G53" s="2300"/>
      <c r="H53" s="2321"/>
      <c r="I53" s="2137" t="str">
        <f>U52&amp;".1"</f>
        <v>....1</v>
      </c>
      <c r="J53" s="1385"/>
      <c r="K53" s="1385"/>
      <c r="L53" s="1385"/>
      <c r="M53" s="1391" t="s">
        <v>425</v>
      </c>
      <c r="N53" s="1256"/>
      <c r="O53" s="1256"/>
      <c r="P53" s="1256"/>
      <c r="Q53" s="2267">
        <v>1</v>
      </c>
      <c r="R53" s="1341"/>
      <c r="S53" s="1341"/>
      <c r="T53" s="366"/>
      <c r="U53" s="1052"/>
      <c r="V53" s="1393"/>
      <c r="W53" s="1394"/>
      <c r="X53" s="2306"/>
      <c r="Y53" s="2307"/>
      <c r="Z53" s="2307"/>
      <c r="AA53" s="2307"/>
      <c r="AB53" s="2307"/>
      <c r="AC53" s="2307"/>
      <c r="AD53" s="2307"/>
      <c r="AE53" s="2307"/>
      <c r="AF53" s="2308"/>
      <c r="AG53" s="2306"/>
      <c r="AH53" s="2307"/>
      <c r="AI53" s="2307"/>
      <c r="AJ53" s="2307"/>
      <c r="AK53" s="2307"/>
      <c r="AL53" s="2307"/>
      <c r="AM53" s="2307"/>
      <c r="AN53" s="2307"/>
      <c r="AO53" s="2307"/>
      <c r="AP53" s="2308"/>
      <c r="AQ53" s="1395"/>
      <c r="AS53" s="510"/>
      <c r="AT53" s="510" t="str">
        <f>IF(V53="","",V53)</f>
        <v/>
      </c>
      <c r="AU53" s="510"/>
      <c r="AV53" s="510"/>
      <c r="AW53" s="521">
        <v>0</v>
      </c>
    </row>
    <row customHeight="1" ht="22.049999999999997">
      <c r="A54" s="1277" t="s">
        <v>198</v>
      </c>
      <c r="B54" s="1277" t="s">
        <v>199</v>
      </c>
      <c r="C54" s="1277" t="s">
        <v>200</v>
      </c>
      <c r="D54" s="1277" t="s">
        <v>201</v>
      </c>
      <c r="E54" s="2300"/>
      <c r="F54" s="2300"/>
      <c r="G54" s="2300"/>
      <c r="H54" s="2321"/>
      <c r="I54" s="2111"/>
      <c r="J54" s="2137" t="str">
        <f>I53&amp;".1"</f>
        <v>....1.1</v>
      </c>
      <c r="K54" s="1277"/>
      <c r="L54" s="1277"/>
      <c r="M54" s="1320" t="s">
        <v>428</v>
      </c>
      <c r="Q54" s="2267"/>
      <c r="R54" s="2267">
        <v>1</v>
      </c>
      <c r="S54" s="528"/>
      <c r="T54" s="367"/>
      <c r="U54" s="1346" t="str">
        <f>$J54</f>
        <v>....1.1</v>
      </c>
      <c r="V54" s="296" t="s">
        <v>429</v>
      </c>
      <c r="W54" s="310"/>
      <c r="X54" s="2255"/>
      <c r="Y54" s="2256"/>
      <c r="Z54" s="2256"/>
      <c r="AA54" s="2256"/>
      <c r="AB54" s="2256"/>
      <c r="AC54" s="2245"/>
      <c r="AD54" s="2245"/>
      <c r="AE54" s="2245"/>
      <c r="AF54" s="2318"/>
      <c r="AG54" s="2255"/>
      <c r="AH54" s="2256"/>
      <c r="AI54" s="2256"/>
      <c r="AJ54" s="2256"/>
      <c r="AK54" s="2256"/>
      <c r="AL54" s="2256"/>
      <c r="AM54" s="2256"/>
      <c r="AN54" s="2256"/>
      <c r="AO54" s="2256"/>
      <c r="AP54" s="2257"/>
      <c r="AQ54" s="1268" t="s">
        <v>430</v>
      </c>
      <c r="AS54" s="510"/>
      <c r="AT54" s="510" t="str">
        <f>IF(V54="","",V54)</f>
        <v>Группа потребителей</v>
      </c>
      <c r="AU54" s="510"/>
      <c r="AV54" s="510"/>
      <c r="AW54" s="1165">
        <v>21</v>
      </c>
    </row>
    <row customHeight="1" ht="22.049999999999997">
      <c r="A55" s="1277" t="s">
        <v>198</v>
      </c>
      <c r="B55" s="1277" t="s">
        <v>199</v>
      </c>
      <c r="C55" s="1277" t="s">
        <v>200</v>
      </c>
      <c r="D55" s="1277" t="s">
        <v>201</v>
      </c>
      <c r="E55" s="2300"/>
      <c r="F55" s="2300"/>
      <c r="G55" s="2300"/>
      <c r="H55" s="2321"/>
      <c r="I55" s="2111"/>
      <c r="J55" s="2111"/>
      <c r="K55" s="2137" t="str">
        <f>J54&amp;".1"</f>
        <v>....1.1.1</v>
      </c>
      <c r="L55" s="149"/>
      <c r="M55" s="1320" t="s">
        <v>431</v>
      </c>
      <c r="Q55" s="2267"/>
      <c r="R55" s="2267"/>
      <c r="S55" s="528">
        <v>1</v>
      </c>
      <c r="T55" s="367"/>
      <c r="U55" s="1346" t="str">
        <f>$K55</f>
        <v>....1.1.1</v>
      </c>
      <c r="V55" s="1357"/>
      <c r="W55" s="310"/>
      <c r="X55" s="761"/>
      <c r="Y55" s="761"/>
      <c r="Z55" s="761"/>
      <c r="AA55" s="761"/>
      <c r="AB55" s="1415"/>
      <c r="AC55" s="2275"/>
      <c r="AD55" s="2117" t="s">
        <v>66</v>
      </c>
      <c r="AE55" s="2275"/>
      <c r="AF55" s="2117" t="s">
        <v>66</v>
      </c>
      <c r="AG55" s="1417"/>
      <c r="AH55" s="761"/>
      <c r="AI55" s="761"/>
      <c r="AJ55" s="761"/>
      <c r="AK55" s="1267"/>
      <c r="AL55" s="2275"/>
      <c r="AM55" s="2117" t="s">
        <v>66</v>
      </c>
      <c r="AN55" s="2275"/>
      <c r="AO55" s="2117" t="s">
        <v>66</v>
      </c>
      <c r="AP55" s="1358"/>
      <c r="AQ55" s="1317" t="s">
        <v>474</v>
      </c>
      <c r="AR55" s="521">
        <f>STRCHECKDATE(X57:AP57)</f>
      </c>
      <c r="AS55" s="510"/>
      <c r="AT55" s="510" t="str">
        <f>IF(V55="","",V55)</f>
        <v/>
      </c>
      <c r="AU55" s="510"/>
      <c r="AV55" s="510"/>
      <c r="AW55" s="1165">
        <v>21</v>
      </c>
    </row>
    <row customHeight="1" ht="11.549999999999999">
      <c r="A56" s="1277" t="s">
        <v>198</v>
      </c>
      <c r="B56" s="1277" t="s">
        <v>199</v>
      </c>
      <c r="C56" s="1277" t="s">
        <v>200</v>
      </c>
      <c r="D56" s="1277" t="s">
        <v>201</v>
      </c>
      <c r="E56" s="2300"/>
      <c r="F56" s="2300"/>
      <c r="G56" s="2300"/>
      <c r="H56" s="2321"/>
      <c r="I56" s="2111"/>
      <c r="J56" s="2111"/>
      <c r="K56" s="2111"/>
      <c r="L56" s="2137" t="str">
        <f>K55&amp;".1"</f>
        <v>....1.1.1.1</v>
      </c>
      <c r="M56" s="1320"/>
      <c r="Q56" s="2267"/>
      <c r="R56" s="2267"/>
      <c r="S56" s="528">
        <v>1</v>
      </c>
      <c r="T56" s="367"/>
      <c r="U56" s="1346" t="str">
        <f>$L56</f>
        <v>....1.1.1.1</v>
      </c>
      <c r="V56" s="1401"/>
      <c r="W56" s="310"/>
      <c r="X56" s="335"/>
      <c r="Y56" s="761"/>
      <c r="Z56" s="761"/>
      <c r="AA56" s="761"/>
      <c r="AB56" s="1415"/>
      <c r="AC56" s="2319"/>
      <c r="AD56" s="2117"/>
      <c r="AE56" s="2319"/>
      <c r="AF56" s="2117"/>
      <c r="AG56" s="1417"/>
      <c r="AH56" s="761"/>
      <c r="AI56" s="761"/>
      <c r="AJ56" s="761"/>
      <c r="AK56" s="1267"/>
      <c r="AL56" s="2319"/>
      <c r="AM56" s="2117"/>
      <c r="AN56" s="2319"/>
      <c r="AO56" s="2117"/>
      <c r="AP56" s="1358"/>
      <c r="AQ56" s="2263" t="s">
        <v>475</v>
      </c>
      <c r="AR56" s="521">
        <f>STRCHECKDATE(X58:AP58)</f>
      </c>
      <c r="AS56" s="510"/>
      <c r="AT56" s="510" t="str">
        <f>IF(V56="","",V56)</f>
        <v/>
      </c>
      <c r="AU56" s="510"/>
      <c r="AV56" s="510"/>
      <c r="AW56" s="1165">
        <v>11</v>
      </c>
    </row>
    <row customHeight="1" ht="0">
      <c r="A57" s="1277" t="s">
        <v>198</v>
      </c>
      <c r="B57" s="1277" t="s">
        <v>199</v>
      </c>
      <c r="C57" s="1277" t="s">
        <v>200</v>
      </c>
      <c r="D57" s="1277" t="s">
        <v>201</v>
      </c>
      <c r="E57" s="2300"/>
      <c r="F57" s="2300"/>
      <c r="G57" s="2300"/>
      <c r="H57" s="2321"/>
      <c r="I57" s="2111"/>
      <c r="J57" s="2111"/>
      <c r="K57" s="2111"/>
      <c r="L57" s="2137"/>
      <c r="M57" s="1320"/>
      <c r="Q57" s="2267"/>
      <c r="R57" s="2267"/>
      <c r="S57" s="528"/>
      <c r="T57" s="367"/>
      <c r="U57" s="1352"/>
      <c r="V57" s="310"/>
      <c r="W57" s="310"/>
      <c r="X57" s="335"/>
      <c r="Y57" s="335"/>
      <c r="Z57" s="335"/>
      <c r="AA57" s="335"/>
      <c r="AB57" s="1416" t="str">
        <f>AC55&amp;"-"&amp;AE55</f>
        <v>-</v>
      </c>
      <c r="AC57" s="2319"/>
      <c r="AD57" s="2117"/>
      <c r="AE57" s="2319"/>
      <c r="AF57" s="2117"/>
      <c r="AG57" s="1392"/>
      <c r="AH57" s="335"/>
      <c r="AI57" s="335"/>
      <c r="AJ57" s="335"/>
      <c r="AK57" s="338" t="str">
        <f>AL55&amp;"-"&amp;AN55</f>
        <v>-</v>
      </c>
      <c r="AL57" s="2319"/>
      <c r="AM57" s="2117"/>
      <c r="AN57" s="2319"/>
      <c r="AO57" s="2117"/>
      <c r="AP57" s="1359"/>
      <c r="AQ57" s="2264"/>
      <c r="AS57" s="510"/>
      <c r="AT57" s="510" t="str">
        <f>IF(V57="","",V57)</f>
        <v/>
      </c>
      <c r="AU57" s="510"/>
      <c r="AV57" s="510"/>
      <c r="AW57" s="1165">
        <v>0</v>
      </c>
    </row>
    <row customHeight="1" ht="11.549999999999999">
      <c r="A58" s="1277" t="s">
        <v>198</v>
      </c>
      <c r="B58" s="1277" t="s">
        <v>199</v>
      </c>
      <c r="C58" s="1277" t="s">
        <v>200</v>
      </c>
      <c r="D58" s="1277" t="s">
        <v>201</v>
      </c>
      <c r="E58" s="2300"/>
      <c r="F58" s="2300"/>
      <c r="G58" s="2300"/>
      <c r="H58" s="2321"/>
      <c r="I58" s="2111"/>
      <c r="J58" s="2111"/>
      <c r="K58" s="2137"/>
      <c r="L58" s="1277"/>
      <c r="M58" s="1320"/>
      <c r="Q58" s="2267"/>
      <c r="R58" s="2267"/>
      <c r="S58" s="1341"/>
      <c r="T58" s="366"/>
      <c r="U58" s="1288"/>
      <c r="V58" s="298" t="s">
        <v>476</v>
      </c>
      <c r="W58" s="377"/>
      <c r="X58" s="377"/>
      <c r="Y58" s="377"/>
      <c r="Z58" s="377"/>
      <c r="AA58" s="377"/>
      <c r="AB58" s="377"/>
      <c r="AC58" s="2319"/>
      <c r="AD58" s="2117"/>
      <c r="AE58" s="2319"/>
      <c r="AF58" s="2117"/>
      <c r="AG58" s="377"/>
      <c r="AH58" s="377"/>
      <c r="AI58" s="377"/>
      <c r="AJ58" s="377"/>
      <c r="AK58" s="377"/>
      <c r="AL58" s="2319"/>
      <c r="AM58" s="2117"/>
      <c r="AN58" s="2319"/>
      <c r="AO58" s="2117"/>
      <c r="AP58" s="334"/>
      <c r="AQ58" s="2264"/>
      <c r="AS58" s="510"/>
      <c r="AT58" s="510" t="str">
        <f>IF(V58="","",V58)</f>
        <v>Добавить наименование поставщика</v>
      </c>
      <c r="AU58" s="510"/>
      <c r="AV58" s="510"/>
      <c r="AW58" s="1165">
        <v>11</v>
      </c>
    </row>
    <row customHeight="1" ht="11.549999999999999">
      <c r="A59" s="1277" t="s">
        <v>198</v>
      </c>
      <c r="B59" s="1277" t="s">
        <v>199</v>
      </c>
      <c r="C59" s="1277" t="s">
        <v>200</v>
      </c>
      <c r="D59" s="1277" t="s">
        <v>201</v>
      </c>
      <c r="E59" s="2300"/>
      <c r="F59" s="2300"/>
      <c r="G59" s="2300"/>
      <c r="H59" s="2321"/>
      <c r="I59" s="2111"/>
      <c r="J59" s="2137"/>
      <c r="K59" s="1277"/>
      <c r="L59" s="1277"/>
      <c r="M59" s="1320"/>
      <c r="Q59" s="2267"/>
      <c r="R59" s="2267"/>
      <c r="S59" s="1341"/>
      <c r="T59" s="366"/>
      <c r="U59" s="1288"/>
      <c r="V59" s="297" t="s">
        <v>433</v>
      </c>
      <c r="W59" s="377"/>
      <c r="X59" s="377"/>
      <c r="Y59" s="377"/>
      <c r="Z59" s="377"/>
      <c r="AA59" s="377"/>
      <c r="AB59" s="377"/>
      <c r="AC59" s="1418"/>
      <c r="AD59" s="1418"/>
      <c r="AE59" s="1418"/>
      <c r="AF59" s="1418"/>
      <c r="AG59" s="377"/>
      <c r="AH59" s="377"/>
      <c r="AI59" s="377"/>
      <c r="AJ59" s="377"/>
      <c r="AK59" s="377"/>
      <c r="AL59" s="377"/>
      <c r="AM59" s="377"/>
      <c r="AN59" s="377"/>
      <c r="AO59" s="377"/>
      <c r="AP59" s="334"/>
      <c r="AQ59" s="2265"/>
      <c r="AS59" s="510"/>
      <c r="AT59" s="510" t="str">
        <f>IF(V59="","",V59)</f>
        <v>Добавить вид теплоносителя (параметры теплоносителя)</v>
      </c>
      <c r="AU59" s="510"/>
      <c r="AV59" s="510"/>
      <c r="AW59" s="1165">
        <v>11</v>
      </c>
    </row>
    <row customHeight="1" ht="11.549999999999999">
      <c r="A60" s="1277" t="s">
        <v>198</v>
      </c>
      <c r="B60" s="1277" t="s">
        <v>199</v>
      </c>
      <c r="C60" s="1277" t="s">
        <v>200</v>
      </c>
      <c r="D60" s="1277" t="s">
        <v>201</v>
      </c>
      <c r="E60" s="2300"/>
      <c r="F60" s="2300"/>
      <c r="G60" s="2300"/>
      <c r="H60" s="2321"/>
      <c r="I60" s="2137"/>
      <c r="J60" s="1277"/>
      <c r="K60" s="1277"/>
      <c r="L60" s="1277"/>
      <c r="M60" s="1320"/>
      <c r="Q60" s="2267"/>
      <c r="R60" s="1341"/>
      <c r="S60" s="1341"/>
      <c r="T60" s="366"/>
      <c r="U60" s="1288"/>
      <c r="V60" s="375" t="s">
        <v>434</v>
      </c>
      <c r="W60" s="377"/>
      <c r="X60" s="377"/>
      <c r="Y60" s="377"/>
      <c r="Z60" s="377"/>
      <c r="AA60" s="377"/>
      <c r="AB60" s="377"/>
      <c r="AC60" s="377"/>
      <c r="AD60" s="377"/>
      <c r="AE60" s="377"/>
      <c r="AF60" s="376"/>
      <c r="AG60" s="377"/>
      <c r="AH60" s="377"/>
      <c r="AI60" s="377"/>
      <c r="AJ60" s="377"/>
      <c r="AK60" s="377"/>
      <c r="AL60" s="377"/>
      <c r="AM60" s="377"/>
      <c r="AN60" s="377"/>
      <c r="AO60" s="376"/>
      <c r="AP60" s="377"/>
      <c r="AQ60" s="313"/>
      <c r="AS60" s="510"/>
      <c r="AT60" s="510" t="str">
        <f>IF(V60="","",V60)</f>
        <v>Добавить группу потребителей</v>
      </c>
      <c r="AU60" s="510"/>
      <c r="AV60" s="510"/>
      <c r="AW60" s="1165">
        <v>11</v>
      </c>
    </row>
    <row customHeight="1" ht="0">
      <c r="A61" s="1277" t="s">
        <v>198</v>
      </c>
      <c r="B61" s="1277" t="s">
        <v>199</v>
      </c>
      <c r="C61" s="1277" t="s">
        <v>200</v>
      </c>
      <c r="D61" s="1277" t="s">
        <v>201</v>
      </c>
      <c r="E61" s="2300"/>
      <c r="F61" s="2300"/>
      <c r="G61" s="2300"/>
      <c r="H61" s="2320"/>
      <c r="I61" s="1277"/>
      <c r="J61" s="1277"/>
      <c r="K61" s="1277"/>
      <c r="L61" s="1277"/>
      <c r="M61" s="1320"/>
      <c r="N61" s="698"/>
      <c r="O61" s="698"/>
      <c r="P61" s="519"/>
      <c r="Q61" s="370"/>
      <c r="R61" s="385"/>
      <c r="S61" s="365"/>
      <c r="T61" s="370"/>
      <c r="U61" s="1396"/>
      <c r="V61" s="1397"/>
      <c r="W61" s="1398"/>
      <c r="X61" s="1398"/>
      <c r="Y61" s="1398"/>
      <c r="Z61" s="1398"/>
      <c r="AA61" s="1398"/>
      <c r="AB61" s="1398"/>
      <c r="AC61" s="1398"/>
      <c r="AD61" s="1398"/>
      <c r="AE61" s="1398"/>
      <c r="AF61" s="1398"/>
      <c r="AG61" s="1398"/>
      <c r="AH61" s="1398"/>
      <c r="AI61" s="1398"/>
      <c r="AJ61" s="1398"/>
      <c r="AK61" s="1398"/>
      <c r="AL61" s="1398"/>
      <c r="AM61" s="1398"/>
      <c r="AN61" s="1398"/>
      <c r="AO61" s="1398"/>
      <c r="AP61" s="1398"/>
      <c r="AQ61" s="1399"/>
      <c r="AS61" s="510"/>
      <c r="AT61" s="510" t="str">
        <f>IF(V61="","",V61)</f>
        <v/>
      </c>
      <c r="AU61" s="510"/>
      <c r="AV61" s="510"/>
      <c r="AW61" s="1165">
        <v>0</v>
      </c>
    </row>
    <row s="1652" customFormat="1" customHeight="1" ht="0">
      <c r="A62" s="1385" t="s">
        <v>198</v>
      </c>
      <c r="B62" s="1385" t="s">
        <v>199</v>
      </c>
      <c r="C62" s="1385" t="s">
        <v>200</v>
      </c>
      <c r="D62" s="1384"/>
      <c r="E62" s="2300"/>
      <c r="F62" s="2300"/>
      <c r="G62" s="2299"/>
      <c r="H62" s="1384"/>
      <c r="I62" s="1384"/>
      <c r="J62" s="1384"/>
      <c r="K62" s="1384"/>
      <c r="L62" s="1384"/>
      <c r="M62" s="1387"/>
      <c r="N62" s="1388"/>
      <c r="O62" s="1388"/>
      <c r="P62" s="361"/>
      <c r="Q62" s="1326"/>
      <c r="R62" s="1327"/>
      <c r="S62" s="1326"/>
      <c r="T62" s="1326"/>
      <c r="U62" s="1332"/>
      <c r="V62" s="1335" t="s">
        <v>436</v>
      </c>
      <c r="W62" s="1334"/>
      <c r="X62" s="1334"/>
      <c r="Y62" s="1334"/>
      <c r="Z62" s="1334"/>
      <c r="AA62" s="1334"/>
      <c r="AB62" s="1334"/>
      <c r="AC62" s="1334"/>
      <c r="AD62" s="1334"/>
      <c r="AE62" s="1334"/>
      <c r="AF62" s="1334"/>
      <c r="AG62" s="1334"/>
      <c r="AH62" s="1334"/>
      <c r="AI62" s="1334"/>
      <c r="AJ62" s="1334"/>
      <c r="AK62" s="1334"/>
      <c r="AL62" s="1334"/>
      <c r="AM62" s="1334"/>
      <c r="AN62" s="1334"/>
      <c r="AO62" s="1334"/>
      <c r="AP62" s="1334"/>
      <c r="AQ62" s="1334"/>
      <c r="AS62" s="799"/>
      <c r="AT62" s="799" t="str">
        <f>IF(V62="","",V62)</f>
        <v>Добавить источник для дифференциации</v>
      </c>
      <c r="AU62" s="799"/>
      <c r="AV62" s="799"/>
      <c r="AW62" s="528">
        <v>0</v>
      </c>
    </row>
    <row s="1652" customFormat="1" customHeight="1" ht="0">
      <c r="A63" s="1385" t="s">
        <v>198</v>
      </c>
      <c r="B63" s="1385" t="s">
        <v>199</v>
      </c>
      <c r="C63" s="1384"/>
      <c r="D63" s="1384"/>
      <c r="E63" s="2300"/>
      <c r="F63" s="2299"/>
      <c r="G63" s="1384"/>
      <c r="H63" s="1384"/>
      <c r="I63" s="1384"/>
      <c r="J63" s="1384"/>
      <c r="K63" s="1384"/>
      <c r="L63" s="1384"/>
      <c r="M63" s="1387"/>
      <c r="N63" s="1389"/>
      <c r="O63" s="1389"/>
      <c r="P63" s="361"/>
      <c r="Q63" s="1326"/>
      <c r="R63" s="1327"/>
      <c r="S63" s="1326"/>
      <c r="T63" s="1326"/>
      <c r="U63" s="1332"/>
      <c r="V63" s="1335" t="s">
        <v>437</v>
      </c>
      <c r="W63" s="1334"/>
      <c r="X63" s="1334"/>
      <c r="Y63" s="1334"/>
      <c r="Z63" s="1334"/>
      <c r="AA63" s="1334"/>
      <c r="AB63" s="1334"/>
      <c r="AC63" s="1334"/>
      <c r="AD63" s="1334"/>
      <c r="AE63" s="1334"/>
      <c r="AF63" s="1334"/>
      <c r="AG63" s="1334"/>
      <c r="AH63" s="1334"/>
      <c r="AI63" s="1334"/>
      <c r="AJ63" s="1334"/>
      <c r="AK63" s="1334"/>
      <c r="AL63" s="1334"/>
      <c r="AM63" s="1334"/>
      <c r="AN63" s="1334"/>
      <c r="AO63" s="1334"/>
      <c r="AP63" s="1334"/>
      <c r="AQ63" s="1334"/>
      <c r="AS63" s="799"/>
      <c r="AT63" s="799" t="str">
        <f>IF(V63="","",V63)</f>
        <v>Добавить централизованную систему для дифференциации</v>
      </c>
      <c r="AU63" s="799"/>
      <c r="AV63" s="799"/>
      <c r="AW63" s="528">
        <v>0</v>
      </c>
    </row>
    <row s="1652" customFormat="1" customHeight="1" ht="0">
      <c r="A64" s="1385" t="s">
        <v>198</v>
      </c>
      <c r="B64" s="1385"/>
      <c r="C64" s="1385"/>
      <c r="D64" s="1385"/>
      <c r="E64" s="2299"/>
      <c r="F64" s="1385"/>
      <c r="G64" s="1385"/>
      <c r="H64" s="1385"/>
      <c r="I64" s="1385"/>
      <c r="J64" s="1385"/>
      <c r="K64" s="1385"/>
      <c r="L64" s="1385"/>
      <c r="M64" s="1391"/>
      <c r="N64" s="1389"/>
      <c r="O64" s="1389"/>
      <c r="P64" s="361"/>
      <c r="Q64" s="390"/>
      <c r="R64" s="1354"/>
      <c r="S64" s="390"/>
      <c r="T64" s="390"/>
      <c r="U64" s="1332"/>
      <c r="V64" s="1335" t="s">
        <v>438</v>
      </c>
      <c r="W64" s="1334"/>
      <c r="X64" s="1334"/>
      <c r="Y64" s="1334"/>
      <c r="Z64" s="1334"/>
      <c r="AA64" s="1334"/>
      <c r="AB64" s="1334"/>
      <c r="AC64" s="1334"/>
      <c r="AD64" s="1334"/>
      <c r="AE64" s="1334"/>
      <c r="AF64" s="1334"/>
      <c r="AG64" s="1334"/>
      <c r="AH64" s="1334"/>
      <c r="AI64" s="1334"/>
      <c r="AJ64" s="1334"/>
      <c r="AK64" s="1334"/>
      <c r="AL64" s="1334"/>
      <c r="AM64" s="1334"/>
      <c r="AN64" s="1334"/>
      <c r="AO64" s="1334"/>
      <c r="AP64" s="1334"/>
      <c r="AQ64" s="1334"/>
      <c r="AS64" s="510"/>
      <c r="AT64" s="510" t="str">
        <f>IF(V64="","",V64)</f>
        <v>Добавить территорию для дифференциации</v>
      </c>
      <c r="AU64" s="510"/>
      <c r="AV64" s="510"/>
      <c r="AW64" s="521">
        <v>0</v>
      </c>
    </row>
    <row s="1652" customFormat="1" customHeight="1" ht="4.2">
      <c r="A65" s="1384"/>
      <c r="B65" s="1384"/>
      <c r="C65" s="1384"/>
      <c r="D65" s="1384"/>
      <c r="E65" s="1385"/>
      <c r="F65" s="1384"/>
      <c r="G65" s="1384"/>
      <c r="H65" s="1384"/>
      <c r="I65" s="1384"/>
      <c r="J65" s="1384"/>
      <c r="K65" s="1384"/>
      <c r="L65" s="1384"/>
      <c r="M65" s="1387"/>
      <c r="N65" s="1389"/>
      <c r="O65" s="1389"/>
      <c r="P65" s="361"/>
      <c r="Q65" s="1326"/>
      <c r="R65" s="1327"/>
      <c r="S65" s="1326"/>
      <c r="T65" s="1326"/>
      <c r="U65" s="1332"/>
      <c r="V65" s="1335" t="s">
        <v>470</v>
      </c>
      <c r="W65" s="1334"/>
      <c r="X65" s="1334"/>
      <c r="Y65" s="1334"/>
      <c r="Z65" s="1334"/>
      <c r="AA65" s="1334"/>
      <c r="AB65" s="1334"/>
      <c r="AC65" s="1334"/>
      <c r="AD65" s="1334"/>
      <c r="AE65" s="1334"/>
      <c r="AF65" s="1334"/>
      <c r="AG65" s="1334"/>
      <c r="AH65" s="1334"/>
      <c r="AI65" s="1334"/>
      <c r="AJ65" s="1334"/>
      <c r="AK65" s="1334"/>
      <c r="AL65" s="1334"/>
      <c r="AM65" s="1334"/>
      <c r="AN65" s="1334"/>
      <c r="AO65" s="1334"/>
      <c r="AP65" s="1334"/>
      <c r="AQ65" s="1334"/>
      <c r="AS65" s="799"/>
      <c r="AT65" s="799" t="str">
        <f>IF(V65="","",V65)</f>
        <v>Добавить наименование тарифа</v>
      </c>
      <c r="AU65" s="799"/>
      <c r="AV65" s="799"/>
      <c r="AW65" s="528">
        <v>4</v>
      </c>
    </row>
    <row customHeight="1" ht="11.549999999999999">
      <c r="N66" s="1165"/>
      <c r="O66" s="1165"/>
      <c r="P66" s="519"/>
      <c r="Q66" s="1165"/>
      <c r="R66" s="1165"/>
      <c r="S66" s="1165"/>
      <c r="T66" s="1165"/>
      <c r="U66" s="1165"/>
      <c r="AR66" s="1165"/>
      <c r="AS66" s="1165"/>
      <c r="AT66" s="1165"/>
      <c r="AU66" s="1165"/>
      <c r="AV66" s="1165"/>
      <c r="AW66" s="1165">
        <v>11</v>
      </c>
    </row>
    <row customHeight="1" ht="35.699999999999996">
      <c r="P67" s="519"/>
      <c r="U67" s="1263"/>
      <c r="V67" s="2295"/>
      <c r="W67" s="2295"/>
      <c r="X67" s="2295"/>
      <c r="Y67" s="2295"/>
      <c r="Z67" s="2295"/>
      <c r="AA67" s="2295"/>
      <c r="AB67" s="2295"/>
      <c r="AC67" s="2295"/>
      <c r="AD67" s="2295"/>
      <c r="AE67" s="2295"/>
      <c r="AF67" s="2295"/>
      <c r="AG67" s="2295"/>
      <c r="AH67" s="2295"/>
      <c r="AI67" s="2295"/>
      <c r="AJ67" s="2295"/>
      <c r="AK67" s="2295"/>
      <c r="AL67" s="2295"/>
      <c r="AM67" s="2295"/>
      <c r="AN67" s="2295"/>
      <c r="AO67" s="2295"/>
      <c r="AP67" s="2295"/>
      <c r="AQ67" s="2295"/>
      <c r="AW67" s="1165">
        <v>34</v>
      </c>
    </row>
    <row customHeight="1" ht="21">
      <c r="P68" s="519"/>
      <c r="V68" s="2295"/>
      <c r="W68" s="2295"/>
      <c r="X68" s="2295"/>
      <c r="Y68" s="2295"/>
      <c r="Z68" s="2295"/>
      <c r="AA68" s="2295"/>
      <c r="AB68" s="2295"/>
      <c r="AC68" s="2295"/>
      <c r="AD68" s="2295"/>
      <c r="AE68" s="2295"/>
      <c r="AF68" s="2295"/>
      <c r="AG68" s="2295"/>
      <c r="AH68" s="2295"/>
      <c r="AI68" s="2295"/>
      <c r="AJ68" s="2295"/>
      <c r="AK68" s="2295"/>
      <c r="AL68" s="2295"/>
      <c r="AM68" s="2295"/>
      <c r="AN68" s="2295"/>
      <c r="AO68" s="2295"/>
      <c r="AP68" s="2295"/>
      <c r="AQ68" s="2295"/>
      <c r="AW68" s="1165">
        <v>20</v>
      </c>
    </row>
    <row customHeight="1" ht="14.699999999999998">
      <c r="P69" s="519"/>
      <c r="AW69" s="1165">
        <v>14</v>
      </c>
    </row>
    <row customHeight="1" ht="28.5">
      <c r="P70" s="519"/>
      <c r="V70" s="2295"/>
      <c r="W70" s="2295"/>
      <c r="X70" s="2295"/>
      <c r="Y70" s="2295"/>
      <c r="Z70" s="2295"/>
      <c r="AA70" s="2295"/>
      <c r="AB70" s="2295"/>
      <c r="AC70" s="2295"/>
      <c r="AD70" s="2295"/>
      <c r="AE70" s="2295"/>
      <c r="AF70" s="2295"/>
      <c r="AG70" s="2295"/>
      <c r="AH70" s="2295"/>
      <c r="AI70" s="2295"/>
      <c r="AJ70" s="2295"/>
      <c r="AK70" s="2295"/>
      <c r="AL70" s="2295"/>
      <c r="AM70" s="2295"/>
      <c r="AN70" s="2295"/>
      <c r="AO70" s="2295"/>
      <c r="AP70" s="2295"/>
      <c r="AQ70" s="2295"/>
      <c r="AW70" s="1165">
        <v>27</v>
      </c>
    </row>
    <row customHeight="1" ht="18.75">
      <c r="P71" s="519"/>
      <c r="V71" s="2295"/>
      <c r="W71" s="2295"/>
      <c r="X71" s="2295"/>
      <c r="Y71" s="2295"/>
      <c r="Z71" s="2295"/>
      <c r="AA71" s="2295"/>
      <c r="AB71" s="2295"/>
      <c r="AC71" s="2295"/>
      <c r="AD71" s="2295"/>
      <c r="AE71" s="2295"/>
      <c r="AF71" s="2295"/>
      <c r="AG71" s="2295"/>
      <c r="AH71" s="2295"/>
      <c r="AI71" s="2295"/>
      <c r="AJ71" s="2295"/>
      <c r="AK71" s="2295"/>
      <c r="AL71" s="2295"/>
      <c r="AM71" s="2295"/>
      <c r="AN71" s="2295"/>
      <c r="AO71" s="2295"/>
      <c r="AP71" s="2295"/>
      <c r="AQ71" s="2295"/>
      <c r="AW71" s="1165">
        <v>18</v>
      </c>
    </row>
    <row customHeight="1" ht="22.5" hidden="1">
      <c r="A72" s="1165" t="s">
        <v>82</v>
      </c>
      <c r="B72" s="1165">
        <v>0</v>
      </c>
      <c r="C72" s="1165">
        <v>0</v>
      </c>
      <c r="D72" s="1165">
        <v>0</v>
      </c>
      <c r="E72" s="1165">
        <v>0</v>
      </c>
      <c r="F72" s="1165">
        <v>0</v>
      </c>
      <c r="G72" s="1165">
        <v>0</v>
      </c>
      <c r="H72" s="1165">
        <v>0</v>
      </c>
      <c r="I72" s="1165">
        <v>0</v>
      </c>
      <c r="J72" s="1165">
        <v>0</v>
      </c>
      <c r="K72" s="1165">
        <v>0</v>
      </c>
      <c r="L72" s="1165">
        <v>0</v>
      </c>
      <c r="M72" s="1337">
        <v>0</v>
      </c>
      <c r="N72" s="1338">
        <v>0</v>
      </c>
      <c r="O72" s="1338">
        <v>0</v>
      </c>
      <c r="P72" s="1338">
        <v>0</v>
      </c>
      <c r="Q72" s="1338">
        <v>0</v>
      </c>
      <c r="R72" s="354">
        <v>3</v>
      </c>
      <c r="S72" s="354">
        <v>3</v>
      </c>
      <c r="T72" s="354">
        <v>3</v>
      </c>
      <c r="U72" s="591">
        <v>12</v>
      </c>
      <c r="V72" s="1165">
        <v>31</v>
      </c>
      <c r="W72" s="1165">
        <v>0</v>
      </c>
      <c r="X72" s="1165">
        <v>0</v>
      </c>
      <c r="Y72" s="1165">
        <v>0</v>
      </c>
      <c r="Z72" s="1165">
        <v>0</v>
      </c>
      <c r="AA72" s="1165">
        <v>0</v>
      </c>
      <c r="AB72" s="1165">
        <v>0</v>
      </c>
      <c r="AC72" s="1165">
        <v>0</v>
      </c>
      <c r="AD72" s="1165">
        <v>0</v>
      </c>
      <c r="AE72" s="1165">
        <v>0</v>
      </c>
      <c r="AF72" s="1165">
        <v>0</v>
      </c>
      <c r="AG72" s="1165">
        <v>21</v>
      </c>
      <c r="AH72" s="1165">
        <v>21</v>
      </c>
      <c r="AI72" s="1165">
        <v>21</v>
      </c>
      <c r="AJ72" s="1165">
        <v>21</v>
      </c>
      <c r="AK72" s="1165">
        <v>21</v>
      </c>
      <c r="AL72" s="1165">
        <v>11</v>
      </c>
      <c r="AM72" s="1165">
        <v>3</v>
      </c>
      <c r="AN72" s="1165">
        <v>11</v>
      </c>
      <c r="AO72" s="1165">
        <v>8</v>
      </c>
      <c r="AP72" s="1165">
        <v>4</v>
      </c>
      <c r="AQ72" s="1165">
        <v>115</v>
      </c>
      <c r="AR72" s="521">
        <v>10</v>
      </c>
      <c r="AS72" s="521">
        <v>10</v>
      </c>
      <c r="AT72" s="521">
        <v>10</v>
      </c>
      <c r="AU72" s="521">
        <v>10</v>
      </c>
      <c r="AV72" s="521">
        <v>10</v>
      </c>
      <c r="AW72" s="1165">
        <v>23</v>
      </c>
    </row>
  </sheetData>
  <sheetProtection sheet="1" formatColumns="0" formatRows="0" autoFilter="0" sort="1" insertRows="1" insertColumns="1" deleteRows="1" deleteColumns="1"/>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3B377397-3156-8755-D49B-0.034EA7D4}" mc:Ignorable="x14ac xr xr2 xr3">
  <sheetPr>
    <tabColor rgb="FFCCCCFF"/>
  </sheetPr>
  <dimension ref="A1:Q79"/>
  <sheetViews>
    <sheetView topLeftCell="A1" showGridLines="0" zoomScale="90" workbookViewId="0">
      <selection activeCell="I31" sqref="I31"/>
    </sheetView>
  </sheetViews>
  <sheetFormatPr defaultColWidth="9.140625" customHeight="1" defaultRowHeight="11.25"/>
  <cols>
    <col min="1" max="1" style="797" width="10.7109375" hidden="1" customWidth="1"/>
    <col min="2" max="2" style="742" width="10.7109375" hidden="1" customWidth="1"/>
    <col min="3" max="3" style="540" width="3.00390625" customWidth="1"/>
    <col min="4" max="4" style="1645" width="1.00390625" customWidth="1"/>
    <col min="5" max="6" style="1645" width="55.00390625" customWidth="1"/>
    <col min="7" max="7" style="2135" width="1.00390625" customWidth="1"/>
    <col min="8" max="8" style="1645" width="18.00390625" hidden="1" customWidth="1"/>
    <col min="9" max="9" style="541" width="59.00390625" customWidth="1"/>
    <col min="10" max="10" style="1376" width="52.140625" hidden="1" customWidth="1"/>
    <col min="11" max="11" style="1645" width="8.00390625" customWidth="1"/>
    <col min="12" max="12" style="1645" width="77.00390625" customWidth="1"/>
    <col min="13" max="16" style="1645" width="8.00390625" customWidth="1"/>
    <col min="17" max="17" style="1645" width="12.00390625" hidden="1" customWidth="1"/>
  </cols>
  <sheetData>
    <row s="632" customFormat="1" customHeight="1" ht="3">
      <c r="A1" s="793"/>
      <c r="B1" s="251"/>
      <c r="F1" s="252" t="s">
        <v>13</v>
      </c>
      <c r="G1" s="421"/>
      <c r="H1" s="81"/>
      <c r="I1" s="421"/>
      <c r="J1" s="881"/>
      <c r="Q1" s="252" t="s">
        <v>14</v>
      </c>
    </row>
    <row s="1642" customFormat="1" customHeight="1" ht="14.25">
      <c r="A2" s="793"/>
      <c r="B2" s="108"/>
      <c r="E2" s="1750" t="str">
        <f>code</f>
        <v>Код отчёта: PP110.OPEN.INFO.QUARTER.HEAT.EIAS</v>
      </c>
      <c r="F2" s="279"/>
      <c r="G2" s="255"/>
      <c r="H2" s="255"/>
      <c r="I2" s="255"/>
      <c r="J2" s="882"/>
      <c r="K2" s="255"/>
      <c r="Q2" s="81">
        <v>14</v>
      </c>
    </row>
    <row customHeight="1" ht="14.699999999999998">
      <c r="E3" s="256" t="str">
        <f>version</f>
        <v>Версия отчёта: 1.1.1</v>
      </c>
      <c r="F3" s="279"/>
      <c r="G3" s="780"/>
      <c r="H3" s="780"/>
      <c r="I3" s="780"/>
      <c r="J3" s="883"/>
      <c r="K3" s="98"/>
      <c r="Q3" s="84">
        <v>14</v>
      </c>
    </row>
    <row s="1622" customFormat="1" customHeight="1" ht="6.3">
      <c r="A4" s="794"/>
      <c r="B4" s="242"/>
      <c r="C4" s="243"/>
      <c r="D4" s="244"/>
      <c r="E4" s="253"/>
      <c r="F4" s="254"/>
      <c r="G4" s="781"/>
      <c r="H4" s="419"/>
      <c r="I4" s="421"/>
      <c r="J4" s="884"/>
      <c r="Q4" s="246">
        <v>6</v>
      </c>
    </row>
    <row customHeight="1" ht="39.75">
      <c r="D5" s="85"/>
      <c r="E5" s="2105"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106"/>
      <c r="G5" s="782"/>
      <c r="J5" s="885"/>
      <c r="Q5" s="84">
        <v>38</v>
      </c>
    </row>
    <row s="1622" customFormat="1" customHeight="1" ht="6.3">
      <c r="A6" s="794"/>
      <c r="B6" s="242"/>
      <c r="C6" s="243"/>
      <c r="D6" s="244"/>
      <c r="E6" s="247"/>
      <c r="F6" s="248"/>
      <c r="G6" s="782"/>
      <c r="H6" s="419"/>
      <c r="I6" s="421"/>
      <c r="J6" s="884"/>
      <c r="Q6" s="246">
        <v>6</v>
      </c>
    </row>
    <row customHeight="1" ht="21">
      <c r="D7" s="85"/>
      <c r="E7" s="401" t="s">
        <v>15</v>
      </c>
      <c r="F7" s="225" t="s">
        <v>16</v>
      </c>
      <c r="G7" s="782"/>
      <c r="Q7" s="84">
        <v>20</v>
      </c>
    </row>
    <row s="1622" customFormat="1" customHeight="1" ht="6.3">
      <c r="A8" s="795"/>
      <c r="B8" s="242"/>
      <c r="C8" s="243"/>
      <c r="D8" s="249"/>
      <c r="E8" s="247"/>
      <c r="F8" s="250"/>
      <c r="G8" s="87"/>
      <c r="H8" s="419"/>
      <c r="I8" s="421"/>
      <c r="J8" s="887"/>
      <c r="Q8" s="246">
        <v>6</v>
      </c>
    </row>
    <row s="1645" customFormat="1" customHeight="1" ht="19.5" hidden="1">
      <c r="A9" s="794"/>
      <c r="B9" s="108"/>
      <c r="C9" s="418"/>
      <c r="D9" s="420"/>
      <c r="E9" s="1175" t="s">
        <v>17</v>
      </c>
      <c r="F9" s="1931"/>
      <c r="G9" s="782"/>
      <c r="I9" s="1910" t="str">
        <f>IF(TITLE_STRUCTURE_INFO_ROIV="","","раскрывается "&amp;INDEX(ROIV_INFO_COMMENT,MATCH(TITLE_STRUCTURE_INFO_ROIV,ROIV_INFO_LIST,0)))</f>
        <v/>
      </c>
      <c r="J9" s="886"/>
      <c r="Q9" s="419">
        <v>0</v>
      </c>
    </row>
    <row s="1622" customFormat="1" customHeight="1" ht="24" hidden="1">
      <c r="A10" s="795"/>
      <c r="B10" s="436"/>
      <c r="C10" s="437"/>
      <c r="D10" s="249"/>
      <c r="E10" s="1175" t="s">
        <v>18</v>
      </c>
      <c r="F10" s="2076" t="s">
        <v>19</v>
      </c>
      <c r="G10" s="87"/>
      <c r="H10" s="419"/>
      <c r="I10" s="421"/>
      <c r="J10" s="887"/>
      <c r="Q10" s="440">
        <v>24</v>
      </c>
    </row>
    <row customHeight="1" ht="22.5" hidden="1">
      <c r="A11" s="2108" t="s">
        <v>20</v>
      </c>
      <c r="D11" s="85"/>
      <c r="E11" s="1175" t="s">
        <v>21</v>
      </c>
      <c r="F11" s="1742" t="s">
        <v>22</v>
      </c>
      <c r="G11" s="87"/>
      <c r="H11" s="783" t="s">
        <v>23</v>
      </c>
      <c r="J11" s="886" t="s">
        <v>24</v>
      </c>
      <c r="Q11" s="84">
        <v>0</v>
      </c>
    </row>
    <row customHeight="1" ht="22.5" hidden="1">
      <c r="A12" s="2108"/>
      <c r="D12" s="85"/>
      <c r="E12" s="1175" t="s">
        <v>25</v>
      </c>
      <c r="F12" s="1742"/>
      <c r="G12" s="83"/>
      <c r="J12" s="886" t="s">
        <v>26</v>
      </c>
      <c r="Q12" s="84">
        <v>0</v>
      </c>
    </row>
    <row s="1645" customFormat="1" customHeight="1" ht="22.5" hidden="1">
      <c r="A13" s="798" t="s">
        <v>27</v>
      </c>
      <c r="B13" s="108"/>
      <c r="C13" s="418"/>
      <c r="D13" s="420"/>
      <c r="E13" s="1785" t="s">
        <v>28</v>
      </c>
      <c r="F13" s="1742" t="s">
        <v>22</v>
      </c>
      <c r="G13" s="87"/>
      <c r="H13" s="780"/>
      <c r="I13" s="421"/>
      <c r="J13" s="1786" t="s">
        <v>29</v>
      </c>
      <c r="Q13" s="419">
        <v>0</v>
      </c>
    </row>
    <row s="1645" customFormat="1" customHeight="1" ht="27">
      <c r="A14" s="798" t="s">
        <v>30</v>
      </c>
      <c r="B14" s="108"/>
      <c r="C14" s="418"/>
      <c r="D14" s="420"/>
      <c r="E14" s="1175" t="s">
        <v>31</v>
      </c>
      <c r="F14" s="1777">
        <v>2026</v>
      </c>
      <c r="G14" s="87"/>
      <c r="H14" s="780"/>
      <c r="I14" s="421"/>
      <c r="J14" s="886" t="s">
        <v>32</v>
      </c>
      <c r="Q14" s="419">
        <v>0</v>
      </c>
    </row>
    <row s="1645" customFormat="1" customHeight="1" ht="19.5">
      <c r="A15" s="798" t="s">
        <v>33</v>
      </c>
      <c r="B15" s="108"/>
      <c r="C15" s="418"/>
      <c r="D15" s="420"/>
      <c r="E15" s="1175" t="s">
        <v>34</v>
      </c>
      <c r="F15" s="1777" t="s">
        <v>35</v>
      </c>
      <c r="G15" s="87"/>
      <c r="H15" s="780"/>
      <c r="I15" s="421"/>
      <c r="J15" s="886" t="s">
        <v>36</v>
      </c>
      <c r="Q15" s="419">
        <v>0</v>
      </c>
    </row>
    <row s="1622" customFormat="1" customHeight="1" ht="6.3">
      <c r="A16" s="795"/>
      <c r="B16" s="242"/>
      <c r="C16" s="243"/>
      <c r="D16" s="249"/>
      <c r="E16" s="247"/>
      <c r="F16" s="250"/>
      <c r="G16" s="87"/>
      <c r="H16" s="419"/>
      <c r="I16" s="421"/>
      <c r="J16" s="884"/>
      <c r="Q16" s="246">
        <v>6</v>
      </c>
    </row>
    <row customHeight="1" ht="21">
      <c r="D17" s="85"/>
      <c r="E17" s="401" t="s">
        <v>37</v>
      </c>
      <c r="F17" s="226" t="s">
        <v>38</v>
      </c>
      <c r="G17" s="83"/>
      <c r="H17" s="783" t="s">
        <v>23</v>
      </c>
      <c r="Q17" s="84">
        <v>20</v>
      </c>
    </row>
    <row customHeight="1" ht="25.5" hidden="1">
      <c r="D18" s="85"/>
      <c r="E18" s="1785" t="s">
        <v>39</v>
      </c>
      <c r="F18" s="1743"/>
      <c r="G18" s="83"/>
      <c r="I18" s="784"/>
      <c r="J18" s="2107" t="s">
        <v>40</v>
      </c>
      <c r="Q18" s="84">
        <v>0</v>
      </c>
    </row>
    <row customHeight="1" ht="25.5" hidden="1">
      <c r="D19" s="85"/>
      <c r="E19" s="1175"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43"/>
      <c r="G19" s="83"/>
      <c r="I19" s="784"/>
      <c r="J19" s="2107"/>
      <c r="Q19" s="84">
        <v>0</v>
      </c>
    </row>
    <row customHeight="1" ht="22.5" hidden="1">
      <c r="D20" s="85"/>
      <c r="E20" s="86"/>
      <c r="F20" s="280" t="str">
        <f>"Первичное "&amp;IF(TEMPLATE_GROUP="P","установление тарифов","предложение по тарифам")</f>
        <v>Первичное предложение по тарифам</v>
      </c>
      <c r="G20" s="83"/>
      <c r="I20" s="404"/>
      <c r="J20" s="885" t="s">
        <v>41</v>
      </c>
      <c r="Q20" s="84">
        <v>0</v>
      </c>
    </row>
    <row customHeight="1" ht="19.5" hidden="1">
      <c r="D21" s="85"/>
      <c r="E21" s="401" t="str">
        <f>"Дата "&amp;IF(TEMPLATE_GROUP="P","документа","подачи заявления")&amp;" об утверждении тарифов"</f>
        <v>Дата подачи заявления об утверждении тарифов</v>
      </c>
      <c r="F21" s="1742"/>
      <c r="G21" s="83"/>
      <c r="I21" s="785"/>
      <c r="Q21" s="84">
        <v>0</v>
      </c>
    </row>
    <row customHeight="1" ht="19.5" hidden="1">
      <c r="D22" s="85"/>
      <c r="E22" s="401" t="str">
        <f>"Номер "&amp;IF(TEMPLATE_GROUP="P","документа","подачи заявления")&amp;" об утверждении тарифов"</f>
        <v>Номер подачи заявления об утверждении тарифов</v>
      </c>
      <c r="F22" s="226"/>
      <c r="G22" s="83"/>
      <c r="I22" s="785"/>
      <c r="Q22" s="84">
        <v>0</v>
      </c>
    </row>
    <row customHeight="1" ht="22.5" hidden="1">
      <c r="D23" s="85"/>
      <c r="E23" s="401" t="s">
        <v>42</v>
      </c>
      <c r="F23" s="226"/>
      <c r="G23" s="83"/>
      <c r="Q23" s="84">
        <v>0</v>
      </c>
    </row>
    <row customHeight="1" ht="19.5" hidden="1">
      <c r="D24" s="85"/>
      <c r="E24" s="401" t="s">
        <v>43</v>
      </c>
      <c r="F24" s="226"/>
      <c r="G24" s="83"/>
      <c r="Q24" s="84">
        <v>0</v>
      </c>
    </row>
    <row customHeight="1" ht="22.5" hidden="1">
      <c r="D25" s="85"/>
      <c r="E25" s="86"/>
      <c r="F25" s="280" t="str">
        <f>"Изменение "&amp;IF(TEMPLATE_GROUP="P","тарифов","предложения по тарифам")</f>
        <v>Изменение предложения по тарифам</v>
      </c>
      <c r="G25" s="83"/>
      <c r="J25" s="885" t="s">
        <v>44</v>
      </c>
      <c r="Q25" s="84">
        <v>0</v>
      </c>
    </row>
    <row customHeight="1" ht="19.5" hidden="1">
      <c r="D26" s="85"/>
      <c r="E26" s="401" t="str">
        <f>"Дата "&amp;IF(TEMPLATE_GROUP="P","принятия решения","подачи заявления")&amp;" об изменении тарифов"</f>
        <v>Дата подачи заявления об изменении тарифов</v>
      </c>
      <c r="F26" s="1743"/>
      <c r="G26" s="83"/>
      <c r="Q26" s="84">
        <v>0</v>
      </c>
    </row>
    <row customHeight="1" ht="19.5" hidden="1">
      <c r="D27" s="85"/>
      <c r="E27" s="1175" t="str">
        <f>"Номер "&amp;IF(TEMPLATE_GROUP="P","принятия решения","заявления")&amp;" об изменении тарифов"</f>
        <v>Номер заявления об изменении тарифов</v>
      </c>
      <c r="F27" s="228"/>
      <c r="G27" s="83"/>
      <c r="Q27" s="84">
        <v>0</v>
      </c>
    </row>
    <row customHeight="1" ht="24.75" hidden="1">
      <c r="D28" s="85"/>
      <c r="E28" s="401" t="s">
        <v>45</v>
      </c>
      <c r="F28" s="228"/>
      <c r="G28" s="83"/>
      <c r="Q28" s="84">
        <v>0</v>
      </c>
    </row>
    <row customHeight="1" ht="19.5" hidden="1">
      <c r="D29" s="85"/>
      <c r="E29" s="401" t="s">
        <v>43</v>
      </c>
      <c r="F29" s="228"/>
      <c r="G29" s="83"/>
      <c r="Q29" s="84">
        <v>0</v>
      </c>
    </row>
    <row s="1622" customFormat="1" customHeight="1" ht="6.3">
      <c r="A30" s="795"/>
      <c r="B30" s="242"/>
      <c r="C30" s="243"/>
      <c r="D30" s="249"/>
      <c r="E30" s="247"/>
      <c r="F30" s="250"/>
      <c r="G30" s="87"/>
      <c r="H30" s="419"/>
      <c r="I30" s="421"/>
      <c r="J30" s="884"/>
      <c r="Q30" s="246">
        <v>6</v>
      </c>
    </row>
    <row customHeight="1" ht="21">
      <c r="C31" s="88"/>
      <c r="D31" s="89"/>
      <c r="E31" s="401" t="str">
        <f>"Наименование "&amp;IF(TEMPLATE_GROUP="ROIV","органа тарифного регулирования","ЮЛ / ИП")</f>
        <v>Наименование ЮЛ / ИП</v>
      </c>
      <c r="F31" s="227" t="s">
        <v>46</v>
      </c>
      <c r="G31" s="786"/>
      <c r="Q31" s="84">
        <v>20</v>
      </c>
    </row>
    <row customHeight="1" ht="21" hidden="1">
      <c r="C32" s="88"/>
      <c r="D32" s="89"/>
      <c r="E32" s="402" t="s">
        <v>47</v>
      </c>
      <c r="F32" s="227"/>
      <c r="G32" s="786"/>
      <c r="Q32" s="84">
        <v>20</v>
      </c>
    </row>
    <row customHeight="1" ht="21">
      <c r="C33" s="88"/>
      <c r="D33" s="89"/>
      <c r="E33" s="401" t="s">
        <v>48</v>
      </c>
      <c r="F33" s="227" t="s">
        <v>49</v>
      </c>
      <c r="G33" s="786"/>
      <c r="Q33" s="84">
        <v>20</v>
      </c>
    </row>
    <row customHeight="1" ht="21">
      <c r="C34" s="88"/>
      <c r="D34" s="89"/>
      <c r="E34" s="401" t="s">
        <v>50</v>
      </c>
      <c r="F34" s="227" t="s">
        <v>51</v>
      </c>
      <c r="G34" s="786"/>
      <c r="H34" s="90"/>
      <c r="Q34" s="84">
        <v>20</v>
      </c>
    </row>
    <row s="1622" customFormat="1" customHeight="1" ht="11.549999999999999">
      <c r="A35" s="795"/>
      <c r="B35" s="242"/>
      <c r="C35" s="243"/>
      <c r="D35" s="249"/>
      <c r="E35" s="247"/>
      <c r="F35" s="250"/>
      <c r="G35" s="87"/>
      <c r="H35" s="419"/>
      <c r="I35" s="421"/>
      <c r="J35" s="884"/>
      <c r="Q35" s="246">
        <v>11</v>
      </c>
    </row>
    <row customHeight="1" ht="19.5">
      <c r="A36" s="889"/>
      <c r="D36" s="89"/>
      <c r="E36" s="401" t="s">
        <v>52</v>
      </c>
      <c r="F36" s="1220" t="s">
        <v>53</v>
      </c>
      <c r="G36" s="87"/>
      <c r="Q36" s="84">
        <v>0</v>
      </c>
    </row>
    <row customHeight="1" ht="21">
      <c r="A37" s="889"/>
      <c r="D37" s="89"/>
      <c r="E37" s="401" t="s">
        <v>54</v>
      </c>
      <c r="F37" s="1220" t="s">
        <v>55</v>
      </c>
      <c r="G37" s="87"/>
      <c r="Q37" s="84">
        <v>20</v>
      </c>
    </row>
    <row s="1622" customFormat="1" customHeight="1" ht="6.3">
      <c r="A38" s="795"/>
      <c r="B38" s="242"/>
      <c r="C38" s="243"/>
      <c r="D38" s="244"/>
      <c r="E38" s="245"/>
      <c r="F38" s="1063"/>
      <c r="G38" s="83"/>
      <c r="H38" s="419"/>
      <c r="I38" s="421"/>
      <c r="J38" s="886"/>
      <c r="Q38" s="246">
        <v>6</v>
      </c>
    </row>
    <row customHeight="1" ht="36.75">
      <c r="A39" s="795"/>
      <c r="D39" s="85"/>
      <c r="E39" s="401" t="s">
        <v>56</v>
      </c>
      <c r="F39" s="720" t="s">
        <v>19</v>
      </c>
      <c r="G39" s="83"/>
      <c r="H39" s="783" t="s">
        <v>23</v>
      </c>
      <c r="Q39" s="84">
        <v>35</v>
      </c>
    </row>
    <row s="1622" customFormat="1" customHeight="1" ht="6" hidden="1">
      <c r="A40" s="794"/>
      <c r="B40" s="436"/>
      <c r="C40" s="437"/>
      <c r="D40" s="438"/>
      <c r="E40" s="439"/>
      <c r="F40" s="1063"/>
      <c r="G40" s="83"/>
      <c r="H40" s="419"/>
      <c r="I40" s="421"/>
      <c r="J40" s="886"/>
      <c r="Q40" s="440">
        <v>6</v>
      </c>
    </row>
    <row s="1645" customFormat="1" customHeight="1" ht="26.25" hidden="1">
      <c r="A41" s="798" t="s">
        <v>27</v>
      </c>
      <c r="B41" s="423"/>
      <c r="C41" s="418"/>
      <c r="D41" s="420"/>
      <c r="E41" s="401"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20" t="s">
        <v>19</v>
      </c>
      <c r="G41" s="83"/>
      <c r="I41" s="421"/>
      <c r="J41" s="886"/>
      <c r="Q41" s="419">
        <v>0</v>
      </c>
    </row>
    <row s="1622" customFormat="1" customHeight="1" ht="6" hidden="1">
      <c r="A42" s="794"/>
      <c r="B42" s="436"/>
      <c r="C42" s="437"/>
      <c r="D42" s="438"/>
      <c r="E42" s="439"/>
      <c r="F42" s="1063"/>
      <c r="G42" s="83"/>
      <c r="H42" s="419"/>
      <c r="I42" s="421"/>
      <c r="J42" s="884"/>
      <c r="Q42" s="440">
        <v>0</v>
      </c>
    </row>
    <row s="1645" customFormat="1" customHeight="1" ht="27" hidden="1">
      <c r="A43" s="794"/>
      <c r="B43" s="423"/>
      <c r="C43" s="418"/>
      <c r="D43" s="420"/>
      <c r="E43" s="401" t="s">
        <v>57</v>
      </c>
      <c r="F43" s="720" t="s">
        <v>19</v>
      </c>
      <c r="G43" s="83"/>
      <c r="I43" s="421"/>
      <c r="J43" s="886"/>
      <c r="Q43" s="419">
        <v>0</v>
      </c>
    </row>
    <row s="1645" customFormat="1" customHeight="1" ht="27" hidden="1">
      <c r="A44" s="794"/>
      <c r="B44" s="423"/>
      <c r="C44" s="418"/>
      <c r="D44" s="420"/>
      <c r="E44" s="1175" t="s">
        <v>58</v>
      </c>
      <c r="F44" s="1898"/>
      <c r="G44" s="83"/>
      <c r="I44" s="421"/>
      <c r="J44" s="886"/>
      <c r="Q44" s="419">
        <v>0</v>
      </c>
    </row>
    <row s="1622" customFormat="1" customHeight="1" ht="6" hidden="1">
      <c r="A45" s="794"/>
      <c r="B45" s="436"/>
      <c r="C45" s="437"/>
      <c r="D45" s="438"/>
      <c r="E45" s="439"/>
      <c r="F45" s="1063"/>
      <c r="G45" s="83"/>
      <c r="H45" s="419"/>
      <c r="I45" s="421"/>
      <c r="J45" s="886"/>
      <c r="Q45" s="440">
        <v>0</v>
      </c>
    </row>
    <row s="1622" customFormat="1" customHeight="1" ht="24.75" hidden="1">
      <c r="A46" s="794"/>
      <c r="B46" s="436"/>
      <c r="C46" s="437"/>
      <c r="D46" s="438"/>
      <c r="E46" s="1175" t="s">
        <v>59</v>
      </c>
      <c r="F46" s="720" t="s">
        <v>19</v>
      </c>
      <c r="G46" s="83"/>
      <c r="H46" s="419"/>
      <c r="I46" s="421"/>
      <c r="J46" s="886"/>
      <c r="Q46" s="440">
        <v>0</v>
      </c>
    </row>
    <row s="1645" customFormat="1" customHeight="1" ht="24.75" hidden="1">
      <c r="A47" s="794"/>
      <c r="B47" s="423"/>
      <c r="C47" s="418"/>
      <c r="D47" s="420"/>
      <c r="E47" s="1175" t="s">
        <v>60</v>
      </c>
      <c r="F47" s="720" t="s">
        <v>19</v>
      </c>
      <c r="G47" s="83"/>
      <c r="I47" s="421"/>
      <c r="J47" s="886"/>
      <c r="Q47" s="419">
        <v>0</v>
      </c>
    </row>
    <row s="1622" customFormat="1" customHeight="1" ht="6" hidden="1">
      <c r="A48" s="794"/>
      <c r="B48" s="242"/>
      <c r="C48" s="243"/>
      <c r="D48" s="244"/>
      <c r="E48" s="245"/>
      <c r="F48" s="1063"/>
      <c r="G48" s="83"/>
      <c r="H48" s="419"/>
      <c r="I48" s="421"/>
      <c r="J48" s="886"/>
      <c r="Q48" s="246">
        <v>0</v>
      </c>
    </row>
    <row customHeight="1" ht="29.25" hidden="1">
      <c r="B49" s="158"/>
      <c r="D49" s="85"/>
      <c r="E49" s="40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20"/>
      <c r="G49" s="83"/>
      <c r="Q49" s="84">
        <v>0</v>
      </c>
    </row>
    <row s="1622" customFormat="1" customHeight="1" ht="6" hidden="1">
      <c r="A50" s="795"/>
      <c r="B50" s="436"/>
      <c r="C50" s="437"/>
      <c r="D50" s="249"/>
      <c r="E50" s="247"/>
      <c r="F50" s="250"/>
      <c r="G50" s="87"/>
      <c r="H50" s="419"/>
      <c r="I50" s="421"/>
      <c r="J50" s="886"/>
      <c r="Q50" s="440">
        <v>0</v>
      </c>
    </row>
    <row s="1645" customFormat="1" customHeight="1" ht="28.5" hidden="1">
      <c r="A51" s="796"/>
      <c r="B51" s="423"/>
      <c r="C51" s="540"/>
      <c r="D51" s="541"/>
      <c r="E51" s="401" t="s">
        <v>61</v>
      </c>
      <c r="F51" s="720" t="s">
        <v>19</v>
      </c>
      <c r="G51" s="542"/>
      <c r="I51" s="544"/>
      <c r="J51" s="888"/>
      <c r="P51" s="545"/>
      <c r="Q51" s="543">
        <v>0</v>
      </c>
    </row>
    <row s="1622" customFormat="1" customHeight="1" ht="6" hidden="1">
      <c r="A52" s="795"/>
      <c r="B52" s="436"/>
      <c r="C52" s="437"/>
      <c r="D52" s="249"/>
      <c r="E52" s="247"/>
      <c r="F52" s="250"/>
      <c r="G52" s="87"/>
      <c r="H52" s="419"/>
      <c r="I52" s="421"/>
      <c r="J52" s="884"/>
      <c r="Q52" s="440">
        <v>0</v>
      </c>
    </row>
    <row s="1645" customFormat="1" customHeight="1" ht="27" hidden="1">
      <c r="A53" s="796"/>
      <c r="B53" s="423"/>
      <c r="C53" s="540"/>
      <c r="D53" s="541"/>
      <c r="E53" s="401" t="s">
        <v>62</v>
      </c>
      <c r="F53" s="1058" t="s">
        <v>19</v>
      </c>
      <c r="G53" s="542"/>
      <c r="I53" s="544"/>
      <c r="J53" s="888"/>
      <c r="P53" s="545"/>
      <c r="Q53" s="543">
        <v>0</v>
      </c>
    </row>
    <row s="1645" customFormat="1" customHeight="1" ht="27" hidden="1">
      <c r="A54" s="796"/>
      <c r="B54" s="423"/>
      <c r="C54" s="540"/>
      <c r="D54" s="541"/>
      <c r="E54" s="401" t="s">
        <v>63</v>
      </c>
      <c r="F54" s="1784"/>
      <c r="G54" s="542"/>
      <c r="I54" s="544"/>
      <c r="J54" s="888"/>
      <c r="P54" s="545"/>
      <c r="Q54" s="543">
        <v>0</v>
      </c>
    </row>
    <row s="1622" customFormat="1" customHeight="1" ht="6" hidden="1">
      <c r="A55" s="795"/>
      <c r="B55" s="436"/>
      <c r="C55" s="437"/>
      <c r="D55" s="249"/>
      <c r="E55" s="247"/>
      <c r="F55" s="250"/>
      <c r="G55" s="87"/>
      <c r="H55" s="419"/>
      <c r="I55" s="421"/>
      <c r="J55" s="884"/>
      <c r="Q55" s="440">
        <v>0</v>
      </c>
    </row>
    <row s="1645" customFormat="1" customHeight="1" ht="25.5" hidden="1">
      <c r="A56" s="796"/>
      <c r="B56" s="423"/>
      <c r="C56" s="540"/>
      <c r="D56" s="541"/>
      <c r="E56" s="401" t="s">
        <v>64</v>
      </c>
      <c r="F56" s="1058" t="s">
        <v>19</v>
      </c>
      <c r="G56" s="542"/>
      <c r="I56" s="544"/>
      <c r="J56" s="888"/>
      <c r="P56" s="545"/>
      <c r="Q56" s="543">
        <v>0</v>
      </c>
    </row>
    <row s="1622" customFormat="1" customHeight="1" ht="6" hidden="1">
      <c r="A57" s="795"/>
      <c r="B57" s="436"/>
      <c r="C57" s="437"/>
      <c r="D57" s="249"/>
      <c r="E57" s="247"/>
      <c r="F57" s="250"/>
      <c r="G57" s="87"/>
      <c r="H57" s="419"/>
      <c r="I57" s="421"/>
      <c r="J57" s="884"/>
      <c r="Q57" s="440">
        <v>0</v>
      </c>
    </row>
    <row s="1645" customFormat="1" customHeight="1" ht="15" hidden="1">
      <c r="A58" s="796"/>
      <c r="B58" s="423"/>
      <c r="C58" s="540"/>
      <c r="D58" s="541"/>
      <c r="E58" s="401" t="s">
        <v>65</v>
      </c>
      <c r="F58" s="1058" t="s">
        <v>66</v>
      </c>
      <c r="G58" s="542"/>
      <c r="I58" s="544"/>
      <c r="J58" s="888"/>
      <c r="P58" s="545"/>
      <c r="Q58" s="543">
        <v>0</v>
      </c>
    </row>
    <row s="1645" customFormat="1" customHeight="1" ht="75" hidden="1">
      <c r="A59" s="796"/>
      <c r="B59" s="423"/>
      <c r="C59" s="540"/>
      <c r="D59" s="541"/>
      <c r="E59" s="40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9"/>
      <c r="G59" s="542"/>
      <c r="I59" s="544"/>
      <c r="J59" s="888"/>
      <c r="P59" s="545"/>
      <c r="Q59" s="543">
        <v>0</v>
      </c>
    </row>
    <row s="1645" customFormat="1" customHeight="1" ht="15" hidden="1">
      <c r="A60" s="796"/>
      <c r="B60" s="423"/>
      <c r="C60" s="540"/>
      <c r="D60" s="541"/>
      <c r="E60" s="1175" t="s">
        <v>67</v>
      </c>
      <c r="F60" s="1161"/>
      <c r="G60" s="542"/>
      <c r="I60" s="544"/>
      <c r="J60" s="888"/>
      <c r="P60" s="545"/>
      <c r="Q60" s="543">
        <v>0</v>
      </c>
    </row>
    <row s="1622" customFormat="1" customHeight="1" ht="6" hidden="1">
      <c r="A61" s="795"/>
      <c r="B61" s="436"/>
      <c r="C61" s="437"/>
      <c r="D61" s="438"/>
      <c r="E61" s="439"/>
      <c r="F61" s="1063"/>
      <c r="G61" s="83"/>
      <c r="H61" s="419"/>
      <c r="I61" s="421"/>
      <c r="J61" s="886"/>
      <c r="Q61" s="440">
        <v>0</v>
      </c>
    </row>
    <row s="1645" customFormat="1" customHeight="1" ht="33.75" hidden="1">
      <c r="A62" s="795"/>
      <c r="B62" s="108"/>
      <c r="C62" s="418"/>
      <c r="D62" s="420"/>
      <c r="E62" s="1175" t="s">
        <v>68</v>
      </c>
      <c r="F62" s="1681" t="s">
        <v>66</v>
      </c>
      <c r="G62" s="83"/>
      <c r="H62" s="783" t="s">
        <v>23</v>
      </c>
      <c r="I62" s="421"/>
      <c r="J62" s="886"/>
      <c r="Q62" s="419">
        <v>0</v>
      </c>
    </row>
    <row s="1622" customFormat="1" customHeight="1" ht="6.3">
      <c r="A63" s="795"/>
      <c r="B63" s="242"/>
      <c r="C63" s="243"/>
      <c r="D63" s="249"/>
      <c r="E63" s="247"/>
      <c r="F63" s="250"/>
      <c r="G63" s="87"/>
      <c r="H63" s="419"/>
      <c r="I63" s="421"/>
      <c r="J63" s="884"/>
      <c r="Q63" s="246">
        <v>6</v>
      </c>
    </row>
    <row customHeight="1" ht="21">
      <c r="A64" s="797"/>
      <c r="B64" s="109"/>
      <c r="D64" s="92"/>
      <c r="E64" s="401" t="s">
        <v>69</v>
      </c>
      <c r="F64" s="226" t="s">
        <v>70</v>
      </c>
      <c r="G64" s="87"/>
      <c r="Q64" s="84">
        <v>20</v>
      </c>
    </row>
    <row customHeight="1" ht="21">
      <c r="A65" s="797"/>
      <c r="B65" s="109"/>
      <c r="D65" s="92"/>
      <c r="E65" s="401" t="s">
        <v>71</v>
      </c>
      <c r="F65" s="226" t="s">
        <v>72</v>
      </c>
      <c r="G65" s="87"/>
      <c r="Q65" s="84">
        <v>20</v>
      </c>
    </row>
    <row customHeight="1" ht="36.75">
      <c r="D66" s="85"/>
      <c r="E66" s="403" t="s">
        <v>73</v>
      </c>
      <c r="F66" s="1064"/>
      <c r="G66" s="83"/>
      <c r="Q66" s="84">
        <v>35</v>
      </c>
    </row>
    <row customHeight="1" ht="21">
      <c r="A67" s="797"/>
      <c r="D67" s="420"/>
      <c r="E67" s="401" t="s">
        <v>74</v>
      </c>
      <c r="F67" s="281" t="s">
        <v>75</v>
      </c>
      <c r="G67" s="87"/>
      <c r="Q67" s="84">
        <v>20</v>
      </c>
    </row>
    <row customHeight="1" ht="21">
      <c r="A68" s="797"/>
      <c r="B68" s="109"/>
      <c r="D68" s="92"/>
      <c r="E68" s="401" t="s">
        <v>76</v>
      </c>
      <c r="F68" s="281" t="s">
        <v>77</v>
      </c>
      <c r="G68" s="87"/>
      <c r="Q68" s="84">
        <v>20</v>
      </c>
    </row>
    <row customHeight="1" ht="21">
      <c r="A69" s="797"/>
      <c r="B69" s="109"/>
      <c r="D69" s="92"/>
      <c r="E69" s="401" t="s">
        <v>78</v>
      </c>
      <c r="F69" s="281" t="s">
        <v>79</v>
      </c>
      <c r="G69" s="87"/>
      <c r="Q69" s="84">
        <v>20</v>
      </c>
    </row>
    <row customHeight="1" ht="21">
      <c r="D70" s="420"/>
      <c r="E70" s="401" t="s">
        <v>80</v>
      </c>
      <c r="F70" s="2639" t="s">
        <v>81</v>
      </c>
      <c r="G70" s="83"/>
      <c r="Q70" s="84">
        <v>20</v>
      </c>
    </row>
    <row customHeight="1" ht="21">
      <c r="A71" s="797"/>
      <c r="D71" s="83"/>
      <c r="F71" s="143"/>
      <c r="G71" s="87"/>
      <c r="Q71" s="84">
        <v>20</v>
      </c>
    </row>
    <row customHeight="1" ht="21">
      <c r="A72" s="797"/>
      <c r="B72" s="109"/>
      <c r="D72" s="92"/>
      <c r="E72" s="91"/>
      <c r="F72" s="1043" t="s">
        <v>13</v>
      </c>
      <c r="G72" s="87"/>
      <c r="Q72" s="84">
        <v>20</v>
      </c>
    </row>
    <row customHeight="1" ht="21">
      <c r="A73" s="797"/>
      <c r="B73" s="109"/>
      <c r="D73" s="92"/>
      <c r="E73" s="91"/>
      <c r="F73" s="144"/>
      <c r="G73" s="87"/>
      <c r="Q73" s="84">
        <v>20</v>
      </c>
    </row>
    <row customHeight="1" ht="21">
      <c r="A74" s="797"/>
      <c r="B74" s="109"/>
      <c r="D74" s="92"/>
      <c r="E74" s="96"/>
      <c r="F74" s="144"/>
      <c r="G74" s="87"/>
      <c r="Q74" s="84">
        <v>20</v>
      </c>
    </row>
    <row customHeight="1" ht="21">
      <c r="A75" s="797"/>
      <c r="B75" s="109"/>
      <c r="D75" s="92"/>
      <c r="E75" s="91"/>
      <c r="F75" s="144"/>
      <c r="G75" s="87"/>
      <c r="Q75" s="84">
        <v>20</v>
      </c>
    </row>
    <row customHeight="1" ht="11.549999999999999">
      <c r="Q76" s="84">
        <v>11</v>
      </c>
    </row>
    <row customHeight="1" ht="11.549999999999999">
      <c r="Q77" s="84">
        <v>11</v>
      </c>
    </row>
    <row customHeight="1" ht="11.549999999999999">
      <c r="E78" s="400"/>
      <c r="F78" s="400"/>
      <c r="G78" s="400"/>
      <c r="H78" s="400"/>
      <c r="I78" s="400"/>
      <c r="Q78" s="84">
        <v>11</v>
      </c>
    </row>
    <row customHeight="1" ht="11.25" hidden="1">
      <c r="A79" s="794" t="s">
        <v>82</v>
      </c>
      <c r="B79" s="108">
        <v>0</v>
      </c>
      <c r="C79" s="82">
        <v>3</v>
      </c>
      <c r="D79" s="84">
        <v>1</v>
      </c>
      <c r="E79" s="84">
        <v>55</v>
      </c>
      <c r="F79" s="84">
        <v>54</v>
      </c>
      <c r="G79" s="781">
        <v>1</v>
      </c>
      <c r="H79" s="419">
        <v>0</v>
      </c>
      <c r="I79" s="421">
        <v>59</v>
      </c>
      <c r="J79" s="886">
        <v>0</v>
      </c>
      <c r="K79" s="84">
        <v>8</v>
      </c>
      <c r="L79" s="84">
        <v>77</v>
      </c>
      <c r="M79" s="84">
        <v>8</v>
      </c>
      <c r="N79" s="84">
        <v>8</v>
      </c>
      <c r="O79" s="84">
        <v>8</v>
      </c>
      <c r="P79" s="84">
        <v>8</v>
      </c>
      <c r="Q79" s="84">
        <v>11</v>
      </c>
    </row>
  </sheetData>
  <sheetProtection sheet="1" formatColumns="0" formatRows="0" sort="1" autoFilter="0" insertRows="1" insertColumns="1" deleteRows="1" deleteColumns="1"/>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62CBC397-2FAA-A564-03F5-0.7BE95E27}"/>
    <hyperlink ref="H17" location="Титульный!H9" display="Как заполнить?" tooltip="Помощь по работе с полями отчётной формы" xr:uid="{4F0A928F-4A57-1B19-4736-0.269C5857}"/>
    <hyperlink ref="H39" location="Титульный!H9" display="Как заполнить?" tooltip="Помощь по работе с полями отчётной формы" xr:uid="{43830917-8EDD-749D-AEBB-0.558CAD7A}"/>
    <hyperlink ref="H62" location="Титульный!H9" display="Как заполнить?" tooltip="Помощь по работе с полями отчётной формы" xr:uid="{C0302711-74FE-B747-A22D-0.235ABE7A}"/>
    <hyperlink ref="F70" r:id="rId4" tooltip="starovetckaya-av@dgk.ru" xr:uid="{FC07A3B1-E563-A226-A1EB-0.DD859065}"/>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2089B-14DE-F904-7DCF-0.6694F884}"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1786" width="3.00390625" customWidth="1"/>
    <col min="17" max="17" style="1381" width="3.00390625" customWidth="1"/>
    <col min="18" max="18" style="354" width="3.00390625" customWidth="1"/>
    <col min="19" max="19" style="2417" width="12.00390625" customWidth="1"/>
    <col min="20" max="20" style="1645" width="31.00390625" customWidth="1"/>
    <col min="21" max="21" style="1645" width="0.140625" customWidth="1"/>
    <col min="22" max="23" style="1645" width="21.7109375" hidden="1" customWidth="1"/>
    <col min="24" max="24" style="1645" width="11.7109375" hidden="1" customWidth="1"/>
    <col min="25" max="25" style="1645" width="3.7109375" hidden="1" customWidth="1"/>
    <col min="26" max="26" style="1645" width="11.7109375" hidden="1" customWidth="1"/>
    <col min="27" max="27" style="1645" width="8.57421875" hidden="1" customWidth="1"/>
    <col min="28" max="28" style="1645" width="5.421875" customWidth="1"/>
    <col min="29" max="30" style="1645" width="3.00390625" customWidth="1"/>
    <col min="31" max="31" style="1645" width="24.00390625" customWidth="1"/>
    <col min="32" max="32" style="1645" width="3.7109375" customWidth="1"/>
    <col min="33" max="34" style="1645" width="3.00390625" customWidth="1"/>
    <col min="35" max="35" style="1645" width="24.00390625" customWidth="1"/>
    <col min="36" max="36" style="1645" width="3.7109375" customWidth="1"/>
    <col min="37" max="38" style="1645" width="3.00390625" customWidth="1"/>
    <col min="39" max="39" style="1645" width="18.00390625" customWidth="1"/>
    <col min="40" max="41" style="1645" width="21.00390625" customWidth="1"/>
    <col min="42" max="42" style="1645" width="11.00390625" customWidth="1"/>
    <col min="43" max="43" style="1645" width="3.7109375" customWidth="1"/>
    <col min="44" max="44" style="1645" width="11.00390625" customWidth="1"/>
    <col min="45" max="45" style="1645" width="8.57421875" hidden="1" customWidth="1"/>
    <col min="46" max="46" style="1645" width="4.00390625" customWidth="1"/>
    <col min="47" max="47" style="1645" width="115.00390625" customWidth="1"/>
    <col min="48" max="52" style="1652" width="10.00390625" customWidth="1"/>
    <col min="53" max="53" style="1645" width="10.57421875" hidden="1"/>
  </cols>
  <sheetData>
    <row customHeight="1" ht="22.5" hidden="1">
      <c r="W1" s="337"/>
      <c r="X1" s="337"/>
      <c r="AO1" s="337"/>
      <c r="AP1" s="337"/>
      <c r="BA1" s="1165" t="s">
        <v>14</v>
      </c>
    </row>
    <row customHeight="1" ht="21" hidden="1">
      <c r="A2" s="1373"/>
      <c r="B2" s="1373"/>
      <c r="C2" s="1373"/>
      <c r="D2" s="1373"/>
      <c r="E2" s="2268">
        <v>1</v>
      </c>
      <c r="F2" s="1373"/>
      <c r="G2" s="1373"/>
      <c r="H2" s="1373"/>
      <c r="I2" s="1373"/>
      <c r="J2" s="1373"/>
      <c r="K2" s="1373"/>
      <c r="L2" s="1374"/>
      <c r="M2" s="1375"/>
      <c r="N2" s="1375"/>
      <c r="O2" s="1375"/>
      <c r="P2" s="1419"/>
      <c r="Q2" s="883"/>
      <c r="R2" s="365"/>
      <c r="S2" s="1346">
        <f>INDEX(PT_DIFFERENTIATION_NUM_NTAR,MATCH(A2,PT_DIFFERENTIATION_NTAR_ID,0))</f>
      </c>
      <c r="T2" s="308" t="s">
        <v>147</v>
      </c>
      <c r="U2" s="310"/>
      <c r="V2" s="2253"/>
      <c r="W2" s="2253"/>
      <c r="X2" s="2253"/>
      <c r="Y2" s="2253"/>
      <c r="Z2" s="2253"/>
      <c r="AA2" s="2254"/>
      <c r="AB2" s="2252">
        <f>INDEX(PT_DIFFERENTIATION_NTAR,MATCH(A2,PT_DIFFERENTIATION_NTAR_ID,0))</f>
      </c>
      <c r="AC2" s="2253"/>
      <c r="AD2" s="2253"/>
      <c r="AE2" s="2253"/>
      <c r="AF2" s="2253"/>
      <c r="AG2" s="2253"/>
      <c r="AH2" s="2253"/>
      <c r="AI2" s="2253"/>
      <c r="AJ2" s="2253"/>
      <c r="AK2" s="2253"/>
      <c r="AL2" s="2253"/>
      <c r="AM2" s="2253"/>
      <c r="AN2" s="2253"/>
      <c r="AO2" s="2253"/>
      <c r="AP2" s="2253"/>
      <c r="AQ2" s="2253"/>
      <c r="AR2" s="2253"/>
      <c r="AS2" s="2253"/>
      <c r="AT2" s="2254"/>
      <c r="AU2" s="1268" t="s">
        <v>418</v>
      </c>
      <c r="AW2" s="510"/>
      <c r="AX2" s="510" t="str">
        <f>IF(T2="","",T2)</f>
        <v>Наименование тарифа</v>
      </c>
      <c r="AY2" s="510"/>
      <c r="AZ2" s="510"/>
      <c r="BA2" s="1165">
        <v>0</v>
      </c>
    </row>
    <row customHeight="1" ht="21" hidden="1">
      <c r="A3" s="1373"/>
      <c r="B3" s="1373"/>
      <c r="C3" s="1373"/>
      <c r="D3" s="1373"/>
      <c r="E3" s="2269"/>
      <c r="F3" s="2268">
        <v>1</v>
      </c>
      <c r="G3" s="1373"/>
      <c r="H3" s="1373"/>
      <c r="I3" s="1373"/>
      <c r="J3" s="1373"/>
      <c r="K3" s="1373"/>
      <c r="L3" s="1374"/>
      <c r="M3" s="1375"/>
      <c r="N3" s="1375"/>
      <c r="O3" s="1375"/>
      <c r="P3" s="1420"/>
      <c r="Q3" s="1421"/>
      <c r="R3" s="363"/>
      <c r="S3" s="1346">
        <f>INDEX(PT_DIFFERENTIATION_NUM_TER,MATCH(B3,PT_DIFFERENTIATION_TER_ID,0))</f>
      </c>
      <c r="T3" s="318" t="s">
        <v>419</v>
      </c>
      <c r="U3" s="310"/>
      <c r="V3" s="2253"/>
      <c r="W3" s="2253"/>
      <c r="X3" s="2253"/>
      <c r="Y3" s="2253"/>
      <c r="Z3" s="2253"/>
      <c r="AA3" s="2254"/>
      <c r="AB3" s="2252">
        <f>INDEX(PT_DIFFERENTIATION_TER,MATCH(B3,PT_DIFFERENTIATION_TER_ID,0))</f>
      </c>
      <c r="AC3" s="2253"/>
      <c r="AD3" s="2253"/>
      <c r="AE3" s="2253"/>
      <c r="AF3" s="2253"/>
      <c r="AG3" s="2253"/>
      <c r="AH3" s="2253"/>
      <c r="AI3" s="2253"/>
      <c r="AJ3" s="2253"/>
      <c r="AK3" s="2253"/>
      <c r="AL3" s="2253"/>
      <c r="AM3" s="2253"/>
      <c r="AN3" s="2253"/>
      <c r="AO3" s="2253"/>
      <c r="AP3" s="2253"/>
      <c r="AQ3" s="2253"/>
      <c r="AR3" s="2253"/>
      <c r="AS3" s="2253"/>
      <c r="AT3" s="2254"/>
      <c r="AU3" s="1268" t="s">
        <v>420</v>
      </c>
      <c r="AW3" s="510"/>
      <c r="AX3" s="510" t="str">
        <f>IF(T3="","",T3)</f>
        <v>Территория действия тарифа</v>
      </c>
      <c r="AY3" s="510"/>
      <c r="AZ3" s="510"/>
      <c r="BA3" s="1165">
        <v>0</v>
      </c>
    </row>
    <row customHeight="1" ht="22.5" hidden="1">
      <c r="A4" s="1373"/>
      <c r="B4" s="1373"/>
      <c r="C4" s="1373"/>
      <c r="D4" s="1373"/>
      <c r="E4" s="2269"/>
      <c r="F4" s="2269"/>
      <c r="G4" s="2268">
        <v>1</v>
      </c>
      <c r="H4" s="1373"/>
      <c r="I4" s="1373"/>
      <c r="J4" s="1373"/>
      <c r="K4" s="1373"/>
      <c r="L4" s="1374"/>
      <c r="M4" s="1375"/>
      <c r="N4" s="1375"/>
      <c r="O4" s="1375"/>
      <c r="P4" s="1422"/>
      <c r="Q4" s="1421"/>
      <c r="R4" s="363"/>
      <c r="S4" s="1346">
        <f>INDEX(PT_DIFFERENTIATION_NUM_CS,MATCH(C4,PT_DIFFERENTIATION_CS_ID,0))</f>
      </c>
      <c r="T4" s="319" t="s">
        <v>421</v>
      </c>
      <c r="U4" s="310"/>
      <c r="V4" s="2253"/>
      <c r="W4" s="2253"/>
      <c r="X4" s="2253"/>
      <c r="Y4" s="2253"/>
      <c r="Z4" s="2253"/>
      <c r="AA4" s="2254"/>
      <c r="AB4" s="2252">
        <f>INDEX(PT_DIFFERENTIATION_CS,MATCH(C4,PT_DIFFERENTIATION_CS_ID,0))</f>
      </c>
      <c r="AC4" s="2253"/>
      <c r="AD4" s="2253"/>
      <c r="AE4" s="2253"/>
      <c r="AF4" s="2253"/>
      <c r="AG4" s="2253"/>
      <c r="AH4" s="2253"/>
      <c r="AI4" s="2253"/>
      <c r="AJ4" s="2253"/>
      <c r="AK4" s="2253"/>
      <c r="AL4" s="2253"/>
      <c r="AM4" s="2253"/>
      <c r="AN4" s="2253"/>
      <c r="AO4" s="2253"/>
      <c r="AP4" s="2253"/>
      <c r="AQ4" s="2253"/>
      <c r="AR4" s="2253"/>
      <c r="AS4" s="2253"/>
      <c r="AT4" s="2254"/>
      <c r="AU4" s="1268" t="s">
        <v>422</v>
      </c>
      <c r="AW4" s="510"/>
      <c r="AX4" s="510" t="str">
        <f>IF(T4="","",T4)</f>
        <v>Наименование системы теплоснабжения </v>
      </c>
      <c r="AY4" s="510"/>
      <c r="AZ4" s="510"/>
      <c r="BA4" s="1165">
        <v>0</v>
      </c>
    </row>
    <row customHeight="1" ht="21" hidden="1">
      <c r="A5" s="1373"/>
      <c r="B5" s="1373"/>
      <c r="C5" s="1373"/>
      <c r="D5" s="1373"/>
      <c r="E5" s="2269"/>
      <c r="F5" s="2269"/>
      <c r="G5" s="2269"/>
      <c r="H5" s="2268">
        <v>1</v>
      </c>
      <c r="I5" s="1373"/>
      <c r="J5" s="1373"/>
      <c r="K5" s="1373"/>
      <c r="L5" s="1374"/>
      <c r="M5" s="1375"/>
      <c r="N5" s="1375"/>
      <c r="O5" s="1375"/>
      <c r="P5" s="1422"/>
      <c r="Q5" s="1421"/>
      <c r="R5" s="363"/>
      <c r="S5" s="1346">
        <f>INDEX(PT_DIFFERENTIATION_NUM_IST_TE,MATCH(D5,PT_DIFFERENTIATION_IST_TE_ID,0))</f>
      </c>
      <c r="T5" s="320" t="s">
        <v>423</v>
      </c>
      <c r="U5" s="310"/>
      <c r="V5" s="2253"/>
      <c r="W5" s="2253"/>
      <c r="X5" s="2253"/>
      <c r="Y5" s="2253"/>
      <c r="Z5" s="2253"/>
      <c r="AA5" s="2254"/>
      <c r="AB5" s="2252">
        <f>INDEX(PT_DIFFERENTIATION_IST_TE,MATCH(D5,PT_DIFFERENTIATION_IST_TE_ID,0))</f>
      </c>
      <c r="AC5" s="2253"/>
      <c r="AD5" s="2253"/>
      <c r="AE5" s="2253"/>
      <c r="AF5" s="2253"/>
      <c r="AG5" s="2253"/>
      <c r="AH5" s="2253"/>
      <c r="AI5" s="2253"/>
      <c r="AJ5" s="2253"/>
      <c r="AK5" s="2253"/>
      <c r="AL5" s="2253"/>
      <c r="AM5" s="2253"/>
      <c r="AN5" s="2253"/>
      <c r="AO5" s="2253"/>
      <c r="AP5" s="2253"/>
      <c r="AQ5" s="2253"/>
      <c r="AR5" s="2253"/>
      <c r="AS5" s="2253"/>
      <c r="AT5" s="2254"/>
      <c r="AU5" s="1268" t="s">
        <v>424</v>
      </c>
      <c r="AW5" s="510"/>
      <c r="AX5" s="510" t="str">
        <f>IF(T5="","",T5)</f>
        <v>Источник тепловой энергии  </v>
      </c>
      <c r="AY5" s="510"/>
      <c r="AZ5" s="510"/>
      <c r="BA5" s="1165">
        <v>0</v>
      </c>
    </row>
    <row s="1652" customFormat="1" customHeight="1" ht="0.75" hidden="1">
      <c r="A6" s="1353"/>
      <c r="B6" s="1353"/>
      <c r="C6" s="1353"/>
      <c r="D6" s="1353"/>
      <c r="E6" s="2269"/>
      <c r="F6" s="2269"/>
      <c r="G6" s="2269"/>
      <c r="H6" s="2269"/>
      <c r="I6" s="2266">
        <f>S5&amp;".1"</f>
      </c>
      <c r="J6" s="1353"/>
      <c r="K6" s="1353"/>
      <c r="L6" s="1356" t="s">
        <v>425</v>
      </c>
      <c r="M6" s="520"/>
      <c r="N6" s="520"/>
      <c r="O6" s="520"/>
      <c r="P6" s="2267">
        <v>1</v>
      </c>
      <c r="Q6" s="1341"/>
      <c r="R6" s="366"/>
      <c r="S6" s="1052"/>
      <c r="T6" s="1393"/>
      <c r="U6" s="1394"/>
      <c r="V6" s="2307"/>
      <c r="W6" s="2307"/>
      <c r="X6" s="2307"/>
      <c r="Y6" s="2307"/>
      <c r="Z6" s="2307"/>
      <c r="AA6" s="2308"/>
      <c r="AB6" s="2306"/>
      <c r="AC6" s="2307"/>
      <c r="AD6" s="2307"/>
      <c r="AE6" s="2307"/>
      <c r="AF6" s="2307"/>
      <c r="AG6" s="2307"/>
      <c r="AH6" s="2307"/>
      <c r="AI6" s="2307"/>
      <c r="AJ6" s="2307"/>
      <c r="AK6" s="2307"/>
      <c r="AL6" s="2307"/>
      <c r="AM6" s="2307"/>
      <c r="AN6" s="2307"/>
      <c r="AO6" s="2307"/>
      <c r="AP6" s="2307"/>
      <c r="AQ6" s="2307"/>
      <c r="AR6" s="2307"/>
      <c r="AS6" s="2307"/>
      <c r="AT6" s="2308"/>
      <c r="AU6" s="1395"/>
      <c r="AW6" s="510"/>
      <c r="AX6" s="510" t="str">
        <f>IF(T6="","",T6)</f>
        <v/>
      </c>
      <c r="AY6" s="510"/>
      <c r="AZ6" s="510"/>
      <c r="BA6" s="521">
        <v>0</v>
      </c>
    </row>
    <row s="1652" customFormat="1" customHeight="1" ht="0.75" hidden="1">
      <c r="A7" s="1353"/>
      <c r="B7" s="1353"/>
      <c r="C7" s="1353"/>
      <c r="D7" s="1353"/>
      <c r="E7" s="2269"/>
      <c r="F7" s="2269"/>
      <c r="G7" s="2269"/>
      <c r="H7" s="2269"/>
      <c r="I7" s="2296"/>
      <c r="J7" s="2266">
        <f>S5&amp;".1"</f>
      </c>
      <c r="K7" s="1353"/>
      <c r="L7" s="1356"/>
      <c r="M7" s="520"/>
      <c r="N7" s="520"/>
      <c r="O7" s="520"/>
      <c r="P7" s="2267"/>
      <c r="Q7" s="2267">
        <v>1</v>
      </c>
      <c r="R7" s="367"/>
      <c r="S7" s="1052"/>
      <c r="T7" s="1409"/>
      <c r="U7" s="1394"/>
      <c r="V7" s="2307"/>
      <c r="W7" s="2307"/>
      <c r="X7" s="2307"/>
      <c r="Y7" s="2307"/>
      <c r="Z7" s="2307"/>
      <c r="AA7" s="2308"/>
      <c r="AB7" s="2306"/>
      <c r="AC7" s="2307"/>
      <c r="AD7" s="2307"/>
      <c r="AE7" s="2307"/>
      <c r="AF7" s="2307"/>
      <c r="AG7" s="2307"/>
      <c r="AH7" s="2307"/>
      <c r="AI7" s="2307"/>
      <c r="AJ7" s="2307"/>
      <c r="AK7" s="2307"/>
      <c r="AL7" s="2307"/>
      <c r="AM7" s="2307"/>
      <c r="AN7" s="2307"/>
      <c r="AO7" s="2307"/>
      <c r="AP7" s="2307"/>
      <c r="AQ7" s="2307"/>
      <c r="AR7" s="2307"/>
      <c r="AS7" s="2307"/>
      <c r="AT7" s="2308"/>
      <c r="AU7" s="1395"/>
      <c r="AW7" s="510"/>
      <c r="AX7" s="510" t="str">
        <f>IF(T7="","",T7)</f>
        <v/>
      </c>
      <c r="AY7" s="510"/>
      <c r="AZ7" s="510"/>
      <c r="BA7" s="521">
        <v>0</v>
      </c>
    </row>
    <row customHeight="1" ht="21" hidden="1">
      <c r="A8" s="1373"/>
      <c r="B8" s="1373"/>
      <c r="C8" s="1373"/>
      <c r="D8" s="1373"/>
      <c r="E8" s="2269"/>
      <c r="F8" s="2269"/>
      <c r="G8" s="2269"/>
      <c r="H8" s="2269"/>
      <c r="I8" s="2296"/>
      <c r="J8" s="2296"/>
      <c r="K8" s="2266">
        <f>S5&amp;".1"</f>
      </c>
      <c r="L8" s="1374"/>
      <c r="P8" s="2267"/>
      <c r="Q8" s="2267"/>
      <c r="R8" s="2357">
        <v>1</v>
      </c>
      <c r="S8" s="2351">
        <f>$K8</f>
      </c>
      <c r="T8" s="2354"/>
      <c r="U8" s="310"/>
      <c r="V8" s="761"/>
      <c r="W8" s="1267"/>
      <c r="X8" s="2275"/>
      <c r="Y8" s="2117" t="s">
        <v>66</v>
      </c>
      <c r="Z8" s="2275"/>
      <c r="AA8" s="2117" t="s">
        <v>66</v>
      </c>
      <c r="AB8" s="2117" t="s">
        <v>19</v>
      </c>
      <c r="AC8" s="2336"/>
      <c r="AD8" s="2215">
        <v>1</v>
      </c>
      <c r="AE8" s="2337"/>
      <c r="AF8" s="2117" t="s">
        <v>19</v>
      </c>
      <c r="AG8" s="2336"/>
      <c r="AH8" s="2215">
        <v>1</v>
      </c>
      <c r="AI8" s="2337"/>
      <c r="AJ8" s="2117" t="s">
        <v>19</v>
      </c>
      <c r="AK8" s="321"/>
      <c r="AL8" s="1347">
        <v>1</v>
      </c>
      <c r="AM8" s="1408"/>
      <c r="AN8" s="761"/>
      <c r="AO8" s="1267"/>
      <c r="AP8" s="1744"/>
      <c r="AQ8" s="1469" t="s">
        <v>66</v>
      </c>
      <c r="AR8" s="1744"/>
      <c r="AS8" s="1469" t="s">
        <v>66</v>
      </c>
      <c r="AT8" s="1358"/>
      <c r="AU8" s="2263" t="s">
        <v>486</v>
      </c>
      <c r="AV8" s="521">
        <f>STRCHECKDATE(V11:AT11)</f>
      </c>
      <c r="AW8" s="510"/>
      <c r="AX8" s="510" t="str">
        <f>IF(T8="","",T8)</f>
        <v/>
      </c>
      <c r="AY8" s="510"/>
      <c r="AZ8" s="510"/>
      <c r="BA8" s="1165">
        <v>0</v>
      </c>
    </row>
    <row customHeight="1" ht="11.25" hidden="1">
      <c r="A9" s="1373"/>
      <c r="B9" s="1373"/>
      <c r="C9" s="1373"/>
      <c r="D9" s="1373"/>
      <c r="E9" s="2269"/>
      <c r="F9" s="2269"/>
      <c r="G9" s="2269"/>
      <c r="H9" s="2269"/>
      <c r="I9" s="2296"/>
      <c r="J9" s="2296"/>
      <c r="K9" s="2266"/>
      <c r="L9" s="1374"/>
      <c r="P9" s="2267"/>
      <c r="Q9" s="2267"/>
      <c r="R9" s="2357"/>
      <c r="S9" s="2352"/>
      <c r="T9" s="2355"/>
      <c r="U9" s="310"/>
      <c r="V9" s="1403"/>
      <c r="W9" s="1407"/>
      <c r="X9" s="2275"/>
      <c r="Y9" s="2117"/>
      <c r="Z9" s="2275"/>
      <c r="AA9" s="2117"/>
      <c r="AB9" s="2117"/>
      <c r="AC9" s="2336"/>
      <c r="AD9" s="2215"/>
      <c r="AE9" s="2337"/>
      <c r="AF9" s="2117"/>
      <c r="AG9" s="2336"/>
      <c r="AH9" s="2215"/>
      <c r="AI9" s="2337"/>
      <c r="AJ9" s="2117"/>
      <c r="AK9" s="326"/>
      <c r="AL9" s="426"/>
      <c r="AM9" s="425" t="s">
        <v>487</v>
      </c>
      <c r="AN9" s="1403"/>
      <c r="AO9" s="1506"/>
      <c r="AP9" s="1403"/>
      <c r="AQ9" s="1403"/>
      <c r="AR9" s="1403"/>
      <c r="AS9" s="1403"/>
      <c r="AT9" s="1400"/>
      <c r="AU9" s="2264"/>
      <c r="AW9" s="510"/>
      <c r="AX9" s="510"/>
      <c r="AY9" s="510"/>
      <c r="AZ9" s="510"/>
      <c r="BA9" s="1165">
        <v>0</v>
      </c>
    </row>
    <row customHeight="1" ht="11.25" hidden="1">
      <c r="A10" s="1373"/>
      <c r="B10" s="1373"/>
      <c r="C10" s="1373"/>
      <c r="D10" s="1373"/>
      <c r="E10" s="2269"/>
      <c r="F10" s="2269"/>
      <c r="G10" s="2269"/>
      <c r="H10" s="2269"/>
      <c r="I10" s="2296"/>
      <c r="J10" s="2296"/>
      <c r="K10" s="2266"/>
      <c r="L10" s="1374"/>
      <c r="P10" s="2267"/>
      <c r="Q10" s="2267"/>
      <c r="R10" s="2357"/>
      <c r="S10" s="2352"/>
      <c r="T10" s="2355"/>
      <c r="U10" s="310"/>
      <c r="V10" s="1403"/>
      <c r="W10" s="1407"/>
      <c r="X10" s="2275"/>
      <c r="Y10" s="2117"/>
      <c r="Z10" s="2275"/>
      <c r="AA10" s="2117"/>
      <c r="AB10" s="2117"/>
      <c r="AC10" s="2336"/>
      <c r="AD10" s="2215"/>
      <c r="AE10" s="2337"/>
      <c r="AF10" s="2117"/>
      <c r="AG10" s="304"/>
      <c r="AH10" s="425"/>
      <c r="AI10" s="425" t="s">
        <v>488</v>
      </c>
      <c r="AJ10" s="1403"/>
      <c r="AK10" s="1403"/>
      <c r="AL10" s="1403"/>
      <c r="AM10" s="1403"/>
      <c r="AN10" s="1403"/>
      <c r="AO10" s="1506"/>
      <c r="AP10" s="1403"/>
      <c r="AQ10" s="1403"/>
      <c r="AR10" s="1403"/>
      <c r="AS10" s="1403"/>
      <c r="AT10" s="1400"/>
      <c r="AU10" s="2264"/>
      <c r="AW10" s="510"/>
      <c r="AX10" s="510"/>
      <c r="AY10" s="510"/>
      <c r="AZ10" s="510"/>
      <c r="BA10" s="1165">
        <v>0</v>
      </c>
    </row>
    <row customHeight="1" ht="11.25" hidden="1">
      <c r="A11" s="1373"/>
      <c r="B11" s="1373"/>
      <c r="C11" s="1373"/>
      <c r="D11" s="1373"/>
      <c r="E11" s="2269"/>
      <c r="F11" s="2269"/>
      <c r="G11" s="2269"/>
      <c r="H11" s="2269"/>
      <c r="I11" s="2296"/>
      <c r="J11" s="2296"/>
      <c r="K11" s="2266"/>
      <c r="L11" s="1374"/>
      <c r="P11" s="2267"/>
      <c r="Q11" s="2267"/>
      <c r="R11" s="2357"/>
      <c r="S11" s="2353"/>
      <c r="T11" s="2356"/>
      <c r="U11" s="310"/>
      <c r="V11" s="1403"/>
      <c r="W11" s="1406" t="str">
        <f>X8&amp;"-"&amp;Z8</f>
        <v>-</v>
      </c>
      <c r="X11" s="2276"/>
      <c r="Y11" s="2117"/>
      <c r="Z11" s="2276"/>
      <c r="AA11" s="2117"/>
      <c r="AB11" s="2117"/>
      <c r="AC11" s="322"/>
      <c r="AD11" s="324"/>
      <c r="AE11" s="425" t="s">
        <v>489</v>
      </c>
      <c r="AF11" s="1403"/>
      <c r="AG11" s="1403"/>
      <c r="AH11" s="1403"/>
      <c r="AI11" s="1403"/>
      <c r="AJ11" s="1403"/>
      <c r="AK11" s="1403"/>
      <c r="AL11" s="1403"/>
      <c r="AM11" s="1403"/>
      <c r="AN11" s="1403"/>
      <c r="AO11" s="1404" t="str">
        <f>AP8&amp;"-"&amp;AR8</f>
        <v>-</v>
      </c>
      <c r="AP11" s="1403"/>
      <c r="AQ11" s="1403"/>
      <c r="AR11" s="1403"/>
      <c r="AS11" s="1403"/>
      <c r="AT11" s="1359"/>
      <c r="AU11" s="2264"/>
      <c r="AW11" s="510"/>
      <c r="AX11" s="510" t="str">
        <f>IF(T11="","",T11)</f>
        <v/>
      </c>
      <c r="AY11" s="510"/>
      <c r="AZ11" s="510"/>
      <c r="BA11" s="1165">
        <v>0</v>
      </c>
    </row>
    <row customHeight="1" ht="11.25" hidden="1">
      <c r="A12" s="1373"/>
      <c r="B12" s="1373"/>
      <c r="C12" s="1373"/>
      <c r="D12" s="1373"/>
      <c r="E12" s="2269"/>
      <c r="F12" s="2269"/>
      <c r="G12" s="2269"/>
      <c r="H12" s="2269"/>
      <c r="I12" s="2296"/>
      <c r="J12" s="2266"/>
      <c r="K12" s="1373"/>
      <c r="L12" s="1374"/>
      <c r="P12" s="2267"/>
      <c r="Q12" s="2267"/>
      <c r="R12" s="366"/>
      <c r="S12" s="1288"/>
      <c r="T12" s="297" t="s">
        <v>490</v>
      </c>
      <c r="U12" s="377"/>
      <c r="V12" s="377"/>
      <c r="W12" s="377"/>
      <c r="X12" s="377"/>
      <c r="Y12" s="377"/>
      <c r="Z12" s="377"/>
      <c r="AA12" s="377"/>
      <c r="AB12" s="377"/>
      <c r="AC12" s="377"/>
      <c r="AD12" s="377"/>
      <c r="AE12" s="377"/>
      <c r="AF12" s="377"/>
      <c r="AG12" s="377"/>
      <c r="AH12" s="377"/>
      <c r="AI12" s="377"/>
      <c r="AJ12" s="377"/>
      <c r="AK12" s="377"/>
      <c r="AL12" s="377"/>
      <c r="AM12" s="377"/>
      <c r="AN12" s="377"/>
      <c r="AO12" s="377"/>
      <c r="AP12" s="377"/>
      <c r="AQ12" s="377"/>
      <c r="AR12" s="377"/>
      <c r="AS12" s="377"/>
      <c r="AT12" s="334"/>
      <c r="AU12" s="2265"/>
      <c r="AW12" s="510"/>
      <c r="AX12" s="510" t="str">
        <f>IF(T12="","",T12)</f>
        <v>Добавить строку</v>
      </c>
      <c r="AY12" s="510"/>
      <c r="AZ12" s="510"/>
      <c r="BA12" s="1165">
        <v>0</v>
      </c>
    </row>
    <row s="1652" customFormat="1" customHeight="1" ht="0.75" hidden="1">
      <c r="A13" s="1353"/>
      <c r="B13" s="1353"/>
      <c r="C13" s="1353"/>
      <c r="D13" s="1353"/>
      <c r="E13" s="2269"/>
      <c r="F13" s="2269"/>
      <c r="G13" s="2269"/>
      <c r="H13" s="2269"/>
      <c r="I13" s="2266"/>
      <c r="J13" s="1353"/>
      <c r="K13" s="1353"/>
      <c r="L13" s="1356"/>
      <c r="M13" s="520"/>
      <c r="N13" s="520"/>
      <c r="O13" s="520"/>
      <c r="P13" s="2267"/>
      <c r="Q13" s="1341"/>
      <c r="R13" s="366"/>
      <c r="S13" s="1396"/>
      <c r="T13" s="1397"/>
      <c r="U13" s="1398"/>
      <c r="V13" s="1398"/>
      <c r="W13" s="1398"/>
      <c r="X13" s="1398"/>
      <c r="Y13" s="1398"/>
      <c r="Z13" s="1398"/>
      <c r="AA13" s="1398"/>
      <c r="AB13" s="1398"/>
      <c r="AC13" s="1398"/>
      <c r="AD13" s="1398"/>
      <c r="AE13" s="1398"/>
      <c r="AF13" s="1398"/>
      <c r="AG13" s="1398"/>
      <c r="AH13" s="1398"/>
      <c r="AI13" s="1398"/>
      <c r="AJ13" s="1398"/>
      <c r="AK13" s="1398"/>
      <c r="AL13" s="1398"/>
      <c r="AM13" s="1398"/>
      <c r="AN13" s="1398"/>
      <c r="AO13" s="1398"/>
      <c r="AP13" s="1398"/>
      <c r="AQ13" s="1398"/>
      <c r="AR13" s="1398"/>
      <c r="AS13" s="1398"/>
      <c r="AT13" s="1398"/>
      <c r="AU13" s="1399"/>
      <c r="AW13" s="510"/>
      <c r="AX13" s="510" t="str">
        <f>IF(T13="","",T13)</f>
        <v/>
      </c>
      <c r="AY13" s="510"/>
      <c r="AZ13" s="510"/>
      <c r="BA13" s="521">
        <v>0</v>
      </c>
    </row>
    <row s="1652" customFormat="1" customHeight="1" ht="0.75" hidden="1">
      <c r="A14" s="1353"/>
      <c r="B14" s="1353"/>
      <c r="C14" s="1353"/>
      <c r="D14" s="1353"/>
      <c r="E14" s="2269"/>
      <c r="F14" s="2269"/>
      <c r="G14" s="2269"/>
      <c r="H14" s="2268"/>
      <c r="I14" s="1353"/>
      <c r="J14" s="1353"/>
      <c r="K14" s="1353"/>
      <c r="L14" s="1356"/>
      <c r="M14" s="1325"/>
      <c r="N14" s="1325"/>
      <c r="O14" s="528"/>
      <c r="P14" s="390"/>
      <c r="Q14" s="1354"/>
      <c r="R14" s="1411"/>
      <c r="S14" s="1396"/>
      <c r="T14" s="1397"/>
      <c r="U14" s="1398"/>
      <c r="V14" s="1398"/>
      <c r="W14" s="1398"/>
      <c r="X14" s="1398"/>
      <c r="Y14" s="1398"/>
      <c r="Z14" s="1398"/>
      <c r="AA14" s="1398"/>
      <c r="AB14" s="1398"/>
      <c r="AC14" s="1398"/>
      <c r="AD14" s="1398"/>
      <c r="AE14" s="1398"/>
      <c r="AF14" s="1398"/>
      <c r="AG14" s="1398"/>
      <c r="AH14" s="1398"/>
      <c r="AI14" s="1398"/>
      <c r="AJ14" s="1398"/>
      <c r="AK14" s="1398"/>
      <c r="AL14" s="1398"/>
      <c r="AM14" s="1398"/>
      <c r="AN14" s="1398"/>
      <c r="AO14" s="1398"/>
      <c r="AP14" s="1398"/>
      <c r="AQ14" s="1398"/>
      <c r="AR14" s="1398"/>
      <c r="AS14" s="1398"/>
      <c r="AT14" s="1398"/>
      <c r="AU14" s="1399"/>
      <c r="AW14" s="510"/>
      <c r="AX14" s="510" t="str">
        <f>IF(T14="","",T14)</f>
        <v/>
      </c>
      <c r="AY14" s="510"/>
      <c r="AZ14" s="510"/>
      <c r="BA14" s="521">
        <v>0</v>
      </c>
    </row>
    <row s="1652" customFormat="1" customHeight="1" ht="0.75" hidden="1">
      <c r="A15" s="1353"/>
      <c r="B15" s="1353"/>
      <c r="C15" s="1353"/>
      <c r="D15" s="1324"/>
      <c r="E15" s="2269"/>
      <c r="F15" s="2269"/>
      <c r="G15" s="2268"/>
      <c r="H15" s="1324"/>
      <c r="I15" s="1324"/>
      <c r="J15" s="1324"/>
      <c r="K15" s="1324"/>
      <c r="L15" s="1349"/>
      <c r="M15" s="1325"/>
      <c r="N15" s="1325"/>
      <c r="P15" s="1326"/>
      <c r="Q15" s="1327"/>
      <c r="R15" s="1326"/>
      <c r="S15" s="1332"/>
      <c r="T15" s="1335" t="s">
        <v>436</v>
      </c>
      <c r="U15" s="1334"/>
      <c r="V15" s="1334"/>
      <c r="W15" s="1334"/>
      <c r="X15" s="1334"/>
      <c r="Y15" s="1334"/>
      <c r="Z15" s="1334"/>
      <c r="AA15" s="1334"/>
      <c r="AB15" s="1334"/>
      <c r="AC15" s="1334"/>
      <c r="AD15" s="1334"/>
      <c r="AE15" s="1334"/>
      <c r="AF15" s="1334"/>
      <c r="AG15" s="1334"/>
      <c r="AH15" s="1334"/>
      <c r="AI15" s="1334"/>
      <c r="AJ15" s="1334"/>
      <c r="AK15" s="1334"/>
      <c r="AL15" s="1334"/>
      <c r="AM15" s="1334"/>
      <c r="AN15" s="1334"/>
      <c r="AO15" s="1334"/>
      <c r="AP15" s="1334"/>
      <c r="AQ15" s="1334"/>
      <c r="AR15" s="1334"/>
      <c r="AS15" s="1334"/>
      <c r="AT15" s="1334"/>
      <c r="AU15" s="1334"/>
      <c r="AW15" s="799"/>
      <c r="AX15" s="799" t="str">
        <f>IF(T15="","",T15)</f>
        <v>Добавить источник для дифференциации</v>
      </c>
      <c r="AY15" s="799"/>
      <c r="AZ15" s="799"/>
      <c r="BA15" s="528">
        <v>0</v>
      </c>
    </row>
    <row s="1652" customFormat="1" customHeight="1" ht="0.75" hidden="1">
      <c r="A16" s="1353"/>
      <c r="B16" s="1353"/>
      <c r="C16" s="1324"/>
      <c r="D16" s="1324"/>
      <c r="E16" s="2269"/>
      <c r="F16" s="2268"/>
      <c r="G16" s="1324"/>
      <c r="H16" s="1324"/>
      <c r="I16" s="1324"/>
      <c r="J16" s="1324"/>
      <c r="K16" s="1324"/>
      <c r="L16" s="1349"/>
      <c r="M16" s="1331"/>
      <c r="N16" s="1331"/>
      <c r="P16" s="1326"/>
      <c r="Q16" s="1327"/>
      <c r="R16" s="1326"/>
      <c r="S16" s="1332"/>
      <c r="T16" s="1335" t="s">
        <v>437</v>
      </c>
      <c r="U16" s="1334"/>
      <c r="V16" s="1334"/>
      <c r="W16" s="1334"/>
      <c r="X16" s="1334"/>
      <c r="Y16" s="1334"/>
      <c r="Z16" s="1334"/>
      <c r="AA16" s="1334"/>
      <c r="AB16" s="1334"/>
      <c r="AC16" s="1334"/>
      <c r="AD16" s="1334"/>
      <c r="AE16" s="1334"/>
      <c r="AF16" s="1334"/>
      <c r="AG16" s="1334"/>
      <c r="AH16" s="1334"/>
      <c r="AI16" s="1334"/>
      <c r="AJ16" s="1334"/>
      <c r="AK16" s="1334"/>
      <c r="AL16" s="1334"/>
      <c r="AM16" s="1334"/>
      <c r="AN16" s="1334"/>
      <c r="AO16" s="1334"/>
      <c r="AP16" s="1334"/>
      <c r="AQ16" s="1334"/>
      <c r="AR16" s="1334"/>
      <c r="AS16" s="1334"/>
      <c r="AT16" s="1334"/>
      <c r="AU16" s="1334"/>
      <c r="AW16" s="799"/>
      <c r="AX16" s="799" t="str">
        <f>IF(T16="","",T16)</f>
        <v>Добавить централизованную систему для дифференциации</v>
      </c>
      <c r="AY16" s="799"/>
      <c r="AZ16" s="799"/>
      <c r="BA16" s="528">
        <v>0</v>
      </c>
    </row>
    <row s="1652" customFormat="1" customHeight="1" ht="0.75" hidden="1">
      <c r="A17" s="1353"/>
      <c r="B17" s="1353"/>
      <c r="C17" s="1353"/>
      <c r="D17" s="1353"/>
      <c r="E17" s="2268"/>
      <c r="F17" s="1353"/>
      <c r="G17" s="1353"/>
      <c r="H17" s="1353"/>
      <c r="I17" s="1353"/>
      <c r="J17" s="1353"/>
      <c r="K17" s="1353"/>
      <c r="L17" s="1356"/>
      <c r="M17" s="1331"/>
      <c r="N17" s="1331"/>
      <c r="O17" s="528"/>
      <c r="P17" s="390"/>
      <c r="Q17" s="1354"/>
      <c r="R17" s="390"/>
      <c r="S17" s="1332"/>
      <c r="T17" s="1335" t="s">
        <v>438</v>
      </c>
      <c r="U17" s="1334"/>
      <c r="V17" s="1334"/>
      <c r="W17" s="1334"/>
      <c r="X17" s="1334"/>
      <c r="Y17" s="1334"/>
      <c r="Z17" s="1334"/>
      <c r="AA17" s="1334"/>
      <c r="AB17" s="1334"/>
      <c r="AC17" s="1334"/>
      <c r="AD17" s="1334"/>
      <c r="AE17" s="1334"/>
      <c r="AF17" s="1334"/>
      <c r="AG17" s="1334"/>
      <c r="AH17" s="1334"/>
      <c r="AI17" s="1334"/>
      <c r="AJ17" s="1334"/>
      <c r="AK17" s="1334"/>
      <c r="AL17" s="1334"/>
      <c r="AM17" s="1334"/>
      <c r="AN17" s="1334"/>
      <c r="AO17" s="1334"/>
      <c r="AP17" s="1334"/>
      <c r="AQ17" s="1334"/>
      <c r="AR17" s="1334"/>
      <c r="AS17" s="1334"/>
      <c r="AT17" s="1334"/>
      <c r="AU17" s="1334"/>
      <c r="AW17" s="510"/>
      <c r="AX17" s="510" t="str">
        <f>IF(T17="","",T17)</f>
        <v>Добавить территорию для дифференциации</v>
      </c>
      <c r="AY17" s="510"/>
      <c r="AZ17" s="510"/>
      <c r="BA17" s="521">
        <v>0</v>
      </c>
    </row>
    <row customHeight="1" ht="14.25" hidden="1">
      <c r="AA18" s="337"/>
      <c r="AS18" s="337"/>
      <c r="BA18" s="1165">
        <v>0</v>
      </c>
    </row>
    <row customHeight="1" ht="14.25" hidden="1">
      <c r="AB19" s="1334" t="s">
        <v>19</v>
      </c>
      <c r="AC19" s="1511"/>
      <c r="AD19" s="558">
        <v>1</v>
      </c>
      <c r="AE19" s="1512"/>
      <c r="AF19" s="1334" t="s">
        <v>19</v>
      </c>
      <c r="AG19" s="1511"/>
      <c r="AH19" s="558">
        <v>1</v>
      </c>
      <c r="AI19" s="1512"/>
      <c r="AJ19" s="1334" t="s">
        <v>19</v>
      </c>
      <c r="AK19" s="1513"/>
      <c r="AL19" s="558">
        <v>1</v>
      </c>
      <c r="AM19" s="1516"/>
      <c r="AN19" s="1413"/>
      <c r="AO19" s="1414"/>
      <c r="AP19" s="1746"/>
      <c r="AQ19" s="1470" t="s">
        <v>66</v>
      </c>
      <c r="AR19" s="1746"/>
      <c r="AS19" s="1470" t="s">
        <v>66</v>
      </c>
      <c r="BA19" s="1165">
        <v>0</v>
      </c>
    </row>
    <row customHeight="1" ht="14.25" hidden="1">
      <c r="AV20" s="506"/>
      <c r="AW20" s="506"/>
      <c r="AX20" s="506"/>
      <c r="AY20" s="506"/>
      <c r="AZ20" s="506"/>
      <c r="BA20" s="1165">
        <v>0</v>
      </c>
    </row>
    <row customHeight="1" ht="14.25" hidden="1">
      <c r="O21" s="1377" t="s">
        <v>439</v>
      </c>
      <c r="X21" s="1355"/>
      <c r="Z21" s="1355"/>
      <c r="AA21" s="337"/>
      <c r="AP21" s="1355"/>
      <c r="AR21" s="1355"/>
      <c r="AS21" s="337"/>
      <c r="AV21" s="506"/>
      <c r="AW21" s="506"/>
      <c r="AX21" s="506"/>
      <c r="AY21" s="506"/>
      <c r="AZ21" s="506"/>
      <c r="BA21" s="1165">
        <v>0</v>
      </c>
    </row>
    <row customHeight="1" ht="14.25" hidden="1">
      <c r="AA22" s="337"/>
      <c r="AS22" s="337"/>
      <c r="AV22" s="506"/>
      <c r="AW22" s="506"/>
      <c r="AX22" s="506"/>
      <c r="AY22" s="506"/>
      <c r="AZ22" s="506"/>
      <c r="BA22" s="1165">
        <v>0</v>
      </c>
    </row>
    <row s="1519" customFormat="1" customHeight="1" ht="14.25" hidden="1">
      <c r="M23" s="1518"/>
      <c r="N23" s="1518"/>
      <c r="O23" s="1519" t="s">
        <v>440</v>
      </c>
      <c r="P23" s="1518"/>
      <c r="Q23" s="1520"/>
      <c r="R23" s="1520"/>
      <c r="Y23" s="1517" t="s">
        <v>442</v>
      </c>
      <c r="AA23" s="1517" t="s">
        <v>443</v>
      </c>
      <c r="AB23" s="1517" t="s">
        <v>491</v>
      </c>
      <c r="AE23" s="1517" t="s">
        <v>492</v>
      </c>
      <c r="AF23" s="1517" t="s">
        <v>491</v>
      </c>
      <c r="AI23" s="1517" t="s">
        <v>493</v>
      </c>
      <c r="AJ23" s="1517" t="s">
        <v>491</v>
      </c>
      <c r="AM23" s="1517" t="s">
        <v>494</v>
      </c>
      <c r="AQ23" s="1517" t="s">
        <v>442</v>
      </c>
      <c r="AS23" s="1517" t="s">
        <v>443</v>
      </c>
      <c r="AV23" s="1521"/>
      <c r="AW23" s="1521"/>
      <c r="AX23" s="1521"/>
      <c r="AY23" s="1521"/>
      <c r="AZ23" s="1521"/>
      <c r="BA23" s="1517">
        <v>0</v>
      </c>
    </row>
    <row customHeight="1" ht="14.25" hidden="1">
      <c r="O24" s="1374"/>
      <c r="AV24" s="506"/>
      <c r="AW24" s="506"/>
      <c r="AX24" s="506"/>
      <c r="AY24" s="506"/>
      <c r="AZ24" s="506"/>
      <c r="BA24" s="1165">
        <v>0</v>
      </c>
    </row>
    <row customHeight="1" ht="14.25" hidden="1">
      <c r="O25" s="1374"/>
      <c r="AV25" s="506"/>
      <c r="AW25" s="506"/>
      <c r="AX25" s="506"/>
      <c r="AY25" s="506"/>
      <c r="AZ25" s="506"/>
      <c r="BA25" s="1165">
        <v>0</v>
      </c>
    </row>
    <row customHeight="1" ht="14.699999999999998">
      <c r="Q26" s="301"/>
      <c r="R26" s="386"/>
      <c r="S26" s="1285"/>
      <c r="T26" s="373"/>
      <c r="U26" s="373"/>
      <c r="V26" s="519"/>
      <c r="W26" s="519"/>
      <c r="X26" s="519"/>
      <c r="Y26" s="519"/>
      <c r="Z26" s="519"/>
      <c r="AA26" s="519"/>
      <c r="AB26" s="519"/>
      <c r="AC26" s="519"/>
      <c r="AD26" s="519"/>
      <c r="AE26" s="519"/>
      <c r="AF26" s="519"/>
      <c r="AG26" s="519"/>
      <c r="AH26" s="519"/>
      <c r="AI26" s="519"/>
      <c r="AJ26" s="519"/>
      <c r="AK26" s="519"/>
      <c r="AL26" s="519"/>
      <c r="AM26" s="519"/>
      <c r="AN26" s="519"/>
      <c r="AO26" s="519"/>
      <c r="AP26" s="519"/>
      <c r="AQ26" s="519"/>
      <c r="AR26" s="519"/>
      <c r="AS26" s="519"/>
      <c r="BA26" s="1165">
        <v>14</v>
      </c>
    </row>
    <row customHeight="1" ht="27.299999999999997">
      <c r="Q27" s="301"/>
      <c r="R27" s="386"/>
      <c r="S27" s="225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8"/>
      <c r="U27" s="2258"/>
      <c r="V27" s="2258"/>
      <c r="W27" s="2258"/>
      <c r="X27" s="2258"/>
      <c r="Y27" s="2258"/>
      <c r="Z27" s="2258"/>
      <c r="AA27" s="2258"/>
      <c r="AB27" s="2258"/>
      <c r="AC27" s="2258"/>
      <c r="AD27" s="2258"/>
      <c r="AE27" s="2258"/>
      <c r="AF27" s="2258"/>
      <c r="AG27" s="2258"/>
      <c r="AH27" s="2258"/>
      <c r="AI27" s="2258"/>
      <c r="AJ27" s="2258"/>
      <c r="AK27" s="2258"/>
      <c r="AL27" s="2258"/>
      <c r="AM27" s="2258"/>
      <c r="AN27" s="2258"/>
      <c r="AO27" s="2258"/>
      <c r="AP27" s="2258"/>
      <c r="AQ27" s="2258"/>
      <c r="AR27" s="2258"/>
      <c r="AS27" s="1253"/>
      <c r="BA27" s="1165">
        <v>26</v>
      </c>
    </row>
    <row customHeight="1" ht="14.699999999999998">
      <c r="Q28" s="301"/>
      <c r="R28" s="386"/>
      <c r="S28" s="2259" t="str">
        <f>IF(org=0,"Не определено",org)</f>
        <v>АО «ДГК» СП «Нерюнгринская ГРЭС»</v>
      </c>
      <c r="T28" s="2259"/>
      <c r="U28" s="2259"/>
      <c r="V28" s="2259"/>
      <c r="W28" s="2259"/>
      <c r="X28" s="2259"/>
      <c r="Y28" s="2259"/>
      <c r="Z28" s="2259"/>
      <c r="AA28" s="2259"/>
      <c r="AB28" s="2259"/>
      <c r="AC28" s="2259"/>
      <c r="AD28" s="2259"/>
      <c r="AE28" s="2259"/>
      <c r="AF28" s="2259"/>
      <c r="AG28" s="2259"/>
      <c r="AH28" s="2259"/>
      <c r="AI28" s="2259"/>
      <c r="AJ28" s="2259"/>
      <c r="AK28" s="2259"/>
      <c r="AL28" s="2259"/>
      <c r="AM28" s="2259"/>
      <c r="AN28" s="2259"/>
      <c r="AO28" s="2259"/>
      <c r="AP28" s="2259"/>
      <c r="AQ28" s="2259"/>
      <c r="AR28" s="2259"/>
      <c r="AS28" s="1253"/>
      <c r="BA28" s="1165">
        <v>14</v>
      </c>
    </row>
    <row customHeight="1" ht="14.25" hidden="1">
      <c r="Q29" s="301"/>
      <c r="R29" s="386"/>
      <c r="S29" s="1285"/>
      <c r="T29" s="373"/>
      <c r="U29" s="373"/>
      <c r="V29" s="332"/>
      <c r="W29" s="332"/>
      <c r="X29" s="332"/>
      <c r="Y29" s="332"/>
      <c r="Z29" s="332"/>
      <c r="AA29" s="332"/>
      <c r="AB29" s="332"/>
      <c r="AC29" s="332"/>
      <c r="AD29" s="332"/>
      <c r="AE29" s="332"/>
      <c r="AF29" s="332"/>
      <c r="AG29" s="332"/>
      <c r="AH29" s="332"/>
      <c r="AI29" s="332"/>
      <c r="AJ29" s="332"/>
      <c r="AK29" s="332"/>
      <c r="AL29" s="332"/>
      <c r="AM29" s="332"/>
      <c r="AN29" s="332"/>
      <c r="AO29" s="332"/>
      <c r="AP29" s="332"/>
      <c r="AQ29" s="332"/>
      <c r="AR29" s="332"/>
      <c r="AS29" s="332"/>
      <c r="AT29" s="519"/>
      <c r="BA29" s="1165">
        <v>0</v>
      </c>
    </row>
    <row s="1863" customFormat="1" customHeight="1" ht="25.5" hidden="1">
      <c r="A30" s="1378"/>
      <c r="B30" s="1378"/>
      <c r="C30" s="1378"/>
      <c r="D30" s="1378"/>
      <c r="E30" s="1378"/>
      <c r="F30" s="1378"/>
      <c r="G30" s="1378"/>
      <c r="H30" s="1378"/>
      <c r="I30" s="1378"/>
      <c r="J30" s="1378"/>
      <c r="K30" s="1378"/>
      <c r="L30" s="1379"/>
      <c r="M30" s="1378"/>
      <c r="N30" s="1378"/>
      <c r="O30" s="1378"/>
      <c r="P30" s="1378"/>
      <c r="Q30" s="1378"/>
      <c r="S30" s="2260" t="s">
        <v>42</v>
      </c>
      <c r="T30" s="2260"/>
      <c r="U30" s="1382"/>
      <c r="V30" s="2261" t="str">
        <f>IF(TITLE_NAME_OR_PR_CHANGE="",IF(TITLE_NAME_OR_PR="","",TITLE_NAME_OR_PR),TITLE_NAME_OR_PR_CHANGE)</f>
        <v/>
      </c>
      <c r="W30" s="2261"/>
      <c r="X30" s="2261"/>
      <c r="Y30" s="2261"/>
      <c r="Z30" s="2261"/>
      <c r="AA30" s="336"/>
      <c r="AB30" s="2261" t="str">
        <f>IF(TITLE_NAME_OR_PR_CHANGE="",IF(TITLE_NAME_OR_PR="","",TITLE_NAME_OR_PR),TITLE_NAME_OR_PR_CHANGE)</f>
        <v/>
      </c>
      <c r="AC30" s="2261"/>
      <c r="AD30" s="2261"/>
      <c r="AE30" s="2261"/>
      <c r="AF30" s="2261"/>
      <c r="AG30" s="2261"/>
      <c r="AH30" s="2261"/>
      <c r="AI30" s="2261"/>
      <c r="AJ30" s="2261"/>
      <c r="AK30" s="2261"/>
      <c r="AL30" s="2261"/>
      <c r="AM30" s="2261"/>
      <c r="AN30" s="2261"/>
      <c r="AO30" s="2261"/>
      <c r="AP30" s="2261"/>
      <c r="AQ30" s="2261"/>
      <c r="AR30" s="2261"/>
      <c r="AS30" s="336"/>
      <c r="AT30" s="336"/>
      <c r="AU30" s="290"/>
      <c r="AV30" s="378"/>
      <c r="AW30" s="378"/>
      <c r="AX30" s="378"/>
      <c r="AY30" s="378"/>
      <c r="AZ30" s="378"/>
      <c r="BA30" s="428">
        <v>0</v>
      </c>
    </row>
    <row s="1863" customFormat="1" customHeight="1" ht="18.75" hidden="1">
      <c r="A31" s="1378"/>
      <c r="B31" s="1378"/>
      <c r="C31" s="1378"/>
      <c r="D31" s="1378"/>
      <c r="E31" s="1378"/>
      <c r="F31" s="1378"/>
      <c r="G31" s="1378"/>
      <c r="H31" s="1378"/>
      <c r="I31" s="1378"/>
      <c r="J31" s="1378"/>
      <c r="K31" s="1378"/>
      <c r="L31" s="1379"/>
      <c r="M31" s="1378"/>
      <c r="N31" s="1378"/>
      <c r="O31" s="1378"/>
      <c r="P31" s="1378"/>
      <c r="Q31" s="1378"/>
      <c r="S31" s="2260" t="s">
        <v>445</v>
      </c>
      <c r="T31" s="2260"/>
      <c r="U31" s="1382"/>
      <c r="V31" s="2274" t="str">
        <f>IF(TITLE_DATE_PR_CHANGE="",IF(TITLE_DATE_PR="","",TITLE_DATE_PR),TITLE_DATE_PR_CHANGE)</f>
        <v/>
      </c>
      <c r="W31" s="2274"/>
      <c r="X31" s="2274"/>
      <c r="Y31" s="2274"/>
      <c r="Z31" s="2274"/>
      <c r="AA31" s="336"/>
      <c r="AB31" s="2274" t="str">
        <f>IF(TITLE_DATE_PR_CHANGE="",IF(TITLE_DATE_PR="","",TITLE_DATE_PR),TITLE_DATE_PR_CHANGE)</f>
        <v/>
      </c>
      <c r="AC31" s="2274"/>
      <c r="AD31" s="2274"/>
      <c r="AE31" s="2274"/>
      <c r="AF31" s="2274"/>
      <c r="AG31" s="2274"/>
      <c r="AH31" s="2274"/>
      <c r="AI31" s="2274"/>
      <c r="AJ31" s="2274"/>
      <c r="AK31" s="2274"/>
      <c r="AL31" s="2274"/>
      <c r="AM31" s="2274"/>
      <c r="AN31" s="2274"/>
      <c r="AO31" s="2274"/>
      <c r="AP31" s="2274"/>
      <c r="AQ31" s="2274"/>
      <c r="AR31" s="2274"/>
      <c r="AS31" s="336"/>
      <c r="AT31" s="336"/>
      <c r="AU31" s="290"/>
      <c r="AV31" s="378"/>
      <c r="AW31" s="378"/>
      <c r="AX31" s="378"/>
      <c r="AY31" s="378"/>
      <c r="AZ31" s="378"/>
      <c r="BA31" s="428">
        <v>0</v>
      </c>
    </row>
    <row s="1863" customFormat="1" customHeight="1" ht="18.75" hidden="1">
      <c r="A32" s="1378"/>
      <c r="B32" s="1378"/>
      <c r="C32" s="1378"/>
      <c r="D32" s="1378"/>
      <c r="E32" s="1378"/>
      <c r="F32" s="1378"/>
      <c r="G32" s="1378"/>
      <c r="H32" s="1378"/>
      <c r="I32" s="1378"/>
      <c r="J32" s="1378"/>
      <c r="K32" s="1378"/>
      <c r="L32" s="1379"/>
      <c r="M32" s="1378"/>
      <c r="N32" s="1378"/>
      <c r="O32" s="1378"/>
      <c r="P32" s="1378"/>
      <c r="Q32" s="1378"/>
      <c r="S32" s="2260" t="s">
        <v>446</v>
      </c>
      <c r="T32" s="2260"/>
      <c r="U32" s="1382"/>
      <c r="V32" s="2261" t="str">
        <f>IF(TITLE_NUMBER_PR_CHANGE="",IF(TITLE_NUMBER_PR="","",TITLE_NUMBER_PR),TITLE_NUMBER_PR_CHANGE)</f>
        <v/>
      </c>
      <c r="W32" s="2261"/>
      <c r="X32" s="2261"/>
      <c r="Y32" s="2261"/>
      <c r="Z32" s="2261"/>
      <c r="AA32" s="336"/>
      <c r="AB32" s="2261" t="str">
        <f>IF(TITLE_NUMBER_PR_CHANGE="",IF(TITLE_NUMBER_PR="","",TITLE_NUMBER_PR),TITLE_NUMBER_PR_CHANGE)</f>
        <v/>
      </c>
      <c r="AC32" s="2261"/>
      <c r="AD32" s="2261"/>
      <c r="AE32" s="2261"/>
      <c r="AF32" s="2261"/>
      <c r="AG32" s="2261"/>
      <c r="AH32" s="2261"/>
      <c r="AI32" s="2261"/>
      <c r="AJ32" s="2261"/>
      <c r="AK32" s="2261"/>
      <c r="AL32" s="2261"/>
      <c r="AM32" s="2261"/>
      <c r="AN32" s="2261"/>
      <c r="AO32" s="2261"/>
      <c r="AP32" s="2261"/>
      <c r="AQ32" s="2261"/>
      <c r="AR32" s="2261"/>
      <c r="AS32" s="336"/>
      <c r="AT32" s="336"/>
      <c r="AU32" s="290"/>
      <c r="AV32" s="378"/>
      <c r="AW32" s="378"/>
      <c r="AX32" s="378"/>
      <c r="AY32" s="378"/>
      <c r="AZ32" s="378"/>
      <c r="BA32" s="428">
        <v>0</v>
      </c>
    </row>
    <row s="1863" customFormat="1" customHeight="1" ht="18.75" hidden="1">
      <c r="A33" s="1378"/>
      <c r="B33" s="1378"/>
      <c r="C33" s="1378"/>
      <c r="D33" s="1378"/>
      <c r="E33" s="1378"/>
      <c r="F33" s="1378"/>
      <c r="G33" s="1378"/>
      <c r="H33" s="1378"/>
      <c r="I33" s="1378"/>
      <c r="J33" s="1378"/>
      <c r="K33" s="1378"/>
      <c r="L33" s="1379"/>
      <c r="M33" s="1378"/>
      <c r="N33" s="1378"/>
      <c r="O33" s="1378"/>
      <c r="P33" s="1378"/>
      <c r="Q33" s="1378"/>
      <c r="S33" s="2260" t="s">
        <v>43</v>
      </c>
      <c r="T33" s="2260"/>
      <c r="U33" s="1382"/>
      <c r="V33" s="2261" t="str">
        <f>IF(TITLE_IST_PUB_CHANGE="",IF(TITLE_IST_PUB="","",TITLE_IST_PUB),TITLE_IST_PUB_CHANGE)</f>
        <v/>
      </c>
      <c r="W33" s="2261"/>
      <c r="X33" s="2261"/>
      <c r="Y33" s="2261"/>
      <c r="Z33" s="2261"/>
      <c r="AA33" s="336"/>
      <c r="AB33" s="2261" t="str">
        <f>IF(TITLE_IST_PUB_CHANGE="",IF(TITLE_IST_PUB="","",TITLE_IST_PUB),TITLE_IST_PUB_CHANGE)</f>
        <v/>
      </c>
      <c r="AC33" s="2261"/>
      <c r="AD33" s="2261"/>
      <c r="AE33" s="2261"/>
      <c r="AF33" s="2261"/>
      <c r="AG33" s="2261"/>
      <c r="AH33" s="2261"/>
      <c r="AI33" s="2261"/>
      <c r="AJ33" s="2261"/>
      <c r="AK33" s="2261"/>
      <c r="AL33" s="2261"/>
      <c r="AM33" s="2261"/>
      <c r="AN33" s="2261"/>
      <c r="AO33" s="2261"/>
      <c r="AP33" s="2261"/>
      <c r="AQ33" s="2261"/>
      <c r="AR33" s="2261"/>
      <c r="AS33" s="336"/>
      <c r="AT33" s="336"/>
      <c r="AU33" s="290"/>
      <c r="AV33" s="378"/>
      <c r="AW33" s="378"/>
      <c r="AX33" s="378"/>
      <c r="AY33" s="378"/>
      <c r="AZ33" s="378"/>
      <c r="BA33" s="428">
        <v>0</v>
      </c>
    </row>
    <row customHeight="1" ht="14.25" hidden="1">
      <c r="Q34" s="301"/>
      <c r="R34" s="386"/>
      <c r="S34" s="1285"/>
      <c r="T34" s="373"/>
      <c r="U34" s="373"/>
      <c r="V34" s="332"/>
      <c r="W34" s="332"/>
      <c r="X34" s="332"/>
      <c r="Y34" s="332"/>
      <c r="Z34" s="332"/>
      <c r="AA34" s="332"/>
      <c r="AB34" s="332"/>
      <c r="AC34" s="332"/>
      <c r="AD34" s="332"/>
      <c r="AE34" s="332"/>
      <c r="AF34" s="332"/>
      <c r="AG34" s="332"/>
      <c r="AH34" s="332"/>
      <c r="AI34" s="332"/>
      <c r="AJ34" s="332"/>
      <c r="AK34" s="332"/>
      <c r="AL34" s="332"/>
      <c r="AM34" s="332"/>
      <c r="AN34" s="332"/>
      <c r="AO34" s="332"/>
      <c r="AP34" s="332"/>
      <c r="AQ34" s="332"/>
      <c r="AR34" s="332"/>
      <c r="AS34" s="332"/>
      <c r="AT34" s="519"/>
      <c r="BA34" s="1165">
        <v>0</v>
      </c>
    </row>
    <row s="1863" customFormat="1" customHeight="1" ht="18.75" hidden="1">
      <c r="A35" s="1378"/>
      <c r="B35" s="1378"/>
      <c r="C35" s="1378"/>
      <c r="D35" s="1378"/>
      <c r="E35" s="1378"/>
      <c r="F35" s="1378"/>
      <c r="G35" s="1378"/>
      <c r="H35" s="1378"/>
      <c r="I35" s="1378"/>
      <c r="J35" s="1378"/>
      <c r="K35" s="1378"/>
      <c r="L35" s="1379"/>
      <c r="M35" s="1378"/>
      <c r="N35" s="1378"/>
      <c r="O35" s="1378"/>
      <c r="P35" s="1378"/>
      <c r="Q35" s="1378"/>
      <c r="S35" s="2260" t="s">
        <v>445</v>
      </c>
      <c r="T35" s="2260"/>
      <c r="U35" s="1382"/>
      <c r="V35" s="2274" t="str">
        <f>IF(TITLE_DATE_PR_CHANGE="",IF(TITLE_DATE_PR="","",TITLE_DATE_PR),TITLE_DATE_PR_CHANGE)</f>
        <v/>
      </c>
      <c r="W35" s="2274"/>
      <c r="X35" s="2274"/>
      <c r="Y35" s="2274"/>
      <c r="Z35" s="2274"/>
      <c r="AA35" s="336"/>
      <c r="AB35" s="2274" t="str">
        <f>IF(TITLE_DATE_PR_CHANGE="",IF(TITLE_DATE_PR="","",TITLE_DATE_PR),TITLE_DATE_PR_CHANGE)</f>
        <v/>
      </c>
      <c r="AC35" s="2274"/>
      <c r="AD35" s="2274"/>
      <c r="AE35" s="2274"/>
      <c r="AF35" s="2274"/>
      <c r="AG35" s="2274"/>
      <c r="AH35" s="2274"/>
      <c r="AI35" s="2274"/>
      <c r="AJ35" s="2274"/>
      <c r="AK35" s="2274"/>
      <c r="AL35" s="2274"/>
      <c r="AM35" s="2274"/>
      <c r="AN35" s="2274"/>
      <c r="AO35" s="2274"/>
      <c r="AP35" s="2274"/>
      <c r="AQ35" s="2274"/>
      <c r="AR35" s="2274"/>
      <c r="AS35" s="336"/>
      <c r="AT35" s="336"/>
      <c r="AU35" s="290"/>
      <c r="AV35" s="378"/>
      <c r="AW35" s="378"/>
      <c r="AX35" s="378"/>
      <c r="AY35" s="378"/>
      <c r="AZ35" s="378"/>
      <c r="BA35" s="428">
        <v>0</v>
      </c>
    </row>
    <row s="1863" customFormat="1" customHeight="1" ht="18" hidden="1">
      <c r="A36" s="1378"/>
      <c r="B36" s="1378"/>
      <c r="C36" s="1378"/>
      <c r="D36" s="1378"/>
      <c r="E36" s="1378"/>
      <c r="F36" s="1378"/>
      <c r="G36" s="1378"/>
      <c r="H36" s="1378"/>
      <c r="I36" s="1378"/>
      <c r="J36" s="1378"/>
      <c r="K36" s="1378"/>
      <c r="L36" s="1379"/>
      <c r="M36" s="1378"/>
      <c r="N36" s="1378"/>
      <c r="O36" s="1378"/>
      <c r="P36" s="1378"/>
      <c r="Q36" s="1378"/>
      <c r="S36" s="2260" t="s">
        <v>446</v>
      </c>
      <c r="T36" s="2260"/>
      <c r="U36" s="1382"/>
      <c r="V36" s="2261" t="str">
        <f>IF(TITLE_NUMBER_PR_CHANGE="",IF(TITLE_NUMBER_PR="","",TITLE_NUMBER_PR),TITLE_NUMBER_PR_CHANGE)</f>
        <v/>
      </c>
      <c r="W36" s="2261"/>
      <c r="X36" s="2261"/>
      <c r="Y36" s="2261"/>
      <c r="Z36" s="2261"/>
      <c r="AA36" s="336"/>
      <c r="AB36" s="2261" t="str">
        <f>IF(TITLE_NUMBER_PR_CHANGE="",IF(TITLE_NUMBER_PR="","",TITLE_NUMBER_PR),TITLE_NUMBER_PR_CHANGE)</f>
        <v/>
      </c>
      <c r="AC36" s="2261"/>
      <c r="AD36" s="2261"/>
      <c r="AE36" s="2261"/>
      <c r="AF36" s="2261"/>
      <c r="AG36" s="2261"/>
      <c r="AH36" s="2261"/>
      <c r="AI36" s="2261"/>
      <c r="AJ36" s="2261"/>
      <c r="AK36" s="2261"/>
      <c r="AL36" s="2261"/>
      <c r="AM36" s="2261"/>
      <c r="AN36" s="2261"/>
      <c r="AO36" s="2261"/>
      <c r="AP36" s="2261"/>
      <c r="AQ36" s="2261"/>
      <c r="AR36" s="2261"/>
      <c r="AS36" s="336"/>
      <c r="AT36" s="336"/>
      <c r="AU36" s="290"/>
      <c r="AV36" s="378"/>
      <c r="AW36" s="378"/>
      <c r="AX36" s="378"/>
      <c r="AY36" s="378"/>
      <c r="AZ36" s="378"/>
      <c r="BA36" s="428">
        <v>0</v>
      </c>
    </row>
    <row s="1863" customFormat="1" customHeight="1" ht="1.05">
      <c r="A37" s="1378"/>
      <c r="B37" s="1378"/>
      <c r="C37" s="1378"/>
      <c r="D37" s="1378"/>
      <c r="E37" s="1378"/>
      <c r="F37" s="1378"/>
      <c r="G37" s="1378"/>
      <c r="H37" s="1378"/>
      <c r="I37" s="1378"/>
      <c r="J37" s="1378"/>
      <c r="K37" s="1378"/>
      <c r="L37" s="1379"/>
      <c r="M37" s="1378"/>
      <c r="N37" s="1378"/>
      <c r="O37" s="1378"/>
      <c r="P37" s="1378"/>
      <c r="Q37" s="1378"/>
      <c r="S37" s="333"/>
      <c r="T37" s="333"/>
      <c r="U37" s="1350"/>
      <c r="V37" s="336"/>
      <c r="W37" s="336"/>
      <c r="X37" s="336"/>
      <c r="Y37" s="336"/>
      <c r="Z37" s="336"/>
      <c r="AA37" s="288" t="s">
        <v>449</v>
      </c>
      <c r="AB37" s="336"/>
      <c r="AC37" s="336"/>
      <c r="AD37" s="336"/>
      <c r="AE37" s="336"/>
      <c r="AF37" s="336"/>
      <c r="AG37" s="336"/>
      <c r="AH37" s="336"/>
      <c r="AI37" s="336"/>
      <c r="AJ37" s="336"/>
      <c r="AK37" s="336"/>
      <c r="AL37" s="336"/>
      <c r="AM37" s="336"/>
      <c r="AN37" s="336"/>
      <c r="AO37" s="336"/>
      <c r="AP37" s="336"/>
      <c r="AQ37" s="336"/>
      <c r="AR37" s="336"/>
      <c r="AS37" s="288" t="s">
        <v>449</v>
      </c>
      <c r="AV37" s="378"/>
      <c r="AW37" s="378"/>
      <c r="AX37" s="378"/>
      <c r="AY37" s="378"/>
      <c r="AZ37" s="378"/>
      <c r="BA37" s="428">
        <v>1</v>
      </c>
    </row>
    <row customHeight="1" ht="14.699999999999998">
      <c r="Q38" s="301"/>
      <c r="R38" s="386"/>
      <c r="S38" s="1285"/>
      <c r="T38" s="373"/>
      <c r="U38" s="1254"/>
      <c r="V38" s="2262"/>
      <c r="W38" s="2262"/>
      <c r="X38" s="2262"/>
      <c r="Y38" s="2262"/>
      <c r="Z38" s="2262"/>
      <c r="AA38" s="2262"/>
      <c r="AB38" s="2262"/>
      <c r="AC38" s="2262"/>
      <c r="AD38" s="2262"/>
      <c r="AE38" s="2262"/>
      <c r="AF38" s="2262"/>
      <c r="AG38" s="2262"/>
      <c r="AH38" s="2262"/>
      <c r="AI38" s="2262"/>
      <c r="AJ38" s="2262"/>
      <c r="AK38" s="2262"/>
      <c r="AL38" s="2262"/>
      <c r="AM38" s="2262"/>
      <c r="AN38" s="2262"/>
      <c r="AO38" s="2262"/>
      <c r="AP38" s="2262"/>
      <c r="AQ38" s="2262"/>
      <c r="AR38" s="2262"/>
      <c r="AS38" s="2262"/>
      <c r="BA38" s="1165">
        <v>14</v>
      </c>
    </row>
    <row customHeight="1" ht="14.699999999999998">
      <c r="Q39" s="301"/>
      <c r="R39" s="386"/>
      <c r="S39" s="2137" t="s">
        <v>322</v>
      </c>
      <c r="T39" s="2137"/>
      <c r="U39" s="2137"/>
      <c r="V39" s="2137"/>
      <c r="W39" s="2137"/>
      <c r="X39" s="2137"/>
      <c r="Y39" s="2137"/>
      <c r="Z39" s="2137"/>
      <c r="AA39" s="2137"/>
      <c r="AB39" s="2185"/>
      <c r="AC39" s="2185"/>
      <c r="AD39" s="2185"/>
      <c r="AE39" s="2185"/>
      <c r="AF39" s="2137"/>
      <c r="AG39" s="2137"/>
      <c r="AH39" s="2137"/>
      <c r="AI39" s="2137"/>
      <c r="AJ39" s="2137"/>
      <c r="AK39" s="2137"/>
      <c r="AL39" s="2137"/>
      <c r="AM39" s="2137"/>
      <c r="AN39" s="2137"/>
      <c r="AO39" s="2137"/>
      <c r="AP39" s="2137"/>
      <c r="AQ39" s="2137"/>
      <c r="AR39" s="2137"/>
      <c r="AS39" s="2137"/>
      <c r="AT39" s="2137"/>
      <c r="AU39" s="2137" t="s">
        <v>323</v>
      </c>
      <c r="BA39" s="1165">
        <v>14</v>
      </c>
    </row>
    <row customHeight="1" ht="14.699999999999998">
      <c r="Q40" s="301"/>
      <c r="R40" s="386"/>
      <c r="S40" s="2283" t="s">
        <v>88</v>
      </c>
      <c r="T40" s="2219" t="s">
        <v>495</v>
      </c>
      <c r="U40" s="311"/>
      <c r="V40" s="2285"/>
      <c r="W40" s="2285"/>
      <c r="X40" s="2285"/>
      <c r="Y40" s="2285"/>
      <c r="Z40" s="2286"/>
      <c r="AA40" s="2346" t="s">
        <v>452</v>
      </c>
      <c r="AB40" s="2338" t="s">
        <v>496</v>
      </c>
      <c r="AC40" s="2301"/>
      <c r="AD40" s="2301"/>
      <c r="AE40" s="2339"/>
      <c r="AF40" s="2301" t="s">
        <v>497</v>
      </c>
      <c r="AG40" s="2301"/>
      <c r="AH40" s="2301"/>
      <c r="AI40" s="2339"/>
      <c r="AJ40" s="2338" t="s">
        <v>498</v>
      </c>
      <c r="AK40" s="2301"/>
      <c r="AL40" s="2301"/>
      <c r="AM40" s="2339"/>
      <c r="AN40" s="2338" t="s">
        <v>451</v>
      </c>
      <c r="AO40" s="2301"/>
      <c r="AP40" s="2285"/>
      <c r="AQ40" s="2285"/>
      <c r="AR40" s="2286"/>
      <c r="AS40" s="2287" t="s">
        <v>452</v>
      </c>
      <c r="AT40" s="2290" t="s">
        <v>454</v>
      </c>
      <c r="AU40" s="2137"/>
      <c r="BA40" s="1165">
        <v>14</v>
      </c>
    </row>
    <row customHeight="1" ht="35.699999999999996">
      <c r="Q41" s="301"/>
      <c r="R41" s="386"/>
      <c r="S41" s="2283"/>
      <c r="T41" s="2219"/>
      <c r="U41" s="1041"/>
      <c r="V41" s="2137" t="s">
        <v>499</v>
      </c>
      <c r="W41" s="2137"/>
      <c r="X41" s="2304" t="s">
        <v>458</v>
      </c>
      <c r="Y41" s="2323"/>
      <c r="Z41" s="2324"/>
      <c r="AA41" s="2347"/>
      <c r="AB41" s="2340"/>
      <c r="AC41" s="2341"/>
      <c r="AD41" s="2341"/>
      <c r="AE41" s="2342"/>
      <c r="AF41" s="2341"/>
      <c r="AG41" s="2341"/>
      <c r="AH41" s="2341"/>
      <c r="AI41" s="2342"/>
      <c r="AJ41" s="2340"/>
      <c r="AK41" s="2341"/>
      <c r="AL41" s="2341"/>
      <c r="AM41" s="2341"/>
      <c r="AN41" s="2137" t="s">
        <v>499</v>
      </c>
      <c r="AO41" s="2137"/>
      <c r="AP41" s="2323" t="s">
        <v>458</v>
      </c>
      <c r="AQ41" s="2323"/>
      <c r="AR41" s="2324"/>
      <c r="AS41" s="2288"/>
      <c r="AT41" s="2291"/>
      <c r="AU41" s="2137"/>
      <c r="BA41" s="1165">
        <v>34</v>
      </c>
    </row>
    <row customHeight="1" ht="14.699999999999998">
      <c r="Q42" s="301"/>
      <c r="R42" s="386"/>
      <c r="S42" s="2283"/>
      <c r="T42" s="2219"/>
      <c r="U42" s="1041"/>
      <c r="V42" s="2350" t="str">
        <f>IF($AN$42&lt;&gt;"",$AN$42,"")</f>
        <v/>
      </c>
      <c r="W42" s="2350"/>
      <c r="X42" s="2305"/>
      <c r="Y42" s="2325"/>
      <c r="Z42" s="2326"/>
      <c r="AA42" s="2347"/>
      <c r="AB42" s="2340"/>
      <c r="AC42" s="2341"/>
      <c r="AD42" s="2341"/>
      <c r="AE42" s="2342"/>
      <c r="AF42" s="2341"/>
      <c r="AG42" s="2341"/>
      <c r="AH42" s="2341"/>
      <c r="AI42" s="2342"/>
      <c r="AJ42" s="2340"/>
      <c r="AK42" s="2341"/>
      <c r="AL42" s="2341"/>
      <c r="AM42" s="2341"/>
      <c r="AN42" s="2349"/>
      <c r="AO42" s="2349"/>
      <c r="AP42" s="2325"/>
      <c r="AQ42" s="2325"/>
      <c r="AR42" s="2326"/>
      <c r="AS42" s="2288"/>
      <c r="AT42" s="2291"/>
      <c r="AU42" s="2137"/>
      <c r="BA42" s="1165">
        <v>14</v>
      </c>
    </row>
    <row customHeight="1" ht="14.699999999999998">
      <c r="A43" s="1380"/>
      <c r="B43" s="1380" t="s">
        <v>159</v>
      </c>
      <c r="C43" s="1380" t="s">
        <v>160</v>
      </c>
      <c r="D43" s="1380" t="s">
        <v>161</v>
      </c>
      <c r="E43" s="1374" t="s">
        <v>459</v>
      </c>
      <c r="F43" s="1374" t="s">
        <v>460</v>
      </c>
      <c r="G43" s="1374" t="s">
        <v>461</v>
      </c>
      <c r="H43" s="1374" t="s">
        <v>462</v>
      </c>
      <c r="I43" s="1374" t="s">
        <v>463</v>
      </c>
      <c r="J43" s="1374" t="s">
        <v>464</v>
      </c>
      <c r="K43" s="1374" t="s">
        <v>465</v>
      </c>
      <c r="L43" s="1374" t="s">
        <v>440</v>
      </c>
      <c r="Q43" s="301"/>
      <c r="R43" s="386"/>
      <c r="S43" s="2283"/>
      <c r="T43" s="2219"/>
      <c r="U43" s="312"/>
      <c r="V43" s="1340" t="s">
        <v>500</v>
      </c>
      <c r="W43" s="1340" t="s">
        <v>501</v>
      </c>
      <c r="X43" s="1348" t="s">
        <v>468</v>
      </c>
      <c r="Y43" s="2280" t="s">
        <v>469</v>
      </c>
      <c r="Z43" s="2281"/>
      <c r="AA43" s="2348"/>
      <c r="AB43" s="2343"/>
      <c r="AC43" s="2344"/>
      <c r="AD43" s="2344"/>
      <c r="AE43" s="2345"/>
      <c r="AF43" s="2344"/>
      <c r="AG43" s="2344"/>
      <c r="AH43" s="2344"/>
      <c r="AI43" s="2345"/>
      <c r="AJ43" s="2343"/>
      <c r="AK43" s="2344"/>
      <c r="AL43" s="2344"/>
      <c r="AM43" s="2345"/>
      <c r="AN43" s="1870" t="s">
        <v>500</v>
      </c>
      <c r="AO43" s="1870" t="s">
        <v>501</v>
      </c>
      <c r="AP43" s="1348" t="s">
        <v>468</v>
      </c>
      <c r="AQ43" s="2280" t="s">
        <v>469</v>
      </c>
      <c r="AR43" s="2281"/>
      <c r="AS43" s="2289"/>
      <c r="AT43" s="2292"/>
      <c r="AU43" s="2137"/>
      <c r="BA43" s="1165">
        <v>14</v>
      </c>
    </row>
    <row s="1651" customFormat="1" customHeight="1" ht="11.25" hidden="1">
      <c r="A44" s="1380"/>
      <c r="B44" s="1380"/>
      <c r="C44" s="1380"/>
      <c r="D44" s="1380"/>
      <c r="E44" s="1380"/>
      <c r="F44" s="1380"/>
      <c r="G44" s="1380"/>
      <c r="H44" s="1380"/>
      <c r="I44" s="1380"/>
      <c r="J44" s="1380"/>
      <c r="K44" s="1380"/>
      <c r="L44" s="1374"/>
      <c r="M44" s="1372"/>
      <c r="N44" s="1372"/>
      <c r="O44" s="1372"/>
      <c r="P44" s="520"/>
      <c r="Q44" s="1264"/>
      <c r="R44" s="1264">
        <v>1</v>
      </c>
      <c r="S44" s="1287" t="s">
        <v>124</v>
      </c>
      <c r="T44" s="1265" t="s">
        <v>104</v>
      </c>
      <c r="U44" s="1255" t="str">
        <f>OFFSET(U44,0,-1)</f>
        <v>2</v>
      </c>
      <c r="V44" s="1345">
        <f>OFFSET(V44,0,-1)+1</f>
        <v>3</v>
      </c>
      <c r="W44" s="1345">
        <f>OFFSET(W44,0,-1)+1</f>
        <v>4</v>
      </c>
      <c r="X44" s="1345">
        <f>OFFSET(X44,0,-1)+1</f>
        <v>5</v>
      </c>
      <c r="Y44" s="2282">
        <f>OFFSET(Y44,0,-1)+1</f>
        <v>6</v>
      </c>
      <c r="Z44" s="2282"/>
      <c r="AA44" s="1345">
        <f>OFFSET(AA44,0,-2)+1</f>
        <v>7</v>
      </c>
      <c r="AB44" s="1351">
        <f>OFFSET(AB44,0,-1)+1</f>
        <v>8</v>
      </c>
      <c r="AC44" s="1351"/>
      <c r="AD44" s="1351"/>
      <c r="AE44" s="1351"/>
      <c r="AF44" s="1345"/>
      <c r="AG44" s="1345"/>
      <c r="AH44" s="1345"/>
      <c r="AI44" s="1345"/>
      <c r="AJ44" s="1345"/>
      <c r="AK44" s="1345"/>
      <c r="AL44" s="1345"/>
      <c r="AM44" s="1345"/>
      <c r="AN44" s="1345">
        <f>OFFSET(AN44,0,-1)+1</f>
        <v>1</v>
      </c>
      <c r="AO44" s="1345">
        <f>OFFSET(AO44,0,-1)+1</f>
        <v>2</v>
      </c>
      <c r="AP44" s="1345">
        <f>OFFSET(AP44,0,-1)+1</f>
        <v>3</v>
      </c>
      <c r="AQ44" s="2282">
        <f>OFFSET(AQ44,0,-1)+1</f>
        <v>4</v>
      </c>
      <c r="AR44" s="2282"/>
      <c r="AS44" s="1345">
        <f>OFFSET(AS44,0,-2)+1</f>
        <v>5</v>
      </c>
      <c r="AT44" s="1255">
        <f>OFFSET(AT44,0,-1)</f>
        <v>5</v>
      </c>
      <c r="AU44" s="1345">
        <f>OFFSET(AU44,0,-1)+1</f>
        <v>6</v>
      </c>
      <c r="AV44" s="521"/>
      <c r="AW44" s="521"/>
      <c r="AX44" s="521"/>
      <c r="AY44" s="521"/>
      <c r="AZ44" s="521"/>
      <c r="BA44" s="506">
        <v>0</v>
      </c>
    </row>
    <row customHeight="1" ht="107.25">
      <c r="A45" s="1373" t="s">
        <v>222</v>
      </c>
      <c r="B45" s="1373"/>
      <c r="C45" s="1373"/>
      <c r="D45" s="1373"/>
      <c r="E45" s="2268">
        <v>1</v>
      </c>
      <c r="F45" s="1373"/>
      <c r="G45" s="1373"/>
      <c r="H45" s="1373"/>
      <c r="I45" s="1373"/>
      <c r="J45" s="1373"/>
      <c r="K45" s="1373"/>
      <c r="L45" s="1374"/>
      <c r="M45" s="1375"/>
      <c r="N45" s="1375"/>
      <c r="O45" s="1375"/>
      <c r="P45" s="1419"/>
      <c r="Q45" s="883"/>
      <c r="R45" s="365"/>
      <c r="S45" s="1346">
        <f>INDEX(PT_DIFFERENTIATION_NUM_NTAR,MATCH(A45,PT_DIFFERENTIATION_NTAR_ID,0))</f>
        <v>0</v>
      </c>
      <c r="T45" s="308" t="s">
        <v>147</v>
      </c>
      <c r="U45" s="310"/>
      <c r="V45" s="2253"/>
      <c r="W45" s="2253"/>
      <c r="X45" s="2253"/>
      <c r="Y45" s="2253"/>
      <c r="Z45" s="2253"/>
      <c r="AA45" s="2254"/>
      <c r="AB45" s="2252" t="str">
        <f>INDEX(PT_DIFFERENTIATION_NTAR,MATCH(A45,PT_DIFFERENTIATION_NTAR_ID,0))</f>
        <v/>
      </c>
      <c r="AC45" s="2253"/>
      <c r="AD45" s="2253"/>
      <c r="AE45" s="2253"/>
      <c r="AF45" s="2253"/>
      <c r="AG45" s="2253"/>
      <c r="AH45" s="2253"/>
      <c r="AI45" s="2253"/>
      <c r="AJ45" s="2253"/>
      <c r="AK45" s="2253"/>
      <c r="AL45" s="2253"/>
      <c r="AM45" s="2253"/>
      <c r="AN45" s="2253"/>
      <c r="AO45" s="2253"/>
      <c r="AP45" s="2253"/>
      <c r="AQ45" s="2253"/>
      <c r="AR45" s="2253"/>
      <c r="AS45" s="2253"/>
      <c r="AT45" s="2254"/>
      <c r="AU45" s="126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10"/>
      <c r="AX45" s="510" t="str">
        <f>IF(T45="","",T45)</f>
        <v>Наименование тарифа</v>
      </c>
      <c r="AY45" s="510"/>
      <c r="AZ45" s="510"/>
      <c r="BA45" s="1165">
        <v>102</v>
      </c>
    </row>
    <row customHeight="1" ht="22.049999999999997">
      <c r="A46" s="1373" t="s">
        <v>222</v>
      </c>
      <c r="B46" s="1373" t="s">
        <v>223</v>
      </c>
      <c r="C46" s="1373"/>
      <c r="D46" s="1373"/>
      <c r="E46" s="2269"/>
      <c r="F46" s="2268">
        <v>1</v>
      </c>
      <c r="G46" s="1373"/>
      <c r="H46" s="1373"/>
      <c r="I46" s="1373"/>
      <c r="J46" s="1373"/>
      <c r="K46" s="1373"/>
      <c r="L46" s="1374"/>
      <c r="M46" s="1375"/>
      <c r="N46" s="1375"/>
      <c r="O46" s="1375"/>
      <c r="P46" s="1420"/>
      <c r="Q46" s="1421"/>
      <c r="R46" s="363"/>
      <c r="S46" s="1346" t="str">
        <f>INDEX(PT_DIFFERENTIATION_NUM_TER,MATCH(B46,PT_DIFFERENTIATION_TER_ID,0))</f>
        <v>.</v>
      </c>
      <c r="T46" s="318" t="s">
        <v>419</v>
      </c>
      <c r="U46" s="310"/>
      <c r="V46" s="2253"/>
      <c r="W46" s="2253"/>
      <c r="X46" s="2253"/>
      <c r="Y46" s="2253"/>
      <c r="Z46" s="2253"/>
      <c r="AA46" s="2254"/>
      <c r="AB46" s="2252" t="str">
        <f>INDEX(PT_DIFFERENTIATION_TER,MATCH(B46,PT_DIFFERENTIATION_TER_ID,0))</f>
        <v/>
      </c>
      <c r="AC46" s="2253"/>
      <c r="AD46" s="2253"/>
      <c r="AE46" s="2253"/>
      <c r="AF46" s="2253"/>
      <c r="AG46" s="2253"/>
      <c r="AH46" s="2253"/>
      <c r="AI46" s="2253"/>
      <c r="AJ46" s="2253"/>
      <c r="AK46" s="2253"/>
      <c r="AL46" s="2253"/>
      <c r="AM46" s="2253"/>
      <c r="AN46" s="2253"/>
      <c r="AO46" s="2253"/>
      <c r="AP46" s="2253"/>
      <c r="AQ46" s="2253"/>
      <c r="AR46" s="2253"/>
      <c r="AS46" s="2253"/>
      <c r="AT46" s="2254"/>
      <c r="AU46" s="1268" t="s">
        <v>420</v>
      </c>
      <c r="AW46" s="510"/>
      <c r="AX46" s="510" t="str">
        <f>IF(T46="","",T46)</f>
        <v>Территория действия тарифа</v>
      </c>
      <c r="AY46" s="510"/>
      <c r="AZ46" s="510"/>
      <c r="BA46" s="1165">
        <v>21</v>
      </c>
    </row>
    <row customHeight="1" ht="24">
      <c r="A47" s="1373" t="s">
        <v>222</v>
      </c>
      <c r="B47" s="1373" t="s">
        <v>223</v>
      </c>
      <c r="C47" s="1373" t="s">
        <v>224</v>
      </c>
      <c r="D47" s="1373"/>
      <c r="E47" s="2269"/>
      <c r="F47" s="2269"/>
      <c r="G47" s="2268">
        <v>1</v>
      </c>
      <c r="H47" s="1373"/>
      <c r="I47" s="1373"/>
      <c r="J47" s="1373"/>
      <c r="K47" s="1373"/>
      <c r="L47" s="1374"/>
      <c r="M47" s="1375"/>
      <c r="N47" s="1375"/>
      <c r="O47" s="1375"/>
      <c r="P47" s="1422"/>
      <c r="Q47" s="1421"/>
      <c r="R47" s="363"/>
      <c r="S47" s="1346" t="str">
        <f>INDEX(PT_DIFFERENTIATION_NUM_CS,MATCH(C47,PT_DIFFERENTIATION_CS_ID,0))</f>
        <v>..</v>
      </c>
      <c r="T47" s="319" t="s">
        <v>421</v>
      </c>
      <c r="U47" s="310"/>
      <c r="V47" s="2253"/>
      <c r="W47" s="2253"/>
      <c r="X47" s="2253"/>
      <c r="Y47" s="2253"/>
      <c r="Z47" s="2253"/>
      <c r="AA47" s="2254"/>
      <c r="AB47" s="2252" t="str">
        <f>INDEX(PT_DIFFERENTIATION_CS,MATCH(C47,PT_DIFFERENTIATION_CS_ID,0))</f>
        <v/>
      </c>
      <c r="AC47" s="2253"/>
      <c r="AD47" s="2253"/>
      <c r="AE47" s="2253"/>
      <c r="AF47" s="2253"/>
      <c r="AG47" s="2253"/>
      <c r="AH47" s="2253"/>
      <c r="AI47" s="2253"/>
      <c r="AJ47" s="2253"/>
      <c r="AK47" s="2253"/>
      <c r="AL47" s="2253"/>
      <c r="AM47" s="2253"/>
      <c r="AN47" s="2253"/>
      <c r="AO47" s="2253"/>
      <c r="AP47" s="2253"/>
      <c r="AQ47" s="2253"/>
      <c r="AR47" s="2253"/>
      <c r="AS47" s="2253"/>
      <c r="AT47" s="2254"/>
      <c r="AU47" s="1268" t="s">
        <v>422</v>
      </c>
      <c r="AW47" s="510"/>
      <c r="AX47" s="510" t="str">
        <f>IF(T47="","",T47)</f>
        <v>Наименование системы теплоснабжения </v>
      </c>
      <c r="AY47" s="510"/>
      <c r="AZ47" s="510"/>
      <c r="BA47" s="1165">
        <v>23</v>
      </c>
    </row>
    <row customHeight="1" ht="21">
      <c r="A48" s="1373" t="s">
        <v>222</v>
      </c>
      <c r="B48" s="1373" t="s">
        <v>223</v>
      </c>
      <c r="C48" s="1373" t="s">
        <v>224</v>
      </c>
      <c r="D48" s="1373" t="s">
        <v>225</v>
      </c>
      <c r="E48" s="2269"/>
      <c r="F48" s="2269"/>
      <c r="G48" s="2269"/>
      <c r="H48" s="2268">
        <v>1</v>
      </c>
      <c r="I48" s="1373"/>
      <c r="J48" s="1373"/>
      <c r="K48" s="1373"/>
      <c r="L48" s="1374"/>
      <c r="M48" s="1375"/>
      <c r="N48" s="1375"/>
      <c r="O48" s="1375"/>
      <c r="P48" s="1422"/>
      <c r="Q48" s="1421"/>
      <c r="R48" s="363"/>
      <c r="S48" s="1346" t="str">
        <f>INDEX(PT_DIFFERENTIATION_NUM_IST_TE,MATCH(D48,PT_DIFFERENTIATION_IST_TE_ID,0))</f>
        <v>...</v>
      </c>
      <c r="T48" s="320" t="s">
        <v>423</v>
      </c>
      <c r="U48" s="310"/>
      <c r="V48" s="2253"/>
      <c r="W48" s="2253"/>
      <c r="X48" s="2253"/>
      <c r="Y48" s="2253"/>
      <c r="Z48" s="2253"/>
      <c r="AA48" s="2254"/>
      <c r="AB48" s="2252" t="str">
        <f>INDEX(PT_DIFFERENTIATION_IST_TE,MATCH(D48,PT_DIFFERENTIATION_IST_TE_ID,0))</f>
        <v/>
      </c>
      <c r="AC48" s="2253"/>
      <c r="AD48" s="2253"/>
      <c r="AE48" s="2253"/>
      <c r="AF48" s="2253"/>
      <c r="AG48" s="2253"/>
      <c r="AH48" s="2253"/>
      <c r="AI48" s="2253"/>
      <c r="AJ48" s="2253"/>
      <c r="AK48" s="2253"/>
      <c r="AL48" s="2253"/>
      <c r="AM48" s="2253"/>
      <c r="AN48" s="2253"/>
      <c r="AO48" s="2253"/>
      <c r="AP48" s="2253"/>
      <c r="AQ48" s="2253"/>
      <c r="AR48" s="2253"/>
      <c r="AS48" s="2253"/>
      <c r="AT48" s="2254"/>
      <c r="AU48" s="1268" t="s">
        <v>424</v>
      </c>
      <c r="AW48" s="510"/>
      <c r="AX48" s="510" t="str">
        <f>IF(T48="","",T48)</f>
        <v>Источник тепловой энергии  </v>
      </c>
      <c r="AY48" s="510"/>
      <c r="AZ48" s="510"/>
      <c r="BA48" s="1165">
        <v>20</v>
      </c>
    </row>
    <row s="1652" customFormat="1" customHeight="1" ht="1.05">
      <c r="A49" s="1353" t="s">
        <v>222</v>
      </c>
      <c r="B49" s="1353" t="s">
        <v>223</v>
      </c>
      <c r="C49" s="1353" t="s">
        <v>224</v>
      </c>
      <c r="D49" s="1353" t="s">
        <v>225</v>
      </c>
      <c r="E49" s="2269"/>
      <c r="F49" s="2269"/>
      <c r="G49" s="2269"/>
      <c r="H49" s="2269"/>
      <c r="I49" s="2266" t="str">
        <f>S48&amp;".1"</f>
        <v>....1</v>
      </c>
      <c r="J49" s="1353"/>
      <c r="K49" s="1353"/>
      <c r="L49" s="1356" t="s">
        <v>425</v>
      </c>
      <c r="M49" s="520"/>
      <c r="N49" s="520"/>
      <c r="O49" s="520"/>
      <c r="P49" s="2267">
        <v>1</v>
      </c>
      <c r="Q49" s="1341"/>
      <c r="R49" s="366"/>
      <c r="S49" s="1052"/>
      <c r="T49" s="1393"/>
      <c r="U49" s="1394"/>
      <c r="V49" s="2307"/>
      <c r="W49" s="2307"/>
      <c r="X49" s="2307"/>
      <c r="Y49" s="2307"/>
      <c r="Z49" s="2307"/>
      <c r="AA49" s="2308"/>
      <c r="AB49" s="2306"/>
      <c r="AC49" s="2307"/>
      <c r="AD49" s="2307"/>
      <c r="AE49" s="2307"/>
      <c r="AF49" s="2307"/>
      <c r="AG49" s="2307"/>
      <c r="AH49" s="2307"/>
      <c r="AI49" s="2307"/>
      <c r="AJ49" s="2307"/>
      <c r="AK49" s="2307"/>
      <c r="AL49" s="2307"/>
      <c r="AM49" s="2307"/>
      <c r="AN49" s="2307"/>
      <c r="AO49" s="2307"/>
      <c r="AP49" s="2307"/>
      <c r="AQ49" s="2307"/>
      <c r="AR49" s="2307"/>
      <c r="AS49" s="2307"/>
      <c r="AT49" s="2308"/>
      <c r="AU49" s="1395"/>
      <c r="AW49" s="510"/>
      <c r="AX49" s="510" t="str">
        <f>IF(T49="","",T49)</f>
        <v/>
      </c>
      <c r="AY49" s="510"/>
      <c r="AZ49" s="510"/>
      <c r="BA49" s="521">
        <v>1</v>
      </c>
    </row>
    <row s="1652" customFormat="1" customHeight="1" ht="1.05">
      <c r="A50" s="1353" t="s">
        <v>222</v>
      </c>
      <c r="B50" s="1353" t="s">
        <v>223</v>
      </c>
      <c r="C50" s="1353" t="s">
        <v>224</v>
      </c>
      <c r="D50" s="1353" t="s">
        <v>225</v>
      </c>
      <c r="E50" s="2269"/>
      <c r="F50" s="2269"/>
      <c r="G50" s="2269"/>
      <c r="H50" s="2269"/>
      <c r="I50" s="2296"/>
      <c r="J50" s="2266" t="str">
        <f>S48&amp;".1"</f>
        <v>....1</v>
      </c>
      <c r="K50" s="1353"/>
      <c r="L50" s="1356"/>
      <c r="M50" s="520"/>
      <c r="N50" s="520"/>
      <c r="O50" s="520"/>
      <c r="P50" s="2267"/>
      <c r="Q50" s="2267">
        <v>1</v>
      </c>
      <c r="R50" s="367"/>
      <c r="S50" s="1052"/>
      <c r="T50" s="1409"/>
      <c r="U50" s="1394"/>
      <c r="V50" s="2307"/>
      <c r="W50" s="2307"/>
      <c r="X50" s="2307"/>
      <c r="Y50" s="2307"/>
      <c r="Z50" s="2307"/>
      <c r="AA50" s="2308"/>
      <c r="AB50" s="2306"/>
      <c r="AC50" s="2307"/>
      <c r="AD50" s="2307"/>
      <c r="AE50" s="2307"/>
      <c r="AF50" s="2307"/>
      <c r="AG50" s="2307"/>
      <c r="AH50" s="2307"/>
      <c r="AI50" s="2307"/>
      <c r="AJ50" s="2307"/>
      <c r="AK50" s="2307"/>
      <c r="AL50" s="2307"/>
      <c r="AM50" s="2307"/>
      <c r="AN50" s="2307"/>
      <c r="AO50" s="2307"/>
      <c r="AP50" s="2307"/>
      <c r="AQ50" s="2307"/>
      <c r="AR50" s="2307"/>
      <c r="AS50" s="2307"/>
      <c r="AT50" s="2308"/>
      <c r="AU50" s="1395"/>
      <c r="AW50" s="510"/>
      <c r="AX50" s="510" t="str">
        <f>IF(T50="","",T50)</f>
        <v/>
      </c>
      <c r="AY50" s="510"/>
      <c r="AZ50" s="510"/>
      <c r="BA50" s="521">
        <v>1</v>
      </c>
    </row>
    <row customHeight="1" ht="22.049999999999997">
      <c r="A51" s="1373" t="s">
        <v>222</v>
      </c>
      <c r="B51" s="1373" t="s">
        <v>223</v>
      </c>
      <c r="C51" s="1373" t="s">
        <v>224</v>
      </c>
      <c r="D51" s="1373" t="s">
        <v>225</v>
      </c>
      <c r="E51" s="2269"/>
      <c r="F51" s="2269"/>
      <c r="G51" s="2269"/>
      <c r="H51" s="2269"/>
      <c r="I51" s="2296"/>
      <c r="J51" s="2296"/>
      <c r="K51" s="2266" t="str">
        <f>S48&amp;".1"</f>
        <v>....1</v>
      </c>
      <c r="L51" s="1374"/>
      <c r="P51" s="2267"/>
      <c r="Q51" s="2267"/>
      <c r="R51" s="367">
        <v>1</v>
      </c>
      <c r="S51" s="2351" t="str">
        <f>$K51</f>
        <v>....1</v>
      </c>
      <c r="T51" s="2354"/>
      <c r="U51" s="310"/>
      <c r="V51" s="761"/>
      <c r="W51" s="1267"/>
      <c r="X51" s="1744"/>
      <c r="Y51" s="1469" t="s">
        <v>66</v>
      </c>
      <c r="Z51" s="1744"/>
      <c r="AA51" s="1469" t="s">
        <v>66</v>
      </c>
      <c r="AB51" s="2117" t="s">
        <v>19</v>
      </c>
      <c r="AC51" s="2336"/>
      <c r="AD51" s="2215">
        <v>1</v>
      </c>
      <c r="AE51" s="2358" t="s">
        <v>22</v>
      </c>
      <c r="AF51" s="2117" t="s">
        <v>19</v>
      </c>
      <c r="AG51" s="2336"/>
      <c r="AH51" s="2215">
        <v>1</v>
      </c>
      <c r="AI51" s="2358" t="s">
        <v>22</v>
      </c>
      <c r="AJ51" s="2117" t="s">
        <v>19</v>
      </c>
      <c r="AK51" s="321"/>
      <c r="AL51" s="1347">
        <v>1</v>
      </c>
      <c r="AM51" s="1412"/>
      <c r="AN51" s="761"/>
      <c r="AO51" s="1267"/>
      <c r="AP51" s="1744"/>
      <c r="AQ51" s="1469" t="s">
        <v>66</v>
      </c>
      <c r="AR51" s="1744"/>
      <c r="AS51" s="1469" t="s">
        <v>66</v>
      </c>
      <c r="AT51" s="1358"/>
      <c r="AU51" s="2263" t="s">
        <v>502</v>
      </c>
      <c r="AV51" s="521">
        <f>STRCHECKDATE(V54:AT54)</f>
      </c>
      <c r="AW51" s="510"/>
      <c r="AX51" s="510" t="str">
        <f>IF(T51="","",T51)</f>
        <v/>
      </c>
      <c r="AY51" s="510"/>
      <c r="AZ51" s="510"/>
      <c r="BA51" s="1165">
        <v>21</v>
      </c>
    </row>
    <row customHeight="1" ht="11.549999999999999">
      <c r="A52" s="1373" t="s">
        <v>222</v>
      </c>
      <c r="B52" s="1373"/>
      <c r="C52" s="1373"/>
      <c r="D52" s="1373"/>
      <c r="E52" s="2269"/>
      <c r="F52" s="2269"/>
      <c r="G52" s="2269"/>
      <c r="H52" s="2269"/>
      <c r="I52" s="2296"/>
      <c r="J52" s="2296"/>
      <c r="K52" s="2266"/>
      <c r="L52" s="1374"/>
      <c r="P52" s="2267"/>
      <c r="Q52" s="2267"/>
      <c r="R52" s="367"/>
      <c r="S52" s="2352"/>
      <c r="T52" s="2355"/>
      <c r="U52" s="310"/>
      <c r="V52" s="1403"/>
      <c r="W52" s="1506"/>
      <c r="X52" s="1403"/>
      <c r="Y52" s="1403"/>
      <c r="Z52" s="1403"/>
      <c r="AA52" s="1403"/>
      <c r="AB52" s="2117"/>
      <c r="AC52" s="2336"/>
      <c r="AD52" s="2215"/>
      <c r="AE52" s="2358"/>
      <c r="AF52" s="2117"/>
      <c r="AG52" s="2336"/>
      <c r="AH52" s="2215"/>
      <c r="AI52" s="2358"/>
      <c r="AJ52" s="2117"/>
      <c r="AK52" s="326"/>
      <c r="AL52" s="426"/>
      <c r="AM52" s="425" t="s">
        <v>487</v>
      </c>
      <c r="AN52" s="1403"/>
      <c r="AO52" s="1506"/>
      <c r="AP52" s="1403"/>
      <c r="AQ52" s="1403"/>
      <c r="AR52" s="1403"/>
      <c r="AS52" s="1403"/>
      <c r="AT52" s="1400"/>
      <c r="AU52" s="2264"/>
      <c r="AW52" s="510"/>
      <c r="AX52" s="510"/>
      <c r="AY52" s="510"/>
      <c r="AZ52" s="510"/>
      <c r="BA52" s="1165">
        <v>11</v>
      </c>
    </row>
    <row customHeight="1" ht="11.549999999999999">
      <c r="A53" s="1373" t="s">
        <v>222</v>
      </c>
      <c r="B53" s="1373"/>
      <c r="C53" s="1373"/>
      <c r="D53" s="1373"/>
      <c r="E53" s="2269"/>
      <c r="F53" s="2269"/>
      <c r="G53" s="2269"/>
      <c r="H53" s="2269"/>
      <c r="I53" s="2296"/>
      <c r="J53" s="2296"/>
      <c r="K53" s="2266"/>
      <c r="L53" s="1374"/>
      <c r="P53" s="2267"/>
      <c r="Q53" s="2267"/>
      <c r="R53" s="367"/>
      <c r="S53" s="2352"/>
      <c r="T53" s="2355"/>
      <c r="U53" s="310"/>
      <c r="V53" s="1403"/>
      <c r="W53" s="1506"/>
      <c r="X53" s="1403"/>
      <c r="Y53" s="1403"/>
      <c r="Z53" s="1403"/>
      <c r="AA53" s="1403"/>
      <c r="AB53" s="2117"/>
      <c r="AC53" s="2336"/>
      <c r="AD53" s="2215"/>
      <c r="AE53" s="2358"/>
      <c r="AF53" s="2117"/>
      <c r="AG53" s="304"/>
      <c r="AH53" s="425"/>
      <c r="AI53" s="425" t="s">
        <v>488</v>
      </c>
      <c r="AJ53" s="1403"/>
      <c r="AK53" s="1403"/>
      <c r="AL53" s="1403"/>
      <c r="AM53" s="1403"/>
      <c r="AN53" s="1403"/>
      <c r="AO53" s="1506"/>
      <c r="AP53" s="1403"/>
      <c r="AQ53" s="1403"/>
      <c r="AR53" s="1403"/>
      <c r="AS53" s="1403"/>
      <c r="AT53" s="1400"/>
      <c r="AU53" s="2264"/>
      <c r="AW53" s="510"/>
      <c r="AX53" s="510"/>
      <c r="AY53" s="510"/>
      <c r="AZ53" s="510"/>
      <c r="BA53" s="1165">
        <v>11</v>
      </c>
    </row>
    <row customHeight="1" ht="11.549999999999999">
      <c r="A54" s="1373" t="s">
        <v>222</v>
      </c>
      <c r="B54" s="1373" t="s">
        <v>223</v>
      </c>
      <c r="C54" s="1373" t="s">
        <v>224</v>
      </c>
      <c r="D54" s="1373" t="s">
        <v>225</v>
      </c>
      <c r="E54" s="2269"/>
      <c r="F54" s="2269"/>
      <c r="G54" s="2269"/>
      <c r="H54" s="2269"/>
      <c r="I54" s="2296"/>
      <c r="J54" s="2296"/>
      <c r="K54" s="2266"/>
      <c r="L54" s="1374"/>
      <c r="P54" s="2267"/>
      <c r="Q54" s="2267"/>
      <c r="R54" s="367"/>
      <c r="S54" s="2353"/>
      <c r="T54" s="2356"/>
      <c r="U54" s="310"/>
      <c r="V54" s="1403"/>
      <c r="W54" s="1404" t="str">
        <f>X51&amp;"-"&amp;Z51</f>
        <v>-</v>
      </c>
      <c r="X54" s="1403"/>
      <c r="Y54" s="1403"/>
      <c r="Z54" s="1403"/>
      <c r="AA54" s="1403"/>
      <c r="AB54" s="2117"/>
      <c r="AC54" s="322"/>
      <c r="AD54" s="324"/>
      <c r="AE54" s="425" t="s">
        <v>489</v>
      </c>
      <c r="AF54" s="1403"/>
      <c r="AG54" s="1403"/>
      <c r="AH54" s="1403"/>
      <c r="AI54" s="1403"/>
      <c r="AJ54" s="1403"/>
      <c r="AK54" s="1403"/>
      <c r="AL54" s="1403"/>
      <c r="AM54" s="1403"/>
      <c r="AN54" s="1403"/>
      <c r="AO54" s="1404" t="str">
        <f>AP51&amp;"-"&amp;AR51</f>
        <v>-</v>
      </c>
      <c r="AP54" s="1403"/>
      <c r="AQ54" s="1403"/>
      <c r="AR54" s="1403"/>
      <c r="AS54" s="1403"/>
      <c r="AT54" s="1359"/>
      <c r="AU54" s="2264"/>
      <c r="AW54" s="510"/>
      <c r="AX54" s="510" t="str">
        <f>IF(T54="","",T54)</f>
        <v/>
      </c>
      <c r="AY54" s="510"/>
      <c r="AZ54" s="510"/>
      <c r="BA54" s="1165">
        <v>11</v>
      </c>
    </row>
    <row customHeight="1" ht="11.549999999999999">
      <c r="A55" s="1373" t="s">
        <v>222</v>
      </c>
      <c r="B55" s="1373" t="s">
        <v>223</v>
      </c>
      <c r="C55" s="1373" t="s">
        <v>224</v>
      </c>
      <c r="D55" s="1373" t="s">
        <v>225</v>
      </c>
      <c r="E55" s="2269"/>
      <c r="F55" s="2269"/>
      <c r="G55" s="2269"/>
      <c r="H55" s="2269"/>
      <c r="I55" s="2296"/>
      <c r="J55" s="2266"/>
      <c r="K55" s="1373"/>
      <c r="L55" s="1374"/>
      <c r="P55" s="2267"/>
      <c r="Q55" s="2267"/>
      <c r="R55" s="366"/>
      <c r="S55" s="1288"/>
      <c r="T55" s="297" t="s">
        <v>490</v>
      </c>
      <c r="U55" s="377"/>
      <c r="V55" s="377"/>
      <c r="W55" s="377"/>
      <c r="X55" s="377"/>
      <c r="Y55" s="377"/>
      <c r="Z55" s="377"/>
      <c r="AA55" s="334"/>
      <c r="AB55" s="1515"/>
      <c r="AC55" s="377"/>
      <c r="AD55" s="377"/>
      <c r="AE55" s="377"/>
      <c r="AF55" s="377"/>
      <c r="AG55" s="377"/>
      <c r="AH55" s="377"/>
      <c r="AI55" s="377"/>
      <c r="AJ55" s="377"/>
      <c r="AK55" s="377"/>
      <c r="AL55" s="377"/>
      <c r="AM55" s="377"/>
      <c r="AN55" s="377"/>
      <c r="AO55" s="377"/>
      <c r="AP55" s="377"/>
      <c r="AQ55" s="377"/>
      <c r="AR55" s="377"/>
      <c r="AS55" s="377"/>
      <c r="AT55" s="334"/>
      <c r="AU55" s="2265"/>
      <c r="AW55" s="510"/>
      <c r="AX55" s="510" t="str">
        <f>IF(T55="","",T55)</f>
        <v>Добавить строку</v>
      </c>
      <c r="AY55" s="510"/>
      <c r="AZ55" s="510"/>
      <c r="BA55" s="1165">
        <v>11</v>
      </c>
    </row>
    <row s="1652" customFormat="1" customHeight="1" ht="1.05">
      <c r="A56" s="1353" t="s">
        <v>222</v>
      </c>
      <c r="B56" s="1353" t="s">
        <v>223</v>
      </c>
      <c r="C56" s="1353" t="s">
        <v>224</v>
      </c>
      <c r="D56" s="1353" t="s">
        <v>225</v>
      </c>
      <c r="E56" s="2269"/>
      <c r="F56" s="2269"/>
      <c r="G56" s="2269"/>
      <c r="H56" s="2269"/>
      <c r="I56" s="2266"/>
      <c r="J56" s="1353"/>
      <c r="K56" s="1353"/>
      <c r="L56" s="1356"/>
      <c r="M56" s="520"/>
      <c r="N56" s="520"/>
      <c r="O56" s="520"/>
      <c r="P56" s="2267"/>
      <c r="Q56" s="1341"/>
      <c r="R56" s="366"/>
      <c r="S56" s="1396"/>
      <c r="T56" s="1397" t="s">
        <v>434</v>
      </c>
      <c r="U56" s="1398"/>
      <c r="V56" s="1398"/>
      <c r="W56" s="1398"/>
      <c r="X56" s="1398"/>
      <c r="Y56" s="1398"/>
      <c r="Z56" s="1398"/>
      <c r="AA56" s="1398"/>
      <c r="AB56" s="1398"/>
      <c r="AC56" s="1398"/>
      <c r="AD56" s="1398"/>
      <c r="AE56" s="1398"/>
      <c r="AF56" s="1398"/>
      <c r="AG56" s="1398"/>
      <c r="AH56" s="1398"/>
      <c r="AI56" s="1398"/>
      <c r="AJ56" s="1398"/>
      <c r="AK56" s="1398"/>
      <c r="AL56" s="1398"/>
      <c r="AM56" s="1398"/>
      <c r="AN56" s="1398"/>
      <c r="AO56" s="1398"/>
      <c r="AP56" s="1398"/>
      <c r="AQ56" s="1398"/>
      <c r="AR56" s="1398"/>
      <c r="AS56" s="1398"/>
      <c r="AT56" s="1398"/>
      <c r="AU56" s="1399"/>
      <c r="AW56" s="510"/>
      <c r="AX56" s="510" t="str">
        <f>IF(T56="","",T56)</f>
        <v>Добавить группу потребителей</v>
      </c>
      <c r="AY56" s="510"/>
      <c r="AZ56" s="510"/>
      <c r="BA56" s="521">
        <v>1</v>
      </c>
    </row>
    <row s="1651" customFormat="1" customHeight="1" ht="1.05">
      <c r="A57" s="1353" t="s">
        <v>222</v>
      </c>
      <c r="B57" s="1353" t="s">
        <v>223</v>
      </c>
      <c r="C57" s="1353" t="s">
        <v>224</v>
      </c>
      <c r="D57" s="1353" t="s">
        <v>225</v>
      </c>
      <c r="E57" s="2269"/>
      <c r="F57" s="2269"/>
      <c r="G57" s="2269"/>
      <c r="H57" s="2268"/>
      <c r="I57" s="1353"/>
      <c r="J57" s="1353"/>
      <c r="K57" s="1353"/>
      <c r="L57" s="1356"/>
      <c r="M57" s="1325"/>
      <c r="N57" s="1325"/>
      <c r="O57" s="528"/>
      <c r="P57" s="390"/>
      <c r="Q57" s="1354"/>
      <c r="R57" s="1410"/>
      <c r="S57" s="1396"/>
      <c r="T57" s="1397"/>
      <c r="U57" s="1398"/>
      <c r="V57" s="1398"/>
      <c r="W57" s="1398"/>
      <c r="X57" s="1398"/>
      <c r="Y57" s="1398"/>
      <c r="Z57" s="1398"/>
      <c r="AA57" s="1398"/>
      <c r="AB57" s="1398"/>
      <c r="AC57" s="1398"/>
      <c r="AD57" s="1398"/>
      <c r="AE57" s="1398"/>
      <c r="AF57" s="1398"/>
      <c r="AG57" s="1398"/>
      <c r="AH57" s="1398"/>
      <c r="AI57" s="1398"/>
      <c r="AJ57" s="1398"/>
      <c r="AK57" s="1398"/>
      <c r="AL57" s="1398"/>
      <c r="AM57" s="1398"/>
      <c r="AN57" s="1398"/>
      <c r="AO57" s="1398"/>
      <c r="AP57" s="1398"/>
      <c r="AQ57" s="1398"/>
      <c r="AR57" s="1398"/>
      <c r="AS57" s="1398"/>
      <c r="AT57" s="1398"/>
      <c r="AU57" s="1399"/>
      <c r="AV57" s="521"/>
      <c r="AW57" s="510"/>
      <c r="AX57" s="510" t="str">
        <f>IF(T57="","",T57)</f>
        <v/>
      </c>
      <c r="AY57" s="510"/>
      <c r="AZ57" s="510"/>
      <c r="BA57" s="506">
        <v>1</v>
      </c>
    </row>
    <row s="1652" customFormat="1" customHeight="1" ht="1.05">
      <c r="A58" s="1353" t="s">
        <v>222</v>
      </c>
      <c r="B58" s="1353" t="s">
        <v>223</v>
      </c>
      <c r="C58" s="1353" t="s">
        <v>224</v>
      </c>
      <c r="D58" s="1324"/>
      <c r="E58" s="2269"/>
      <c r="F58" s="2269"/>
      <c r="G58" s="2268"/>
      <c r="H58" s="1324"/>
      <c r="I58" s="1324"/>
      <c r="J58" s="1324"/>
      <c r="K58" s="1324"/>
      <c r="L58" s="1349"/>
      <c r="M58" s="1325"/>
      <c r="N58" s="1325"/>
      <c r="P58" s="1326"/>
      <c r="Q58" s="1327"/>
      <c r="R58" s="1326"/>
      <c r="S58" s="1332"/>
      <c r="T58" s="1335" t="s">
        <v>436</v>
      </c>
      <c r="U58" s="1334"/>
      <c r="V58" s="1334"/>
      <c r="W58" s="1334"/>
      <c r="X58" s="1334"/>
      <c r="Y58" s="1334"/>
      <c r="Z58" s="1334"/>
      <c r="AA58" s="1334"/>
      <c r="AB58" s="1334"/>
      <c r="AC58" s="1334"/>
      <c r="AD58" s="1334"/>
      <c r="AE58" s="1334"/>
      <c r="AF58" s="1334"/>
      <c r="AG58" s="1334"/>
      <c r="AH58" s="1334"/>
      <c r="AI58" s="1334"/>
      <c r="AJ58" s="1334"/>
      <c r="AK58" s="1334"/>
      <c r="AL58" s="1334"/>
      <c r="AM58" s="1334"/>
      <c r="AN58" s="1334"/>
      <c r="AO58" s="1334"/>
      <c r="AP58" s="1334"/>
      <c r="AQ58" s="1334"/>
      <c r="AR58" s="1334"/>
      <c r="AS58" s="1334"/>
      <c r="AT58" s="1334"/>
      <c r="AU58" s="1334"/>
      <c r="AW58" s="799"/>
      <c r="AX58" s="799" t="str">
        <f>IF(T58="","",T58)</f>
        <v>Добавить источник для дифференциации</v>
      </c>
      <c r="AY58" s="799"/>
      <c r="AZ58" s="799"/>
      <c r="BA58" s="528">
        <v>1</v>
      </c>
    </row>
    <row s="1652" customFormat="1" customHeight="1" ht="1.05">
      <c r="A59" s="1353" t="s">
        <v>222</v>
      </c>
      <c r="B59" s="1353" t="s">
        <v>223</v>
      </c>
      <c r="C59" s="1324"/>
      <c r="D59" s="1324"/>
      <c r="E59" s="2269"/>
      <c r="F59" s="2268"/>
      <c r="G59" s="1324"/>
      <c r="H59" s="1324"/>
      <c r="I59" s="1324"/>
      <c r="J59" s="1324"/>
      <c r="K59" s="1324"/>
      <c r="L59" s="1349"/>
      <c r="M59" s="1331"/>
      <c r="N59" s="1331"/>
      <c r="P59" s="1326"/>
      <c r="Q59" s="1327"/>
      <c r="R59" s="1326"/>
      <c r="S59" s="1332"/>
      <c r="T59" s="1335" t="s">
        <v>437</v>
      </c>
      <c r="U59" s="1334"/>
      <c r="V59" s="1334"/>
      <c r="W59" s="1334"/>
      <c r="X59" s="1334"/>
      <c r="Y59" s="1334"/>
      <c r="Z59" s="1334"/>
      <c r="AA59" s="1334"/>
      <c r="AB59" s="1334"/>
      <c r="AC59" s="1334"/>
      <c r="AD59" s="1334"/>
      <c r="AE59" s="1334"/>
      <c r="AF59" s="1334"/>
      <c r="AG59" s="1334"/>
      <c r="AH59" s="1334"/>
      <c r="AI59" s="1334"/>
      <c r="AJ59" s="1334"/>
      <c r="AK59" s="1334"/>
      <c r="AL59" s="1334"/>
      <c r="AM59" s="1334"/>
      <c r="AN59" s="1334"/>
      <c r="AO59" s="1334"/>
      <c r="AP59" s="1334"/>
      <c r="AQ59" s="1334"/>
      <c r="AR59" s="1334"/>
      <c r="AS59" s="1334"/>
      <c r="AT59" s="1334"/>
      <c r="AU59" s="1334"/>
      <c r="AW59" s="799"/>
      <c r="AX59" s="799" t="str">
        <f>IF(T59="","",T59)</f>
        <v>Добавить централизованную систему для дифференциации</v>
      </c>
      <c r="AY59" s="799"/>
      <c r="AZ59" s="799"/>
      <c r="BA59" s="528">
        <v>1</v>
      </c>
    </row>
    <row s="1652" customFormat="1" customHeight="1" ht="1.05">
      <c r="A60" s="1353" t="s">
        <v>222</v>
      </c>
      <c r="B60" s="1353"/>
      <c r="C60" s="1353"/>
      <c r="D60" s="1353"/>
      <c r="E60" s="2269"/>
      <c r="F60" s="1353"/>
      <c r="G60" s="1353"/>
      <c r="H60" s="1353"/>
      <c r="I60" s="1353"/>
      <c r="J60" s="1353"/>
      <c r="K60" s="1353"/>
      <c r="L60" s="1356"/>
      <c r="M60" s="1331"/>
      <c r="N60" s="1331"/>
      <c r="O60" s="528"/>
      <c r="P60" s="390"/>
      <c r="Q60" s="1354"/>
      <c r="R60" s="390"/>
      <c r="S60" s="1332"/>
      <c r="T60" s="1335" t="s">
        <v>438</v>
      </c>
      <c r="U60" s="1334"/>
      <c r="V60" s="1334"/>
      <c r="W60" s="1334"/>
      <c r="X60" s="1334"/>
      <c r="Y60" s="1334"/>
      <c r="Z60" s="1334"/>
      <c r="AA60" s="1334"/>
      <c r="AB60" s="1334"/>
      <c r="AC60" s="1334"/>
      <c r="AD60" s="1334"/>
      <c r="AE60" s="1334"/>
      <c r="AF60" s="1334"/>
      <c r="AG60" s="1334"/>
      <c r="AH60" s="1334"/>
      <c r="AI60" s="1334"/>
      <c r="AJ60" s="1334"/>
      <c r="AK60" s="1334"/>
      <c r="AL60" s="1334"/>
      <c r="AM60" s="1334"/>
      <c r="AN60" s="1334"/>
      <c r="AO60" s="1334"/>
      <c r="AP60" s="1334"/>
      <c r="AQ60" s="1334"/>
      <c r="AR60" s="1334"/>
      <c r="AS60" s="1334"/>
      <c r="AT60" s="1334"/>
      <c r="AU60" s="1334"/>
      <c r="AW60" s="510"/>
      <c r="AX60" s="510" t="str">
        <f>IF(T60="","",T60)</f>
        <v>Добавить территорию для дифференциации</v>
      </c>
      <c r="AY60" s="510"/>
      <c r="AZ60" s="510"/>
      <c r="BA60" s="521">
        <v>1</v>
      </c>
    </row>
    <row s="1652" customFormat="1" customHeight="1" ht="1.05">
      <c r="A61" s="1353" t="s">
        <v>222</v>
      </c>
      <c r="B61" s="1353"/>
      <c r="C61" s="1353"/>
      <c r="D61" s="1353"/>
      <c r="E61" s="2268"/>
      <c r="F61" s="1353"/>
      <c r="G61" s="1353"/>
      <c r="H61" s="1353"/>
      <c r="I61" s="1353"/>
      <c r="J61" s="1353"/>
      <c r="K61" s="1353"/>
      <c r="L61" s="1356"/>
      <c r="M61" s="1331"/>
      <c r="N61" s="1331"/>
      <c r="O61" s="528"/>
      <c r="P61" s="390"/>
      <c r="Q61" s="1354"/>
      <c r="R61" s="390"/>
      <c r="S61" s="1332"/>
      <c r="T61" s="1335" t="s">
        <v>438</v>
      </c>
      <c r="U61" s="1334"/>
      <c r="V61" s="1334"/>
      <c r="W61" s="1334"/>
      <c r="X61" s="1334"/>
      <c r="Y61" s="1334"/>
      <c r="Z61" s="1334"/>
      <c r="AA61" s="1334"/>
      <c r="AB61" s="1334"/>
      <c r="AC61" s="1334"/>
      <c r="AD61" s="1334"/>
      <c r="AE61" s="1334"/>
      <c r="AF61" s="1334"/>
      <c r="AG61" s="1334"/>
      <c r="AH61" s="1334"/>
      <c r="AI61" s="1334"/>
      <c r="AJ61" s="1334"/>
      <c r="AK61" s="1334"/>
      <c r="AL61" s="1334"/>
      <c r="AM61" s="1334"/>
      <c r="AN61" s="1334"/>
      <c r="AO61" s="1334"/>
      <c r="AP61" s="1334"/>
      <c r="AQ61" s="1334"/>
      <c r="AR61" s="1334"/>
      <c r="AS61" s="1334"/>
      <c r="AT61" s="1334"/>
      <c r="AU61" s="1334"/>
      <c r="AW61" s="510"/>
      <c r="AX61" s="510" t="str">
        <f>IF(T61="","",T61)</f>
        <v>Добавить территорию для дифференциации</v>
      </c>
      <c r="AY61" s="510"/>
      <c r="AZ61" s="510"/>
      <c r="BA61" s="521">
        <v>1</v>
      </c>
    </row>
    <row s="1652" customFormat="1" customHeight="1" ht="1.05">
      <c r="A62" s="1324"/>
      <c r="B62" s="1324"/>
      <c r="C62" s="1324"/>
      <c r="D62" s="1324"/>
      <c r="E62" s="1353"/>
      <c r="F62" s="1324"/>
      <c r="G62" s="1324"/>
      <c r="H62" s="1324"/>
      <c r="I62" s="1324"/>
      <c r="J62" s="1324"/>
      <c r="K62" s="1324"/>
      <c r="L62" s="1349"/>
      <c r="M62" s="1331"/>
      <c r="N62" s="1331"/>
      <c r="P62" s="1326"/>
      <c r="Q62" s="1327"/>
      <c r="R62" s="1326"/>
      <c r="S62" s="1332"/>
      <c r="T62" s="1335" t="s">
        <v>470</v>
      </c>
      <c r="U62" s="1334"/>
      <c r="V62" s="1334"/>
      <c r="W62" s="1334"/>
      <c r="X62" s="1334"/>
      <c r="Y62" s="1334"/>
      <c r="Z62" s="1334"/>
      <c r="AA62" s="1334"/>
      <c r="AB62" s="1334"/>
      <c r="AC62" s="1334"/>
      <c r="AD62" s="1334"/>
      <c r="AE62" s="1334"/>
      <c r="AF62" s="1334"/>
      <c r="AG62" s="1334"/>
      <c r="AH62" s="1334"/>
      <c r="AI62" s="1334"/>
      <c r="AJ62" s="1334"/>
      <c r="AK62" s="1334"/>
      <c r="AL62" s="1334"/>
      <c r="AM62" s="1334"/>
      <c r="AN62" s="1334"/>
      <c r="AO62" s="1334"/>
      <c r="AP62" s="1334"/>
      <c r="AQ62" s="1334"/>
      <c r="AR62" s="1334"/>
      <c r="AS62" s="1334"/>
      <c r="AT62" s="1334"/>
      <c r="AU62" s="1334"/>
      <c r="AW62" s="799"/>
      <c r="AX62" s="799" t="str">
        <f>IF(T62="","",T62)</f>
        <v>Добавить наименование тарифа</v>
      </c>
      <c r="AY62" s="799"/>
      <c r="AZ62" s="799"/>
      <c r="BA62" s="528">
        <v>1</v>
      </c>
    </row>
    <row customHeight="1" ht="11.549999999999999">
      <c r="M63" s="1170"/>
      <c r="N63" s="1170"/>
      <c r="O63" s="547"/>
      <c r="P63" s="1170"/>
      <c r="Q63" s="1170"/>
      <c r="R63" s="1165"/>
      <c r="S63" s="1165"/>
      <c r="AV63" s="1165"/>
      <c r="AW63" s="1165"/>
      <c r="AX63" s="1165"/>
      <c r="AY63" s="1165"/>
      <c r="AZ63" s="1165"/>
      <c r="BA63" s="1165">
        <v>11</v>
      </c>
    </row>
    <row customHeight="1" ht="19.95">
      <c r="O64" s="547"/>
      <c r="S64" s="1263"/>
      <c r="T64" s="2295"/>
      <c r="U64" s="2295"/>
      <c r="V64" s="2295"/>
      <c r="W64" s="2295"/>
      <c r="X64" s="2295"/>
      <c r="Y64" s="2295"/>
      <c r="Z64" s="2295"/>
      <c r="AA64" s="2295"/>
      <c r="AB64" s="2295"/>
      <c r="AC64" s="2295"/>
      <c r="AD64" s="2295"/>
      <c r="AE64" s="2295"/>
      <c r="AF64" s="2295"/>
      <c r="AG64" s="2295"/>
      <c r="AH64" s="2295"/>
      <c r="AI64" s="2295"/>
      <c r="AJ64" s="2295"/>
      <c r="AK64" s="2295"/>
      <c r="AL64" s="2295"/>
      <c r="AM64" s="2295"/>
      <c r="AN64" s="2295"/>
      <c r="AO64" s="2295"/>
      <c r="AP64" s="2295"/>
      <c r="AQ64" s="2295"/>
      <c r="AR64" s="2295"/>
      <c r="AS64" s="2295"/>
      <c r="AT64" s="2295"/>
      <c r="AU64" s="2295"/>
      <c r="BA64" s="1165">
        <v>19</v>
      </c>
    </row>
    <row customHeight="1" ht="21">
      <c r="O65" s="547"/>
      <c r="T65" s="2295"/>
      <c r="U65" s="2295"/>
      <c r="V65" s="2295"/>
      <c r="W65" s="2295"/>
      <c r="X65" s="2295"/>
      <c r="Y65" s="2295"/>
      <c r="Z65" s="2295"/>
      <c r="AA65" s="2295"/>
      <c r="AB65" s="2295"/>
      <c r="AC65" s="2295"/>
      <c r="AD65" s="2295"/>
      <c r="AE65" s="2295"/>
      <c r="AF65" s="2295"/>
      <c r="AG65" s="2295"/>
      <c r="AH65" s="2295"/>
      <c r="AI65" s="2295"/>
      <c r="AJ65" s="2295"/>
      <c r="AK65" s="2295"/>
      <c r="AL65" s="2295"/>
      <c r="AM65" s="2295"/>
      <c r="AN65" s="2295"/>
      <c r="AO65" s="2295"/>
      <c r="AP65" s="2295"/>
      <c r="AQ65" s="2295"/>
      <c r="AR65" s="2295"/>
      <c r="AS65" s="2295"/>
      <c r="AT65" s="2295"/>
      <c r="AU65" s="2295"/>
      <c r="BA65" s="1165">
        <v>20</v>
      </c>
    </row>
    <row customHeight="1" ht="14.699999999999998">
      <c r="O66" s="547"/>
      <c r="T66" s="1343"/>
      <c r="U66" s="1343"/>
      <c r="V66" s="1343"/>
      <c r="W66" s="1343"/>
      <c r="X66" s="1343"/>
      <c r="Y66" s="1343"/>
      <c r="Z66" s="1343"/>
      <c r="AA66" s="1343"/>
      <c r="AB66" s="1343"/>
      <c r="AC66" s="1343"/>
      <c r="AD66" s="1343"/>
      <c r="AE66" s="1343"/>
      <c r="AF66" s="1343"/>
      <c r="AG66" s="1343"/>
      <c r="AH66" s="1343"/>
      <c r="AI66" s="1343"/>
      <c r="AJ66" s="1343"/>
      <c r="AK66" s="1343"/>
      <c r="AL66" s="1343"/>
      <c r="AM66" s="1343"/>
      <c r="AN66" s="1343"/>
      <c r="AO66" s="1343"/>
      <c r="AP66" s="1343"/>
      <c r="AQ66" s="1343"/>
      <c r="AR66" s="1343"/>
      <c r="AS66" s="1343"/>
      <c r="AT66" s="1343"/>
      <c r="AU66" s="1343"/>
      <c r="BA66" s="1165">
        <v>14</v>
      </c>
    </row>
    <row customHeight="1" ht="19.95">
      <c r="O67" s="547"/>
      <c r="T67" s="2295"/>
      <c r="U67" s="2295"/>
      <c r="V67" s="2295"/>
      <c r="W67" s="2295"/>
      <c r="X67" s="2295"/>
      <c r="Y67" s="2295"/>
      <c r="Z67" s="2295"/>
      <c r="AA67" s="2295"/>
      <c r="AB67" s="2295"/>
      <c r="AC67" s="2295"/>
      <c r="AD67" s="2295"/>
      <c r="AE67" s="2295"/>
      <c r="AF67" s="2295"/>
      <c r="AG67" s="2295"/>
      <c r="AH67" s="2295"/>
      <c r="AI67" s="2295"/>
      <c r="AJ67" s="2295"/>
      <c r="AK67" s="2295"/>
      <c r="AL67" s="2295"/>
      <c r="AM67" s="2295"/>
      <c r="AN67" s="2295"/>
      <c r="AO67" s="2295"/>
      <c r="AP67" s="2295"/>
      <c r="AQ67" s="2295"/>
      <c r="AR67" s="2295"/>
      <c r="AS67" s="2295"/>
      <c r="AT67" s="2295"/>
      <c r="AU67" s="2295"/>
      <c r="BA67" s="1165">
        <v>19</v>
      </c>
    </row>
    <row customHeight="1" ht="16.8">
      <c r="O68" s="547"/>
      <c r="T68" s="2295"/>
      <c r="U68" s="2295"/>
      <c r="V68" s="2295"/>
      <c r="W68" s="2295"/>
      <c r="X68" s="2295"/>
      <c r="Y68" s="2295"/>
      <c r="Z68" s="2295"/>
      <c r="AA68" s="2295"/>
      <c r="AB68" s="2295"/>
      <c r="AC68" s="2295"/>
      <c r="AD68" s="2295"/>
      <c r="AE68" s="2295"/>
      <c r="AF68" s="2295"/>
      <c r="AG68" s="2295"/>
      <c r="AH68" s="2295"/>
      <c r="AI68" s="2295"/>
      <c r="AJ68" s="2295"/>
      <c r="AK68" s="2295"/>
      <c r="AL68" s="2295"/>
      <c r="AM68" s="2295"/>
      <c r="AN68" s="2295"/>
      <c r="AO68" s="2295"/>
      <c r="AP68" s="2295"/>
      <c r="AQ68" s="2295"/>
      <c r="AR68" s="2295"/>
      <c r="AS68" s="2295"/>
      <c r="AT68" s="2295"/>
      <c r="AU68" s="2295"/>
      <c r="BA68" s="1165">
        <v>16</v>
      </c>
    </row>
    <row customHeight="1" ht="14.699999999999998">
      <c r="O69" s="547"/>
      <c r="BA69" s="1165">
        <v>14</v>
      </c>
    </row>
    <row customHeight="1" ht="22.5" hidden="1">
      <c r="A70" s="1170" t="s">
        <v>82</v>
      </c>
      <c r="B70" s="1170">
        <v>0</v>
      </c>
      <c r="C70" s="1170">
        <v>0</v>
      </c>
      <c r="D70" s="1170">
        <v>0</v>
      </c>
      <c r="E70" s="1170">
        <v>0</v>
      </c>
      <c r="F70" s="1170">
        <v>0</v>
      </c>
      <c r="G70" s="1170">
        <v>0</v>
      </c>
      <c r="H70" s="1170">
        <v>0</v>
      </c>
      <c r="I70" s="1170">
        <v>0</v>
      </c>
      <c r="J70" s="1170">
        <v>0</v>
      </c>
      <c r="K70" s="1170">
        <v>0</v>
      </c>
      <c r="L70" s="1339">
        <v>0</v>
      </c>
      <c r="M70" s="1372">
        <v>0</v>
      </c>
      <c r="N70" s="1372">
        <v>0</v>
      </c>
      <c r="O70" s="1372">
        <v>0</v>
      </c>
      <c r="P70" s="1372">
        <v>3</v>
      </c>
      <c r="Q70" s="1381">
        <v>3</v>
      </c>
      <c r="R70" s="354">
        <v>3</v>
      </c>
      <c r="S70" s="591">
        <v>12</v>
      </c>
      <c r="T70" s="1165">
        <v>31</v>
      </c>
      <c r="U70" s="1165">
        <v>0</v>
      </c>
      <c r="V70" s="1165">
        <v>0</v>
      </c>
      <c r="W70" s="1165">
        <v>0</v>
      </c>
      <c r="X70" s="1165">
        <v>0</v>
      </c>
      <c r="Y70" s="1165">
        <v>0</v>
      </c>
      <c r="Z70" s="1165">
        <v>0</v>
      </c>
      <c r="AA70" s="1165">
        <v>0</v>
      </c>
      <c r="AB70" s="1165">
        <v>5</v>
      </c>
      <c r="AC70" s="1165">
        <v>3</v>
      </c>
      <c r="AD70" s="1165">
        <v>3</v>
      </c>
      <c r="AE70" s="1165">
        <v>24</v>
      </c>
      <c r="AF70" s="1165">
        <v>3</v>
      </c>
      <c r="AG70" s="1165">
        <v>3</v>
      </c>
      <c r="AH70" s="1165">
        <v>3</v>
      </c>
      <c r="AI70" s="1165">
        <v>24</v>
      </c>
      <c r="AJ70" s="1165">
        <v>3</v>
      </c>
      <c r="AK70" s="1165">
        <v>3</v>
      </c>
      <c r="AL70" s="1165">
        <v>3</v>
      </c>
      <c r="AM70" s="1165">
        <v>18</v>
      </c>
      <c r="AN70" s="1165">
        <v>21</v>
      </c>
      <c r="AO70" s="1165">
        <v>21</v>
      </c>
      <c r="AP70" s="1165">
        <v>11</v>
      </c>
      <c r="AQ70" s="1165">
        <v>3</v>
      </c>
      <c r="AR70" s="1165">
        <v>11</v>
      </c>
      <c r="AS70" s="1165">
        <v>8</v>
      </c>
      <c r="AT70" s="1165">
        <v>4</v>
      </c>
      <c r="AU70" s="1165">
        <v>115</v>
      </c>
      <c r="AV70" s="521">
        <v>10</v>
      </c>
      <c r="AW70" s="521">
        <v>10</v>
      </c>
      <c r="AX70" s="521">
        <v>10</v>
      </c>
      <c r="AY70" s="521">
        <v>10</v>
      </c>
      <c r="AZ70" s="521">
        <v>10</v>
      </c>
      <c r="BA70" s="1165">
        <v>23</v>
      </c>
    </row>
  </sheetData>
  <sheetProtection sheet="1" formatColumns="0" formatRows="0" autoFilter="0" sort="1" insertRows="1" insertColumns="1" deleteRows="1" deleteColumns="1"/>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1F0CFD-0F8A-A8A7-CC02-0.02E994E9}"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4" style="1645" width="24.7109375" hidden="1" customWidth="1"/>
    <col min="25" max="25" style="1645" width="11.7109375" hidden="1" customWidth="1"/>
    <col min="26" max="26" style="1645" width="3.7109375" hidden="1" customWidth="1"/>
    <col min="27" max="27" style="1645" width="11.7109375" hidden="1" customWidth="1"/>
    <col min="28" max="28" style="1645" width="8.57421875" hidden="1" customWidth="1"/>
    <col min="29" max="29" style="1645" width="24.7109375" customWidth="1"/>
    <col min="30" max="31" style="1645" width="24.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22.5" hidden="1">
      <c r="X1" s="337"/>
      <c r="Y1" s="337"/>
      <c r="AE1" s="337"/>
      <c r="AF1" s="337"/>
      <c r="AQ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435">
        <f>INDEX(PT_DIFFERENTIATION_NUM_NTAR,MATCH(A2,PT_DIFFERENTIATION_NTAR_ID,0))</f>
      </c>
      <c r="T2" s="308" t="s">
        <v>147</v>
      </c>
      <c r="U2" s="310"/>
      <c r="V2" s="2252"/>
      <c r="W2" s="2253"/>
      <c r="X2" s="2253"/>
      <c r="Y2" s="2253"/>
      <c r="Z2" s="2253"/>
      <c r="AA2" s="2253"/>
      <c r="AB2" s="2254"/>
      <c r="AC2" s="2252">
        <f>INDEX(PT_DIFFERENTIATION_NTAR,MATCH(A2,PT_DIFFERENTIATION_NTAR_ID,0))</f>
      </c>
      <c r="AD2" s="2253"/>
      <c r="AE2" s="2253"/>
      <c r="AF2" s="2253"/>
      <c r="AG2" s="2253"/>
      <c r="AH2" s="2253"/>
      <c r="AI2" s="2253"/>
      <c r="AJ2" s="2254"/>
      <c r="AK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0"/>
      <c r="AN2" s="510" t="str">
        <f>IF(T2="","",T2)</f>
        <v>Наименование тарифа</v>
      </c>
      <c r="AO2" s="510"/>
      <c r="AP2" s="510"/>
      <c r="AQ2" s="1165">
        <v>0</v>
      </c>
    </row>
    <row customHeight="1" ht="23.25" hidden="1">
      <c r="A3" s="1373"/>
      <c r="B3" s="1373"/>
      <c r="C3" s="1373"/>
      <c r="D3" s="1373"/>
      <c r="E3" s="2269"/>
      <c r="F3" s="2268">
        <v>1</v>
      </c>
      <c r="G3" s="1373"/>
      <c r="H3" s="1373"/>
      <c r="I3" s="1373"/>
      <c r="J3" s="1373"/>
      <c r="K3" s="1373"/>
      <c r="L3" s="1374"/>
      <c r="M3" s="1375"/>
      <c r="N3" s="1375"/>
      <c r="O3" s="1375"/>
      <c r="P3" s="1433"/>
      <c r="Q3" s="362"/>
      <c r="R3" s="363"/>
      <c r="S3" s="1435">
        <f>INDEX(PT_DIFFERENTIATION_NUM_TER,MATCH(B3,PT_DIFFERENTIATION_TER_ID,0))</f>
      </c>
      <c r="T3" s="318" t="s">
        <v>419</v>
      </c>
      <c r="U3" s="310"/>
      <c r="V3" s="2252"/>
      <c r="W3" s="2253"/>
      <c r="X3" s="2253"/>
      <c r="Y3" s="2253"/>
      <c r="Z3" s="2253"/>
      <c r="AA3" s="2253"/>
      <c r="AB3" s="2254"/>
      <c r="AC3" s="2252">
        <f>INDEX(PT_DIFFERENTIATION_TER,MATCH(B3,PT_DIFFERENTIATION_TER_ID,0))</f>
      </c>
      <c r="AD3" s="2253"/>
      <c r="AE3" s="2253"/>
      <c r="AF3" s="2253"/>
      <c r="AG3" s="2253"/>
      <c r="AH3" s="2253"/>
      <c r="AI3" s="2253"/>
      <c r="AJ3" s="2254"/>
      <c r="AK3" s="1268" t="s">
        <v>420</v>
      </c>
      <c r="AM3" s="510"/>
      <c r="AN3" s="510" t="str">
        <f>IF(T3="","",T3)</f>
        <v>Территория действия тарифа</v>
      </c>
      <c r="AO3" s="510"/>
      <c r="AP3" s="510"/>
      <c r="AQ3" s="1165">
        <v>0</v>
      </c>
    </row>
    <row customHeight="1" ht="23.25" hidden="1">
      <c r="A4" s="1373"/>
      <c r="B4" s="1373"/>
      <c r="C4" s="1373"/>
      <c r="D4" s="1373"/>
      <c r="E4" s="2269"/>
      <c r="F4" s="2269"/>
      <c r="G4" s="2268">
        <v>1</v>
      </c>
      <c r="H4" s="1373"/>
      <c r="I4" s="1373"/>
      <c r="J4" s="1373"/>
      <c r="K4" s="1373"/>
      <c r="L4" s="1374"/>
      <c r="M4" s="1375"/>
      <c r="N4" s="1375"/>
      <c r="O4" s="1375"/>
      <c r="P4" s="364"/>
      <c r="Q4" s="362"/>
      <c r="R4" s="363"/>
      <c r="S4" s="1435">
        <f>INDEX(PT_DIFFERENTIATION_NUM_CS,MATCH(C4,PT_DIFFERENTIATION_CS_ID,0))</f>
      </c>
      <c r="T4" s="319" t="s">
        <v>503</v>
      </c>
      <c r="U4" s="310"/>
      <c r="V4" s="2252"/>
      <c r="W4" s="2253"/>
      <c r="X4" s="2253"/>
      <c r="Y4" s="2253"/>
      <c r="Z4" s="2253"/>
      <c r="AA4" s="2253"/>
      <c r="AB4" s="2254"/>
      <c r="AC4" s="2252">
        <f>INDEX(PT_DIFFERENTIATION_CS,MATCH(C4,PT_DIFFERENTIATION_CS_ID,0))</f>
      </c>
      <c r="AD4" s="2253"/>
      <c r="AE4" s="2253"/>
      <c r="AF4" s="2253"/>
      <c r="AG4" s="2253"/>
      <c r="AH4" s="2253"/>
      <c r="AI4" s="2253"/>
      <c r="AJ4" s="2254"/>
      <c r="AK4" s="1268" t="s">
        <v>504</v>
      </c>
      <c r="AM4" s="510"/>
      <c r="AN4" s="510" t="str">
        <f>IF(T4="","",T4)</f>
        <v>Наименование централизованной системы холодного водоснабжения</v>
      </c>
      <c r="AO4" s="510"/>
      <c r="AP4" s="510"/>
      <c r="AQ4" s="1165">
        <v>0</v>
      </c>
    </row>
    <row customHeight="1" ht="23.25" hidden="1">
      <c r="A5" s="1373"/>
      <c r="B5" s="1373"/>
      <c r="C5" s="1373"/>
      <c r="D5" s="1373"/>
      <c r="E5" s="2269"/>
      <c r="F5" s="2269"/>
      <c r="G5" s="2269"/>
      <c r="H5" s="2269"/>
      <c r="I5" s="2266">
        <f>S4&amp;".1"</f>
      </c>
      <c r="J5" s="1373"/>
      <c r="K5" s="1373"/>
      <c r="L5" s="1374"/>
      <c r="P5" s="2267">
        <v>1</v>
      </c>
      <c r="Q5" s="1432"/>
      <c r="R5" s="366"/>
      <c r="S5" s="1435">
        <f>$I5</f>
      </c>
      <c r="T5" s="295" t="s">
        <v>505</v>
      </c>
      <c r="U5" s="310"/>
      <c r="V5" s="2360"/>
      <c r="W5" s="2361"/>
      <c r="X5" s="2361"/>
      <c r="Y5" s="2361"/>
      <c r="Z5" s="2361"/>
      <c r="AA5" s="2361"/>
      <c r="AB5" s="2362"/>
      <c r="AC5" s="2363"/>
      <c r="AD5" s="2364"/>
      <c r="AE5" s="2364"/>
      <c r="AF5" s="2364"/>
      <c r="AG5" s="2364"/>
      <c r="AH5" s="2364"/>
      <c r="AI5" s="2364"/>
      <c r="AJ5" s="2365"/>
      <c r="AK5" s="1268" t="s">
        <v>506</v>
      </c>
      <c r="AM5" s="510"/>
      <c r="AN5" s="510" t="str">
        <f>IF(T5="","",T5)</f>
        <v>Наименование признака дифференциации</v>
      </c>
      <c r="AO5" s="510"/>
      <c r="AP5" s="510"/>
      <c r="AQ5" s="1165">
        <v>0</v>
      </c>
    </row>
    <row customHeight="1" ht="23.25" hidden="1">
      <c r="A6" s="1373"/>
      <c r="B6" s="1373"/>
      <c r="C6" s="1373"/>
      <c r="D6" s="1373"/>
      <c r="E6" s="2269"/>
      <c r="F6" s="2269"/>
      <c r="G6" s="2269"/>
      <c r="H6" s="2269"/>
      <c r="I6" s="2296"/>
      <c r="J6" s="2266">
        <f>I5&amp;".1"</f>
      </c>
      <c r="K6" s="1373"/>
      <c r="L6" s="1374" t="s">
        <v>428</v>
      </c>
      <c r="P6" s="2267"/>
      <c r="Q6" s="2267">
        <v>1</v>
      </c>
      <c r="R6" s="367"/>
      <c r="S6" s="1435">
        <f>$J6</f>
      </c>
      <c r="T6" s="296" t="s">
        <v>429</v>
      </c>
      <c r="U6" s="310"/>
      <c r="V6" s="2255"/>
      <c r="W6" s="2256"/>
      <c r="X6" s="2256"/>
      <c r="Y6" s="2256"/>
      <c r="Z6" s="2256"/>
      <c r="AA6" s="2256"/>
      <c r="AB6" s="2257"/>
      <c r="AC6" s="2255"/>
      <c r="AD6" s="2256"/>
      <c r="AE6" s="2256"/>
      <c r="AF6" s="2256"/>
      <c r="AG6" s="2256"/>
      <c r="AH6" s="2256"/>
      <c r="AI6" s="2256"/>
      <c r="AJ6" s="2257"/>
      <c r="AK6" s="1317" t="s">
        <v>507</v>
      </c>
      <c r="AM6" s="510"/>
      <c r="AN6" s="510" t="str">
        <f>IF(T6="","",T6)</f>
        <v>Группа потребителей</v>
      </c>
      <c r="AO6" s="510"/>
      <c r="AP6" s="510"/>
      <c r="AQ6" s="1165">
        <v>0</v>
      </c>
    </row>
    <row customHeight="1" ht="23.25" hidden="1">
      <c r="A7" s="1373"/>
      <c r="B7" s="1373"/>
      <c r="C7" s="1373"/>
      <c r="D7" s="1373"/>
      <c r="E7" s="2269"/>
      <c r="F7" s="2269"/>
      <c r="G7" s="2269"/>
      <c r="H7" s="2269"/>
      <c r="I7" s="2296"/>
      <c r="J7" s="2296"/>
      <c r="K7" s="2266">
        <f>J6&amp;".1"</f>
      </c>
      <c r="L7" s="1374"/>
      <c r="P7" s="2267"/>
      <c r="Q7" s="2267"/>
      <c r="R7" s="367">
        <v>1</v>
      </c>
      <c r="S7" s="1435">
        <f>$K7</f>
      </c>
      <c r="T7" s="1447"/>
      <c r="U7" s="310"/>
      <c r="V7" s="761"/>
      <c r="W7" s="761"/>
      <c r="X7" s="1267"/>
      <c r="Y7" s="2275"/>
      <c r="Z7" s="2117" t="s">
        <v>66</v>
      </c>
      <c r="AA7" s="2275"/>
      <c r="AB7" s="2117" t="s">
        <v>66</v>
      </c>
      <c r="AC7" s="761"/>
      <c r="AD7" s="761"/>
      <c r="AE7" s="1267"/>
      <c r="AF7" s="2275"/>
      <c r="AG7" s="2117" t="s">
        <v>66</v>
      </c>
      <c r="AH7" s="2297"/>
      <c r="AI7" s="2117" t="s">
        <v>66</v>
      </c>
      <c r="AJ7" s="1448"/>
      <c r="AK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1">
        <f>STRCHECKDATE(V8:AJ8)</f>
      </c>
      <c r="AM7" s="510"/>
      <c r="AN7" s="510" t="str">
        <f>IF(T7="","",T7)</f>
        <v/>
      </c>
      <c r="AO7" s="510"/>
      <c r="AP7" s="510"/>
      <c r="AQ7" s="1165">
        <v>0</v>
      </c>
    </row>
    <row customHeight="1" ht="14.25" hidden="1">
      <c r="A8" s="1373"/>
      <c r="B8" s="1373"/>
      <c r="C8" s="1373"/>
      <c r="D8" s="1373"/>
      <c r="E8" s="2269"/>
      <c r="F8" s="2269"/>
      <c r="G8" s="2269"/>
      <c r="H8" s="2269"/>
      <c r="I8" s="2296"/>
      <c r="J8" s="2296"/>
      <c r="K8" s="2266"/>
      <c r="L8" s="1374"/>
      <c r="P8" s="2267"/>
      <c r="Q8" s="2267"/>
      <c r="R8" s="367"/>
      <c r="S8" s="1434"/>
      <c r="T8" s="310"/>
      <c r="U8" s="310"/>
      <c r="V8" s="335"/>
      <c r="W8" s="335"/>
      <c r="X8" s="338" t="str">
        <f>Y7&amp;"-"&amp;AA7</f>
        <v>-</v>
      </c>
      <c r="Y8" s="2276"/>
      <c r="Z8" s="2117"/>
      <c r="AA8" s="2276"/>
      <c r="AB8" s="2117"/>
      <c r="AC8" s="335"/>
      <c r="AD8" s="335"/>
      <c r="AE8" s="338" t="str">
        <f>AF7&amp;"-"&amp;AH7</f>
        <v>-</v>
      </c>
      <c r="AF8" s="2276"/>
      <c r="AG8" s="2117"/>
      <c r="AH8" s="2298"/>
      <c r="AI8" s="2117"/>
      <c r="AJ8" s="1449"/>
      <c r="AK8" s="2359"/>
      <c r="AM8" s="510"/>
      <c r="AN8" s="510" t="str">
        <f>IF(T8="","",T8)</f>
        <v/>
      </c>
      <c r="AO8" s="510"/>
      <c r="AP8" s="510"/>
      <c r="AQ8" s="1165">
        <v>0</v>
      </c>
    </row>
    <row customHeight="1" ht="21" hidden="1">
      <c r="A9" s="1373"/>
      <c r="B9" s="1373"/>
      <c r="C9" s="1373"/>
      <c r="D9" s="1373"/>
      <c r="E9" s="2269"/>
      <c r="F9" s="2269"/>
      <c r="G9" s="2269"/>
      <c r="H9" s="2269"/>
      <c r="I9" s="2296"/>
      <c r="J9" s="2266"/>
      <c r="K9" s="1373"/>
      <c r="L9" s="1374"/>
      <c r="P9" s="2267"/>
      <c r="Q9" s="2267"/>
      <c r="R9" s="366"/>
      <c r="S9" s="1288"/>
      <c r="T9" s="297" t="s">
        <v>508</v>
      </c>
      <c r="U9" s="377"/>
      <c r="V9" s="377"/>
      <c r="W9" s="377"/>
      <c r="X9" s="377"/>
      <c r="Y9" s="377"/>
      <c r="Z9" s="377"/>
      <c r="AA9" s="377"/>
      <c r="AB9" s="377"/>
      <c r="AC9" s="377"/>
      <c r="AD9" s="377"/>
      <c r="AE9" s="377"/>
      <c r="AF9" s="377"/>
      <c r="AG9" s="377"/>
      <c r="AH9" s="377"/>
      <c r="AI9" s="377"/>
      <c r="AJ9" s="377"/>
      <c r="AK9" s="1268" t="s">
        <v>509</v>
      </c>
      <c r="AM9" s="510"/>
      <c r="AN9" s="510" t="str">
        <f>IF(T9="","",T9)</f>
        <v>Добавить значение признака дифференциации</v>
      </c>
      <c r="AO9" s="510"/>
      <c r="AP9" s="510"/>
      <c r="AQ9" s="1165">
        <v>0</v>
      </c>
    </row>
    <row customHeight="1" ht="21" hidden="1">
      <c r="A10" s="1373"/>
      <c r="B10" s="1373"/>
      <c r="C10" s="1373"/>
      <c r="D10" s="1373"/>
      <c r="E10" s="2269"/>
      <c r="F10" s="2269"/>
      <c r="G10" s="2269"/>
      <c r="H10" s="2269"/>
      <c r="I10" s="2266"/>
      <c r="J10" s="1373"/>
      <c r="K10" s="1373"/>
      <c r="L10" s="1374"/>
      <c r="P10" s="2267"/>
      <c r="Q10" s="1432"/>
      <c r="R10" s="366"/>
      <c r="S10" s="1288"/>
      <c r="T10" s="375" t="s">
        <v>434</v>
      </c>
      <c r="U10" s="377"/>
      <c r="V10" s="377"/>
      <c r="W10" s="377"/>
      <c r="X10" s="377"/>
      <c r="Y10" s="377"/>
      <c r="Z10" s="377"/>
      <c r="AA10" s="377"/>
      <c r="AB10" s="376"/>
      <c r="AC10" s="377"/>
      <c r="AD10" s="377"/>
      <c r="AE10" s="377"/>
      <c r="AF10" s="377"/>
      <c r="AG10" s="377"/>
      <c r="AH10" s="377"/>
      <c r="AI10" s="376"/>
      <c r="AJ10" s="377"/>
      <c r="AK10" s="1450"/>
      <c r="AM10" s="510"/>
      <c r="AN10" s="510" t="str">
        <f>IF(T10="","",T10)</f>
        <v>Добавить группу потребителей</v>
      </c>
      <c r="AO10" s="510"/>
      <c r="AP10" s="510"/>
      <c r="AQ10" s="1165">
        <v>0</v>
      </c>
    </row>
    <row customHeight="1" ht="14.25" hidden="1">
      <c r="A11" s="1373"/>
      <c r="B11" s="1373"/>
      <c r="C11" s="1373"/>
      <c r="D11" s="1373"/>
      <c r="E11" s="2269"/>
      <c r="F11" s="2269"/>
      <c r="G11" s="2269"/>
      <c r="H11" s="2268"/>
      <c r="I11" s="1373"/>
      <c r="J11" s="1373"/>
      <c r="K11" s="1373"/>
      <c r="L11" s="1374"/>
      <c r="M11" s="1375"/>
      <c r="N11" s="1375"/>
      <c r="O11" s="547"/>
      <c r="P11" s="370"/>
      <c r="Q11" s="385"/>
      <c r="R11" s="365"/>
      <c r="S11" s="1288"/>
      <c r="T11" s="382" t="s">
        <v>510</v>
      </c>
      <c r="U11" s="377"/>
      <c r="V11" s="377"/>
      <c r="W11" s="377"/>
      <c r="X11" s="377"/>
      <c r="Y11" s="377"/>
      <c r="Z11" s="377"/>
      <c r="AA11" s="377"/>
      <c r="AB11" s="376"/>
      <c r="AC11" s="377"/>
      <c r="AD11" s="377"/>
      <c r="AE11" s="377"/>
      <c r="AF11" s="377"/>
      <c r="AG11" s="377"/>
      <c r="AH11" s="377"/>
      <c r="AI11" s="376"/>
      <c r="AJ11" s="377"/>
      <c r="AK11" s="313"/>
      <c r="AM11" s="510"/>
      <c r="AN11" s="510" t="str">
        <f>IF(T11="","",T11)</f>
        <v>Добавить наименование признака дифференциации</v>
      </c>
      <c r="AO11" s="510"/>
      <c r="AP11" s="510"/>
      <c r="AQ11" s="1165">
        <v>0</v>
      </c>
    </row>
    <row s="1652" customFormat="1" customHeight="1" ht="14.25" hidden="1">
      <c r="A12" s="1353"/>
      <c r="B12" s="1353"/>
      <c r="C12" s="1324"/>
      <c r="D12" s="1324"/>
      <c r="E12" s="2269"/>
      <c r="F12" s="2268"/>
      <c r="G12" s="1324"/>
      <c r="H12" s="1324"/>
      <c r="I12" s="1324"/>
      <c r="J12" s="1324"/>
      <c r="K12" s="1324"/>
      <c r="L12" s="1436"/>
      <c r="M12" s="1331"/>
      <c r="N12" s="1331"/>
      <c r="P12" s="1326"/>
      <c r="Q12" s="1327"/>
      <c r="R12" s="1326"/>
      <c r="S12" s="1332"/>
      <c r="T12" s="1335" t="s">
        <v>437</v>
      </c>
      <c r="U12" s="1334"/>
      <c r="V12" s="1334"/>
      <c r="W12" s="1334"/>
      <c r="X12" s="1334"/>
      <c r="Y12" s="1334"/>
      <c r="Z12" s="1334"/>
      <c r="AA12" s="1334"/>
      <c r="AB12" s="1334"/>
      <c r="AC12" s="1334"/>
      <c r="AD12" s="1334"/>
      <c r="AE12" s="1334"/>
      <c r="AF12" s="1334"/>
      <c r="AG12" s="1334"/>
      <c r="AH12" s="1334"/>
      <c r="AI12" s="1334"/>
      <c r="AJ12" s="1334"/>
      <c r="AK12" s="1334"/>
      <c r="AM12" s="799"/>
      <c r="AN12" s="799" t="str">
        <f>IF(T12="","",T12)</f>
        <v>Добавить централизованную систему для дифференциации</v>
      </c>
      <c r="AO12" s="799"/>
      <c r="AP12" s="799"/>
      <c r="AQ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438</v>
      </c>
      <c r="U13" s="1334"/>
      <c r="V13" s="1334"/>
      <c r="W13" s="1334"/>
      <c r="X13" s="1334"/>
      <c r="Y13" s="1334"/>
      <c r="Z13" s="1334"/>
      <c r="AA13" s="1334"/>
      <c r="AB13" s="1334"/>
      <c r="AC13" s="1334"/>
      <c r="AD13" s="1334"/>
      <c r="AE13" s="1334"/>
      <c r="AF13" s="1334"/>
      <c r="AG13" s="1334"/>
      <c r="AH13" s="1334"/>
      <c r="AI13" s="1334"/>
      <c r="AJ13" s="1334"/>
      <c r="AK13" s="1334"/>
      <c r="AM13" s="510"/>
      <c r="AN13" s="510" t="str">
        <f>IF(T13="","",T13)</f>
        <v>Добавить территорию для дифференциации</v>
      </c>
      <c r="AO13" s="510"/>
      <c r="AP13" s="510"/>
      <c r="AQ13" s="521">
        <v>0</v>
      </c>
    </row>
    <row customHeight="1" ht="14.25" hidden="1">
      <c r="AB14" s="337"/>
      <c r="AI14" s="337"/>
      <c r="AQ14" s="1165">
        <v>0</v>
      </c>
    </row>
    <row customHeight="1" ht="14.25" hidden="1">
      <c r="AC15" s="1370"/>
      <c r="AD15" s="1370"/>
      <c r="AE15" s="1371"/>
      <c r="AF15" s="2277"/>
      <c r="AG15" s="2278" t="s">
        <v>66</v>
      </c>
      <c r="AH15" s="2277"/>
      <c r="AI15" s="2278" t="s">
        <v>66</v>
      </c>
      <c r="AQ15" s="1165">
        <v>0</v>
      </c>
    </row>
    <row customHeight="1" ht="14.25" hidden="1">
      <c r="AC16" s="1370"/>
      <c r="AD16" s="1370"/>
      <c r="AE16" s="338" t="str">
        <f>AF15&amp;"-"&amp;AH15</f>
        <v>-</v>
      </c>
      <c r="AF16" s="2278"/>
      <c r="AG16" s="2278"/>
      <c r="AH16" s="2278"/>
      <c r="AI16" s="2278"/>
      <c r="AQ16" s="1165">
        <v>0</v>
      </c>
    </row>
    <row customHeight="1" ht="14.25" hidden="1">
      <c r="AI17" s="337"/>
      <c r="AQ17" s="1165">
        <v>0</v>
      </c>
    </row>
    <row s="1376" customFormat="1" customHeight="1" ht="22.5" hidden="1">
      <c r="L18" s="1431"/>
      <c r="M18" s="1372"/>
      <c r="N18" s="1372"/>
      <c r="O18" s="1377" t="s">
        <v>439</v>
      </c>
      <c r="P18" s="1372"/>
      <c r="Q18" s="1381"/>
      <c r="R18" s="1381"/>
      <c r="S18" s="739"/>
      <c r="Y18" s="1377"/>
      <c r="AA18" s="1377"/>
      <c r="AB18" s="1376"/>
      <c r="AF18" s="1377"/>
      <c r="AH18" s="1377"/>
      <c r="AI18" s="1376"/>
      <c r="AL18" s="521"/>
      <c r="AM18" s="521"/>
      <c r="AN18" s="521"/>
      <c r="AO18" s="521"/>
      <c r="AP18" s="521"/>
      <c r="AQ18" s="1170">
        <v>0</v>
      </c>
    </row>
    <row s="1376" customFormat="1" customHeight="1" ht="14.25" hidden="1">
      <c r="L19" s="1431"/>
      <c r="M19" s="1372"/>
      <c r="N19" s="1372"/>
      <c r="O19" s="1372"/>
      <c r="P19" s="1372"/>
      <c r="Q19" s="1381"/>
      <c r="R19" s="1381"/>
      <c r="S19" s="739"/>
      <c r="AB19" s="1376"/>
      <c r="AI19" s="1376"/>
      <c r="AL19" s="521"/>
      <c r="AM19" s="521"/>
      <c r="AN19" s="521"/>
      <c r="AO19" s="521"/>
      <c r="AP19" s="521"/>
      <c r="AQ19" s="1170">
        <v>0</v>
      </c>
    </row>
    <row s="1376" customFormat="1" customHeight="1" ht="12" hidden="1">
      <c r="L20" s="1431"/>
      <c r="M20" s="1372"/>
      <c r="N20" s="1372"/>
      <c r="O20" s="1374" t="s">
        <v>440</v>
      </c>
      <c r="P20" s="1372"/>
      <c r="Q20" s="1452"/>
      <c r="R20" s="1452"/>
      <c r="S20" s="739"/>
      <c r="T20" s="1170" t="s">
        <v>441</v>
      </c>
      <c r="Z20" s="196" t="s">
        <v>442</v>
      </c>
      <c r="AB20" s="196" t="s">
        <v>443</v>
      </c>
      <c r="AC20" s="1170" t="s">
        <v>441</v>
      </c>
      <c r="AG20" s="196" t="s">
        <v>444</v>
      </c>
      <c r="AI20" s="196" t="s">
        <v>443</v>
      </c>
      <c r="AQ20" s="1170">
        <v>0</v>
      </c>
    </row>
    <row customHeight="1" ht="14.25" hidden="1">
      <c r="O21" s="1374"/>
      <c r="AQ21" s="1165">
        <v>0</v>
      </c>
    </row>
    <row customHeight="1" ht="14.25" hidden="1">
      <c r="O22" s="1374"/>
      <c r="AQ22" s="1165">
        <v>0</v>
      </c>
    </row>
    <row customHeight="1" ht="14.699999999999998">
      <c r="Q23" s="386"/>
      <c r="R23" s="386"/>
      <c r="S23" s="1285"/>
      <c r="T23" s="373"/>
      <c r="U23" s="373"/>
      <c r="V23" s="519"/>
      <c r="W23" s="519"/>
      <c r="X23" s="519"/>
      <c r="Y23" s="519"/>
      <c r="Z23" s="519"/>
      <c r="AA23" s="519"/>
      <c r="AB23" s="519"/>
      <c r="AC23" s="519"/>
      <c r="AD23" s="519"/>
      <c r="AE23" s="519"/>
      <c r="AF23" s="519"/>
      <c r="AG23" s="519"/>
      <c r="AH23" s="519"/>
      <c r="AI23" s="519"/>
      <c r="AQ23" s="1165">
        <v>14</v>
      </c>
    </row>
    <row customHeight="1" ht="14.699999999999998">
      <c r="Q24" s="386"/>
      <c r="R24" s="386"/>
      <c r="S24" s="225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8"/>
      <c r="U24" s="2258"/>
      <c r="V24" s="2258"/>
      <c r="W24" s="2258"/>
      <c r="X24" s="2258"/>
      <c r="Y24" s="2258"/>
      <c r="Z24" s="2258"/>
      <c r="AA24" s="2258"/>
      <c r="AB24" s="2258"/>
      <c r="AC24" s="2258"/>
      <c r="AD24" s="2258"/>
      <c r="AE24" s="2258"/>
      <c r="AF24" s="2258"/>
      <c r="AG24" s="2258"/>
      <c r="AH24" s="2258"/>
      <c r="AI24" s="1253"/>
      <c r="AQ24" s="1165">
        <v>14</v>
      </c>
    </row>
    <row customHeight="1" ht="14.699999999999998">
      <c r="Q25" s="386"/>
      <c r="R25" s="386"/>
      <c r="S25" s="2259" t="str">
        <f>IF(org=0,"Не определено",org)</f>
        <v>АО «ДГК» СП «Нерюнгринская ГРЭС»</v>
      </c>
      <c r="T25" s="2259"/>
      <c r="U25" s="2259"/>
      <c r="V25" s="2259"/>
      <c r="W25" s="2259"/>
      <c r="X25" s="2259"/>
      <c r="Y25" s="2259"/>
      <c r="Z25" s="2259"/>
      <c r="AA25" s="2259"/>
      <c r="AB25" s="2259"/>
      <c r="AC25" s="2259"/>
      <c r="AD25" s="2259"/>
      <c r="AE25" s="2259"/>
      <c r="AF25" s="2259"/>
      <c r="AG25" s="2259"/>
      <c r="AH25" s="2259"/>
      <c r="AI25" s="1253"/>
      <c r="AQ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519"/>
      <c r="AQ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336"/>
      <c r="AC27" s="2261" t="str">
        <f>IF(TITLE_NAME_OR_PR_CHANGE="",IF(TITLE_NAME_OR_PR="","",TITLE_NAME_OR_PR),TITLE_NAME_OR_PR_CHANGE)</f>
        <v/>
      </c>
      <c r="AD27" s="2261"/>
      <c r="AE27" s="2261"/>
      <c r="AF27" s="2261"/>
      <c r="AG27" s="2261"/>
      <c r="AH27" s="2261"/>
      <c r="AI27" s="336"/>
      <c r="AJ27" s="336"/>
      <c r="AK27" s="290"/>
      <c r="AL27" s="378"/>
      <c r="AM27" s="378"/>
      <c r="AN27" s="378"/>
      <c r="AO27" s="378"/>
      <c r="AP27" s="378"/>
      <c r="AQ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445</v>
      </c>
      <c r="T28" s="2260"/>
      <c r="U28" s="1382"/>
      <c r="V28" s="2274" t="str">
        <f>IF(TITLE_DATE_PR_CHANGE="",IF(TITLE_DATE_PR="","",TITLE_DATE_PR),TITLE_DATE_PR_CHANGE)</f>
        <v/>
      </c>
      <c r="W28" s="2274"/>
      <c r="X28" s="2274"/>
      <c r="Y28" s="2274"/>
      <c r="Z28" s="2274"/>
      <c r="AA28" s="2274"/>
      <c r="AB28" s="336"/>
      <c r="AC28" s="2274" t="str">
        <f>IF(TITLE_DATE_PR_CHANGE="",IF(TITLE_DATE_PR="","",TITLE_DATE_PR),TITLE_DATE_PR_CHANGE)</f>
        <v/>
      </c>
      <c r="AD28" s="2274"/>
      <c r="AE28" s="2274"/>
      <c r="AF28" s="2274"/>
      <c r="AG28" s="2274"/>
      <c r="AH28" s="2274"/>
      <c r="AI28" s="336"/>
      <c r="AJ28" s="336"/>
      <c r="AK28" s="290"/>
      <c r="AL28" s="378"/>
      <c r="AM28" s="378"/>
      <c r="AN28" s="378"/>
      <c r="AO28" s="378"/>
      <c r="AP28" s="378"/>
      <c r="AQ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446</v>
      </c>
      <c r="T29" s="2260"/>
      <c r="U29" s="1382"/>
      <c r="V29" s="2261" t="str">
        <f>IF(TITLE_NUMBER_PR_CHANGE="",IF(TITLE_NUMBER_PR="","",TITLE_NUMBER_PR),TITLE_NUMBER_PR_CHANGE)</f>
        <v/>
      </c>
      <c r="W29" s="2261"/>
      <c r="X29" s="2261"/>
      <c r="Y29" s="2261"/>
      <c r="Z29" s="2261"/>
      <c r="AA29" s="2261"/>
      <c r="AB29" s="336"/>
      <c r="AC29" s="2261" t="str">
        <f>IF(TITLE_NUMBER_PR_CHANGE="",IF(TITLE_NUMBER_PR="","",TITLE_NUMBER_PR),TITLE_NUMBER_PR_CHANGE)</f>
        <v/>
      </c>
      <c r="AD29" s="2261"/>
      <c r="AE29" s="2261"/>
      <c r="AF29" s="2261"/>
      <c r="AG29" s="2261"/>
      <c r="AH29" s="2261"/>
      <c r="AI29" s="336"/>
      <c r="AJ29" s="336"/>
      <c r="AK29" s="290"/>
      <c r="AL29" s="378"/>
      <c r="AM29" s="378"/>
      <c r="AN29" s="378"/>
      <c r="AO29" s="378"/>
      <c r="AP29" s="378"/>
      <c r="AQ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336"/>
      <c r="AC30" s="2261" t="str">
        <f>IF(TITLE_IST_PUB_CHANGE="",IF(TITLE_IST_PUB="","",TITLE_IST_PUB),TITLE_IST_PUB_CHANGE)</f>
        <v/>
      </c>
      <c r="AD30" s="2261"/>
      <c r="AE30" s="2261"/>
      <c r="AF30" s="2261"/>
      <c r="AG30" s="2261"/>
      <c r="AH30" s="2261"/>
      <c r="AI30" s="336"/>
      <c r="AJ30" s="336"/>
      <c r="AK30" s="290"/>
      <c r="AL30" s="378"/>
      <c r="AM30" s="378"/>
      <c r="AN30" s="378"/>
      <c r="AO30" s="378"/>
      <c r="AP30" s="378"/>
      <c r="AQ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519"/>
      <c r="AQ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447</v>
      </c>
      <c r="T32" s="2260"/>
      <c r="U32" s="1382"/>
      <c r="V32" s="2274" t="str">
        <f>IF(TITLE_DATE_PR_CHANGE="",IF(TITLE_DATE_PR="","",TITLE_DATE_PR),TITLE_DATE_PR_CHANGE)</f>
        <v/>
      </c>
      <c r="W32" s="2274"/>
      <c r="X32" s="2274"/>
      <c r="Y32" s="2274"/>
      <c r="Z32" s="2274"/>
      <c r="AA32" s="2274"/>
      <c r="AB32" s="336"/>
      <c r="AC32" s="2274" t="str">
        <f>IF(TITLE_DATE_PR_CHANGE="",IF(TITLE_DATE_PR="","",TITLE_DATE_PR),TITLE_DATE_PR_CHANGE)</f>
        <v/>
      </c>
      <c r="AD32" s="2274"/>
      <c r="AE32" s="2274"/>
      <c r="AF32" s="2274"/>
      <c r="AG32" s="2274"/>
      <c r="AH32" s="2274"/>
      <c r="AI32" s="336"/>
      <c r="AJ32" s="336"/>
      <c r="AK32" s="290"/>
      <c r="AL32" s="378"/>
      <c r="AM32" s="378"/>
      <c r="AN32" s="378"/>
      <c r="AO32" s="378"/>
      <c r="AP32" s="378"/>
      <c r="AQ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448</v>
      </c>
      <c r="T33" s="2260"/>
      <c r="U33" s="1382"/>
      <c r="V33" s="2261" t="str">
        <f>IF(TITLE_NUMBER_PR_CHANGE="",IF(TITLE_NUMBER_PR="","",TITLE_NUMBER_PR),TITLE_NUMBER_PR_CHANGE)</f>
        <v/>
      </c>
      <c r="W33" s="2261"/>
      <c r="X33" s="2261"/>
      <c r="Y33" s="2261"/>
      <c r="Z33" s="2261"/>
      <c r="AA33" s="2261"/>
      <c r="AB33" s="336"/>
      <c r="AC33" s="2261" t="str">
        <f>IF(TITLE_NUMBER_PR_CHANGE="",IF(TITLE_NUMBER_PR="","",TITLE_NUMBER_PR),TITLE_NUMBER_PR_CHANGE)</f>
        <v/>
      </c>
      <c r="AD33" s="2261"/>
      <c r="AE33" s="2261"/>
      <c r="AF33" s="2261"/>
      <c r="AG33" s="2261"/>
      <c r="AH33" s="2261"/>
      <c r="AI33" s="336"/>
      <c r="AJ33" s="336"/>
      <c r="AK33" s="290"/>
      <c r="AL33" s="378"/>
      <c r="AM33" s="378"/>
      <c r="AN33" s="378"/>
      <c r="AO33" s="378"/>
      <c r="AP33" s="378"/>
      <c r="AQ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365"/>
      <c r="V34" s="336"/>
      <c r="W34" s="336"/>
      <c r="X34" s="336"/>
      <c r="Y34" s="336"/>
      <c r="Z34" s="336"/>
      <c r="AA34" s="336"/>
      <c r="AB34" s="288" t="s">
        <v>449</v>
      </c>
      <c r="AC34" s="336"/>
      <c r="AD34" s="336"/>
      <c r="AE34" s="336"/>
      <c r="AF34" s="336"/>
      <c r="AG34" s="336"/>
      <c r="AH34" s="336"/>
      <c r="AI34" s="288" t="s">
        <v>449</v>
      </c>
      <c r="AL34" s="378"/>
      <c r="AM34" s="378"/>
      <c r="AN34" s="378"/>
      <c r="AO34" s="378"/>
      <c r="AP34" s="378"/>
      <c r="AQ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Q35" s="1165">
        <v>14</v>
      </c>
    </row>
    <row customHeight="1" ht="14.699999999999998">
      <c r="Q36" s="386"/>
      <c r="R36" s="386"/>
      <c r="S36" s="2137" t="s">
        <v>322</v>
      </c>
      <c r="T36" s="2137"/>
      <c r="U36" s="2137"/>
      <c r="V36" s="2137"/>
      <c r="W36" s="2137"/>
      <c r="X36" s="2137"/>
      <c r="Y36" s="2137"/>
      <c r="Z36" s="2137"/>
      <c r="AA36" s="2137"/>
      <c r="AB36" s="2137"/>
      <c r="AC36" s="2137"/>
      <c r="AD36" s="2137"/>
      <c r="AE36" s="2137"/>
      <c r="AF36" s="2137"/>
      <c r="AG36" s="2137"/>
      <c r="AH36" s="2137"/>
      <c r="AI36" s="2137"/>
      <c r="AJ36" s="2137"/>
      <c r="AK36" s="2137" t="s">
        <v>323</v>
      </c>
      <c r="AQ36" s="1165">
        <v>14</v>
      </c>
    </row>
    <row customHeight="1" ht="14.699999999999998">
      <c r="Q37" s="386"/>
      <c r="R37" s="386"/>
      <c r="S37" s="2283" t="s">
        <v>88</v>
      </c>
      <c r="T37" s="2219" t="s">
        <v>450</v>
      </c>
      <c r="U37" s="311"/>
      <c r="V37" s="2284" t="s">
        <v>451</v>
      </c>
      <c r="W37" s="2285"/>
      <c r="X37" s="2285"/>
      <c r="Y37" s="2285"/>
      <c r="Z37" s="2285"/>
      <c r="AA37" s="2286"/>
      <c r="AB37" s="2287" t="s">
        <v>452</v>
      </c>
      <c r="AC37" s="2284" t="s">
        <v>451</v>
      </c>
      <c r="AD37" s="2285"/>
      <c r="AE37" s="2285"/>
      <c r="AF37" s="2285"/>
      <c r="AG37" s="2285"/>
      <c r="AH37" s="2286"/>
      <c r="AI37" s="2287" t="s">
        <v>453</v>
      </c>
      <c r="AJ37" s="2290" t="s">
        <v>454</v>
      </c>
      <c r="AK37" s="2137"/>
      <c r="AQ37" s="1165">
        <v>14</v>
      </c>
    </row>
    <row customHeight="1" ht="35.699999999999996">
      <c r="Q38" s="386"/>
      <c r="R38" s="386"/>
      <c r="S38" s="2283"/>
      <c r="T38" s="2219"/>
      <c r="U38" s="1041"/>
      <c r="V38" s="1362" t="s">
        <v>511</v>
      </c>
      <c r="W38" s="2272" t="s">
        <v>457</v>
      </c>
      <c r="X38" s="2273"/>
      <c r="Y38" s="2272" t="s">
        <v>458</v>
      </c>
      <c r="Z38" s="2279"/>
      <c r="AA38" s="2273"/>
      <c r="AB38" s="2288"/>
      <c r="AC38" s="1362" t="s">
        <v>511</v>
      </c>
      <c r="AD38" s="2272" t="s">
        <v>457</v>
      </c>
      <c r="AE38" s="2273"/>
      <c r="AF38" s="2272" t="s">
        <v>458</v>
      </c>
      <c r="AG38" s="2279"/>
      <c r="AH38" s="2273"/>
      <c r="AI38" s="2288"/>
      <c r="AJ38" s="2291"/>
      <c r="AK38" s="2137"/>
      <c r="AQ38" s="1165">
        <v>34</v>
      </c>
    </row>
    <row customHeight="1" ht="35.699999999999996">
      <c r="A39" s="1380"/>
      <c r="B39" s="1380" t="s">
        <v>159</v>
      </c>
      <c r="C39" s="1380" t="s">
        <v>160</v>
      </c>
      <c r="D39" s="1380" t="s">
        <v>161</v>
      </c>
      <c r="E39" s="1374" t="s">
        <v>459</v>
      </c>
      <c r="F39" s="1374" t="s">
        <v>460</v>
      </c>
      <c r="G39" s="1374" t="s">
        <v>461</v>
      </c>
      <c r="H39" s="1374"/>
      <c r="I39" s="1374" t="s">
        <v>512</v>
      </c>
      <c r="J39" s="1374" t="s">
        <v>464</v>
      </c>
      <c r="K39" s="1374" t="s">
        <v>513</v>
      </c>
      <c r="L39" s="1374" t="s">
        <v>440</v>
      </c>
      <c r="Q39" s="386"/>
      <c r="R39" s="386"/>
      <c r="S39" s="2283"/>
      <c r="T39" s="2219"/>
      <c r="U39" s="312"/>
      <c r="V39" s="1362" t="s">
        <v>514</v>
      </c>
      <c r="W39" s="1232" t="s">
        <v>515</v>
      </c>
      <c r="X39" s="1232" t="s">
        <v>516</v>
      </c>
      <c r="Y39" s="1367" t="s">
        <v>468</v>
      </c>
      <c r="Z39" s="2280" t="s">
        <v>469</v>
      </c>
      <c r="AA39" s="2281"/>
      <c r="AB39" s="2289"/>
      <c r="AC39" s="1362" t="s">
        <v>514</v>
      </c>
      <c r="AD39" s="1232" t="s">
        <v>515</v>
      </c>
      <c r="AE39" s="1232" t="s">
        <v>516</v>
      </c>
      <c r="AF39" s="1367" t="s">
        <v>468</v>
      </c>
      <c r="AG39" s="2280" t="s">
        <v>469</v>
      </c>
      <c r="AH39" s="2281"/>
      <c r="AI39" s="2289"/>
      <c r="AJ39" s="2292"/>
      <c r="AK39" s="2137"/>
      <c r="AQ39" s="1165">
        <v>34</v>
      </c>
    </row>
    <row s="1651" customFormat="1" customHeight="1" ht="11.25" hidden="1">
      <c r="A40" s="1380"/>
      <c r="B40" s="1380"/>
      <c r="C40" s="1380"/>
      <c r="D40" s="1380"/>
      <c r="E40" s="1380"/>
      <c r="F40" s="1380"/>
      <c r="G40" s="1380"/>
      <c r="H40" s="1380"/>
      <c r="I40" s="1380"/>
      <c r="J40" s="1380"/>
      <c r="K40" s="1380"/>
      <c r="L40" s="1374"/>
      <c r="M40" s="1372"/>
      <c r="N40" s="1372"/>
      <c r="O40" s="1372"/>
      <c r="P40" s="1256"/>
      <c r="Q40" s="1257"/>
      <c r="R40" s="1264">
        <v>1</v>
      </c>
      <c r="S40" s="1287" t="s">
        <v>124</v>
      </c>
      <c r="T40" s="1265" t="s">
        <v>104</v>
      </c>
      <c r="U40" s="1255" t="str">
        <f>OFFSET(U40,0,-1)</f>
        <v>2</v>
      </c>
      <c r="V40" s="1363">
        <f>OFFSET(V40,0,-1)+1</f>
        <v>3</v>
      </c>
      <c r="W40" s="1363">
        <f>OFFSET(W40,0,-1)+1</f>
        <v>4</v>
      </c>
      <c r="X40" s="1363">
        <f>OFFSET(X40,0,-1)+1</f>
        <v>5</v>
      </c>
      <c r="Y40" s="1363">
        <f>OFFSET(Y40,0,-1)+1</f>
        <v>6</v>
      </c>
      <c r="Z40" s="2282">
        <f>OFFSET(Z40,0,-1)+1</f>
        <v>7</v>
      </c>
      <c r="AA40" s="2282"/>
      <c r="AB40" s="1363">
        <f>OFFSET(AB40,0,-2)+1</f>
        <v>8</v>
      </c>
      <c r="AC40" s="1363">
        <f>OFFSET(AC40,0,-1)+1</f>
        <v>9</v>
      </c>
      <c r="AD40" s="1363">
        <f>OFFSET(AD40,0,-1)+1</f>
        <v>10</v>
      </c>
      <c r="AE40" s="1363">
        <f>OFFSET(AE40,0,-1)+1</f>
        <v>11</v>
      </c>
      <c r="AF40" s="1363">
        <f>OFFSET(AF40,0,-1)+1</f>
        <v>12</v>
      </c>
      <c r="AG40" s="2282">
        <f>OFFSET(AG40,0,-1)+1</f>
        <v>13</v>
      </c>
      <c r="AH40" s="2282"/>
      <c r="AI40" s="1363">
        <f>OFFSET(AI40,0,-2)+1</f>
        <v>14</v>
      </c>
      <c r="AJ40" s="1255">
        <f>OFFSET(AJ40,0,-1)</f>
        <v>14</v>
      </c>
      <c r="AK40" s="1363">
        <f>OFFSET(AK40,0,-1)+1</f>
        <v>15</v>
      </c>
      <c r="AL40" s="521"/>
      <c r="AM40" s="521"/>
      <c r="AN40" s="521"/>
      <c r="AO40" s="521"/>
      <c r="AP40" s="521"/>
      <c r="AQ40" s="506">
        <v>0</v>
      </c>
    </row>
    <row customHeight="1" ht="24">
      <c r="A41" s="1373" t="s">
        <v>248</v>
      </c>
      <c r="B41" s="1373"/>
      <c r="C41" s="1373"/>
      <c r="D41" s="1373"/>
      <c r="E41" s="2268">
        <v>1</v>
      </c>
      <c r="F41" s="1373"/>
      <c r="G41" s="1373"/>
      <c r="H41" s="1373"/>
      <c r="I41" s="1373"/>
      <c r="J41" s="1373"/>
      <c r="K41" s="1373"/>
      <c r="L41" s="1374"/>
      <c r="M41" s="1375"/>
      <c r="N41" s="1375"/>
      <c r="O41" s="1375"/>
      <c r="P41" s="371"/>
      <c r="Q41" s="370"/>
      <c r="R41" s="365"/>
      <c r="S41" s="1368">
        <f>INDEX(PT_DIFFERENTIATION_NUM_NTAR,MATCH(A41,PT_DIFFERENTIATION_NTAR_ID,0))</f>
        <v>0</v>
      </c>
      <c r="T41" s="308" t="s">
        <v>147</v>
      </c>
      <c r="U41" s="310"/>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0"/>
      <c r="AN41" s="510" t="str">
        <f>IF(T41="","",T41)</f>
        <v>Наименование тарифа</v>
      </c>
      <c r="AO41" s="510"/>
      <c r="AP41" s="510"/>
      <c r="AQ41" s="1165">
        <v>23</v>
      </c>
    </row>
    <row customHeight="1" ht="24">
      <c r="A42" s="1373" t="s">
        <v>248</v>
      </c>
      <c r="B42" s="1373" t="s">
        <v>249</v>
      </c>
      <c r="C42" s="1373"/>
      <c r="D42" s="1373"/>
      <c r="E42" s="2269"/>
      <c r="F42" s="2268">
        <v>1</v>
      </c>
      <c r="G42" s="1373"/>
      <c r="H42" s="1373"/>
      <c r="I42" s="1373"/>
      <c r="J42" s="1373"/>
      <c r="K42" s="1373"/>
      <c r="L42" s="1374"/>
      <c r="M42" s="1375"/>
      <c r="N42" s="1375"/>
      <c r="O42" s="1375"/>
      <c r="P42" s="1366"/>
      <c r="Q42" s="362"/>
      <c r="R42" s="363"/>
      <c r="S42" s="1368" t="str">
        <f>INDEX(PT_DIFFERENTIATION_NUM_TER,MATCH(B42,PT_DIFFERENTIATION_TER_ID,0))</f>
        <v>.</v>
      </c>
      <c r="T42" s="318" t="s">
        <v>419</v>
      </c>
      <c r="U42" s="310"/>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268" t="s">
        <v>420</v>
      </c>
      <c r="AM42" s="510"/>
      <c r="AN42" s="510" t="str">
        <f>IF(T42="","",T42)</f>
        <v>Территория действия тарифа</v>
      </c>
      <c r="AO42" s="510"/>
      <c r="AP42" s="510"/>
      <c r="AQ42" s="1165">
        <v>23</v>
      </c>
    </row>
    <row customHeight="1" ht="24">
      <c r="A43" s="1373" t="s">
        <v>248</v>
      </c>
      <c r="B43" s="1373" t="s">
        <v>249</v>
      </c>
      <c r="C43" s="1373" t="s">
        <v>250</v>
      </c>
      <c r="D43" s="1373"/>
      <c r="E43" s="2269"/>
      <c r="F43" s="2269"/>
      <c r="G43" s="2268">
        <v>1</v>
      </c>
      <c r="H43" s="1373"/>
      <c r="I43" s="1373"/>
      <c r="J43" s="1373"/>
      <c r="K43" s="1373"/>
      <c r="L43" s="1374"/>
      <c r="M43" s="1375"/>
      <c r="N43" s="1375"/>
      <c r="O43" s="1375"/>
      <c r="P43" s="364"/>
      <c r="Q43" s="362"/>
      <c r="R43" s="363"/>
      <c r="S43" s="1368" t="str">
        <f>INDEX(PT_DIFFERENTIATION_NUM_CS,MATCH(C43,PT_DIFFERENTIATION_CS_ID,0))</f>
        <v>..</v>
      </c>
      <c r="T43" s="319" t="s">
        <v>503</v>
      </c>
      <c r="U43" s="310"/>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268" t="s">
        <v>504</v>
      </c>
      <c r="AM43" s="510"/>
      <c r="AN43" s="510" t="str">
        <f>IF(T43="","",T43)</f>
        <v>Наименование централизованной системы холодного водоснабжения</v>
      </c>
      <c r="AO43" s="510"/>
      <c r="AP43" s="510"/>
      <c r="AQ43" s="1165">
        <v>23</v>
      </c>
    </row>
    <row customHeight="1" ht="24">
      <c r="A44" s="1373" t="s">
        <v>248</v>
      </c>
      <c r="B44" s="1373" t="s">
        <v>249</v>
      </c>
      <c r="C44" s="1373" t="s">
        <v>250</v>
      </c>
      <c r="D44" s="1373" t="s">
        <v>517</v>
      </c>
      <c r="E44" s="2269"/>
      <c r="F44" s="2269"/>
      <c r="G44" s="2269"/>
      <c r="H44" s="2269"/>
      <c r="I44" s="2266" t="str">
        <f>S43&amp;".1"</f>
        <v>...1</v>
      </c>
      <c r="J44" s="1373"/>
      <c r="K44" s="1373"/>
      <c r="L44" s="1374"/>
      <c r="P44" s="2267">
        <v>1</v>
      </c>
      <c r="Q44" s="1364"/>
      <c r="R44" s="366"/>
      <c r="S44" s="1368" t="str">
        <f>$I44</f>
        <v>...1</v>
      </c>
      <c r="T44" s="295" t="s">
        <v>505</v>
      </c>
      <c r="U44" s="310"/>
      <c r="V44" s="2360"/>
      <c r="W44" s="2361"/>
      <c r="X44" s="2361"/>
      <c r="Y44" s="2361"/>
      <c r="Z44" s="2361"/>
      <c r="AA44" s="2361"/>
      <c r="AB44" s="2362"/>
      <c r="AC44" s="2363"/>
      <c r="AD44" s="2364"/>
      <c r="AE44" s="2364"/>
      <c r="AF44" s="2364"/>
      <c r="AG44" s="2364"/>
      <c r="AH44" s="2364"/>
      <c r="AI44" s="2364"/>
      <c r="AJ44" s="2365"/>
      <c r="AK44" s="1268" t="s">
        <v>506</v>
      </c>
      <c r="AM44" s="510"/>
      <c r="AN44" s="510" t="str">
        <f>IF(T44="","",T44)</f>
        <v>Наименование признака дифференциации</v>
      </c>
      <c r="AO44" s="510"/>
      <c r="AP44" s="510"/>
      <c r="AQ44" s="1165">
        <v>23</v>
      </c>
    </row>
    <row customHeight="1" ht="24">
      <c r="A45" s="1373" t="s">
        <v>248</v>
      </c>
      <c r="B45" s="1373" t="s">
        <v>249</v>
      </c>
      <c r="C45" s="1373" t="s">
        <v>250</v>
      </c>
      <c r="D45" s="1373" t="s">
        <v>517</v>
      </c>
      <c r="E45" s="2269"/>
      <c r="F45" s="2269"/>
      <c r="G45" s="2269"/>
      <c r="H45" s="2269"/>
      <c r="I45" s="2296"/>
      <c r="J45" s="2266" t="str">
        <f>I44&amp;".1"</f>
        <v>...1.1</v>
      </c>
      <c r="K45" s="1373"/>
      <c r="L45" s="1374" t="s">
        <v>428</v>
      </c>
      <c r="P45" s="2267"/>
      <c r="Q45" s="2267">
        <v>1</v>
      </c>
      <c r="R45" s="367"/>
      <c r="S45" s="1368" t="str">
        <f>$J45</f>
        <v>...1.1</v>
      </c>
      <c r="T45" s="296" t="s">
        <v>429</v>
      </c>
      <c r="U45" s="310"/>
      <c r="V45" s="2255"/>
      <c r="W45" s="2256"/>
      <c r="X45" s="2256"/>
      <c r="Y45" s="2256"/>
      <c r="Z45" s="2256"/>
      <c r="AA45" s="2256"/>
      <c r="AB45" s="2257"/>
      <c r="AC45" s="2255"/>
      <c r="AD45" s="2256"/>
      <c r="AE45" s="2256"/>
      <c r="AF45" s="2256"/>
      <c r="AG45" s="2256"/>
      <c r="AH45" s="2256"/>
      <c r="AI45" s="2256"/>
      <c r="AJ45" s="2257"/>
      <c r="AK45" s="1317" t="s">
        <v>507</v>
      </c>
      <c r="AM45" s="510"/>
      <c r="AN45" s="510" t="str">
        <f>IF(T45="","",T45)</f>
        <v>Группа потребителей</v>
      </c>
      <c r="AO45" s="510"/>
      <c r="AP45" s="510"/>
      <c r="AQ45" s="1165">
        <v>23</v>
      </c>
    </row>
    <row customHeight="1" ht="24">
      <c r="A46" s="1373" t="s">
        <v>248</v>
      </c>
      <c r="B46" s="1373" t="s">
        <v>249</v>
      </c>
      <c r="C46" s="1373" t="s">
        <v>250</v>
      </c>
      <c r="D46" s="1373" t="s">
        <v>517</v>
      </c>
      <c r="E46" s="2269"/>
      <c r="F46" s="2269"/>
      <c r="G46" s="2269"/>
      <c r="H46" s="2269"/>
      <c r="I46" s="2296"/>
      <c r="J46" s="2296"/>
      <c r="K46" s="2266" t="str">
        <f>J45&amp;".1"</f>
        <v>...1.1.1</v>
      </c>
      <c r="L46" s="1374"/>
      <c r="P46" s="2267"/>
      <c r="Q46" s="2267"/>
      <c r="R46" s="367">
        <v>1</v>
      </c>
      <c r="S46" s="1368" t="str">
        <f>$K46</f>
        <v>...1.1.1</v>
      </c>
      <c r="T46" s="1447"/>
      <c r="U46" s="310"/>
      <c r="V46" s="1370"/>
      <c r="W46" s="1370"/>
      <c r="X46" s="1371"/>
      <c r="Y46" s="2277"/>
      <c r="Z46" s="2278" t="s">
        <v>66</v>
      </c>
      <c r="AA46" s="2277"/>
      <c r="AB46" s="2278" t="s">
        <v>66</v>
      </c>
      <c r="AC46" s="761"/>
      <c r="AD46" s="761"/>
      <c r="AE46" s="1267"/>
      <c r="AF46" s="2275"/>
      <c r="AG46" s="2117" t="s">
        <v>66</v>
      </c>
      <c r="AH46" s="2297"/>
      <c r="AI46" s="2117" t="s">
        <v>19</v>
      </c>
      <c r="AJ46" s="1448"/>
      <c r="AK46"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1">
        <f>STRCHECKDATE(V47:AJ47)</f>
      </c>
      <c r="AM46" s="510"/>
      <c r="AN46" s="510" t="str">
        <f>IF(T46="","",T46)</f>
        <v/>
      </c>
      <c r="AO46" s="510"/>
      <c r="AP46" s="510"/>
      <c r="AQ46" s="1165">
        <v>23</v>
      </c>
    </row>
    <row customHeight="1" ht="0">
      <c r="A47" s="1373" t="s">
        <v>248</v>
      </c>
      <c r="B47" s="1373" t="s">
        <v>249</v>
      </c>
      <c r="C47" s="1373" t="s">
        <v>250</v>
      </c>
      <c r="D47" s="1373" t="s">
        <v>517</v>
      </c>
      <c r="E47" s="2269"/>
      <c r="F47" s="2269"/>
      <c r="G47" s="2269"/>
      <c r="H47" s="2269"/>
      <c r="I47" s="2296"/>
      <c r="J47" s="2296"/>
      <c r="K47" s="2266"/>
      <c r="L47" s="1374"/>
      <c r="P47" s="2267"/>
      <c r="Q47" s="2267"/>
      <c r="R47" s="367"/>
      <c r="S47" s="1369"/>
      <c r="T47" s="310"/>
      <c r="U47" s="310"/>
      <c r="V47" s="1370"/>
      <c r="W47" s="1370"/>
      <c r="X47" s="338" t="str">
        <f>Y46&amp;"-"&amp;AA46</f>
        <v>-</v>
      </c>
      <c r="Y47" s="2278"/>
      <c r="Z47" s="2278"/>
      <c r="AA47" s="2278"/>
      <c r="AB47" s="2278"/>
      <c r="AC47" s="335"/>
      <c r="AD47" s="335"/>
      <c r="AE47" s="338" t="str">
        <f>AF46&amp;"-"&amp;AH46</f>
        <v>-</v>
      </c>
      <c r="AF47" s="2276"/>
      <c r="AG47" s="2117"/>
      <c r="AH47" s="2298"/>
      <c r="AI47" s="2117"/>
      <c r="AJ47" s="1449"/>
      <c r="AK47" s="2359"/>
      <c r="AM47" s="510"/>
      <c r="AN47" s="510" t="str">
        <f>IF(T47="","",T47)</f>
        <v/>
      </c>
      <c r="AO47" s="510"/>
      <c r="AP47" s="510"/>
      <c r="AQ47" s="1165">
        <v>0</v>
      </c>
    </row>
    <row customHeight="1" ht="21">
      <c r="A48" s="1373" t="s">
        <v>248</v>
      </c>
      <c r="B48" s="1373" t="s">
        <v>249</v>
      </c>
      <c r="C48" s="1373" t="s">
        <v>250</v>
      </c>
      <c r="D48" s="1373" t="s">
        <v>517</v>
      </c>
      <c r="E48" s="2269"/>
      <c r="F48" s="2269"/>
      <c r="G48" s="2269"/>
      <c r="H48" s="2269"/>
      <c r="I48" s="2296"/>
      <c r="J48" s="2266"/>
      <c r="K48" s="1373"/>
      <c r="L48" s="1374"/>
      <c r="P48" s="2267"/>
      <c r="Q48" s="2267"/>
      <c r="R48" s="366"/>
      <c r="S48" s="1288"/>
      <c r="T48" s="297" t="s">
        <v>508</v>
      </c>
      <c r="U48" s="377"/>
      <c r="V48" s="377"/>
      <c r="W48" s="377"/>
      <c r="X48" s="377"/>
      <c r="Y48" s="377"/>
      <c r="Z48" s="377"/>
      <c r="AA48" s="377"/>
      <c r="AB48" s="377"/>
      <c r="AC48" s="377"/>
      <c r="AD48" s="377"/>
      <c r="AE48" s="377"/>
      <c r="AF48" s="377"/>
      <c r="AG48" s="377"/>
      <c r="AH48" s="377"/>
      <c r="AI48" s="377"/>
      <c r="AJ48" s="377"/>
      <c r="AK48" s="1268" t="s">
        <v>509</v>
      </c>
      <c r="AM48" s="510"/>
      <c r="AN48" s="510" t="str">
        <f>IF(T48="","",T48)</f>
        <v>Добавить значение признака дифференциации</v>
      </c>
      <c r="AO48" s="510"/>
      <c r="AP48" s="510"/>
      <c r="AQ48" s="1165">
        <v>20</v>
      </c>
    </row>
    <row customHeight="1" ht="22.049999999999997">
      <c r="A49" s="1373" t="s">
        <v>248</v>
      </c>
      <c r="B49" s="1373" t="s">
        <v>249</v>
      </c>
      <c r="C49" s="1373" t="s">
        <v>250</v>
      </c>
      <c r="D49" s="1373" t="s">
        <v>517</v>
      </c>
      <c r="E49" s="2269"/>
      <c r="F49" s="2269"/>
      <c r="G49" s="2269"/>
      <c r="H49" s="2269"/>
      <c r="I49" s="2266"/>
      <c r="J49" s="1373"/>
      <c r="K49" s="1373"/>
      <c r="L49" s="1374"/>
      <c r="P49" s="2267"/>
      <c r="Q49" s="1364"/>
      <c r="R49" s="366"/>
      <c r="S49" s="1288"/>
      <c r="T49" s="375" t="s">
        <v>434</v>
      </c>
      <c r="U49" s="377"/>
      <c r="V49" s="377"/>
      <c r="W49" s="377"/>
      <c r="X49" s="377"/>
      <c r="Y49" s="377"/>
      <c r="Z49" s="377"/>
      <c r="AA49" s="377"/>
      <c r="AB49" s="376"/>
      <c r="AC49" s="377"/>
      <c r="AD49" s="377"/>
      <c r="AE49" s="377"/>
      <c r="AF49" s="377"/>
      <c r="AG49" s="377"/>
      <c r="AH49" s="377"/>
      <c r="AI49" s="376"/>
      <c r="AJ49" s="377"/>
      <c r="AK49" s="1450"/>
      <c r="AM49" s="510"/>
      <c r="AN49" s="510" t="str">
        <f>IF(T49="","",T49)</f>
        <v>Добавить группу потребителей</v>
      </c>
      <c r="AO49" s="510"/>
      <c r="AP49" s="510"/>
      <c r="AQ49" s="1165">
        <v>21</v>
      </c>
    </row>
    <row customHeight="1" ht="22.049999999999997">
      <c r="A50" s="1373" t="s">
        <v>248</v>
      </c>
      <c r="B50" s="1373" t="s">
        <v>249</v>
      </c>
      <c r="C50" s="1373" t="s">
        <v>250</v>
      </c>
      <c r="D50" s="1373" t="s">
        <v>517</v>
      </c>
      <c r="E50" s="2269"/>
      <c r="F50" s="2269"/>
      <c r="G50" s="2269"/>
      <c r="H50" s="2268"/>
      <c r="I50" s="1373"/>
      <c r="J50" s="1373"/>
      <c r="K50" s="1373"/>
      <c r="L50" s="1374"/>
      <c r="M50" s="1375"/>
      <c r="N50" s="1375"/>
      <c r="O50" s="547"/>
      <c r="P50" s="370"/>
      <c r="Q50" s="385"/>
      <c r="R50" s="365"/>
      <c r="S50" s="1288"/>
      <c r="T50" s="382" t="s">
        <v>510</v>
      </c>
      <c r="U50" s="377"/>
      <c r="V50" s="377"/>
      <c r="W50" s="377"/>
      <c r="X50" s="377"/>
      <c r="Y50" s="377"/>
      <c r="Z50" s="377"/>
      <c r="AA50" s="377"/>
      <c r="AB50" s="376"/>
      <c r="AC50" s="377"/>
      <c r="AD50" s="377"/>
      <c r="AE50" s="377"/>
      <c r="AF50" s="377"/>
      <c r="AG50" s="377"/>
      <c r="AH50" s="377"/>
      <c r="AI50" s="376"/>
      <c r="AJ50" s="377"/>
      <c r="AK50" s="313"/>
      <c r="AM50" s="510"/>
      <c r="AN50" s="510" t="str">
        <f>IF(T50="","",T50)</f>
        <v>Добавить наименование признака дифференциации</v>
      </c>
      <c r="AO50" s="510"/>
      <c r="AP50" s="510"/>
      <c r="AQ50" s="1165">
        <v>21</v>
      </c>
    </row>
    <row s="1652" customFormat="1" customHeight="1" ht="0">
      <c r="A51" s="1353" t="s">
        <v>248</v>
      </c>
      <c r="B51" s="1353" t="s">
        <v>249</v>
      </c>
      <c r="C51" s="1324"/>
      <c r="D51" s="1324"/>
      <c r="E51" s="2269"/>
      <c r="F51" s="2268"/>
      <c r="G51" s="1324"/>
      <c r="H51" s="1324"/>
      <c r="I51" s="1324"/>
      <c r="J51" s="1324"/>
      <c r="K51" s="1324"/>
      <c r="L51" s="1436"/>
      <c r="M51" s="1331"/>
      <c r="N51" s="1331"/>
      <c r="P51" s="1326"/>
      <c r="Q51" s="1327"/>
      <c r="R51" s="1326"/>
      <c r="S51" s="1332"/>
      <c r="T51" s="1335" t="s">
        <v>437</v>
      </c>
      <c r="U51" s="1334"/>
      <c r="V51" s="1334"/>
      <c r="W51" s="1334"/>
      <c r="X51" s="1334"/>
      <c r="Y51" s="1334"/>
      <c r="Z51" s="1334"/>
      <c r="AA51" s="1334"/>
      <c r="AB51" s="1334"/>
      <c r="AC51" s="1334"/>
      <c r="AD51" s="1334"/>
      <c r="AE51" s="1334"/>
      <c r="AF51" s="1334"/>
      <c r="AG51" s="1334"/>
      <c r="AH51" s="1334"/>
      <c r="AI51" s="1334"/>
      <c r="AJ51" s="1334"/>
      <c r="AK51" s="1334"/>
      <c r="AM51" s="799"/>
      <c r="AN51" s="799" t="str">
        <f>IF(T51="","",T51)</f>
        <v>Добавить централизованную систему для дифференциации</v>
      </c>
      <c r="AO51" s="799"/>
      <c r="AP51" s="799"/>
      <c r="AQ51" s="528">
        <v>0</v>
      </c>
    </row>
    <row s="1652" customFormat="1" customHeight="1" ht="0">
      <c r="A52" s="1353" t="s">
        <v>248</v>
      </c>
      <c r="B52" s="1353"/>
      <c r="C52" s="1353"/>
      <c r="D52" s="1353"/>
      <c r="E52" s="2268"/>
      <c r="F52" s="1353"/>
      <c r="G52" s="1353"/>
      <c r="H52" s="1353"/>
      <c r="I52" s="1353"/>
      <c r="J52" s="1353"/>
      <c r="K52" s="1353"/>
      <c r="L52" s="1356"/>
      <c r="M52" s="1331"/>
      <c r="N52" s="1331"/>
      <c r="O52" s="528"/>
      <c r="P52" s="390"/>
      <c r="Q52" s="1354"/>
      <c r="R52" s="390"/>
      <c r="S52" s="1332"/>
      <c r="T52" s="1335" t="s">
        <v>438</v>
      </c>
      <c r="U52" s="1334"/>
      <c r="V52" s="1334"/>
      <c r="W52" s="1334"/>
      <c r="X52" s="1334"/>
      <c r="Y52" s="1334"/>
      <c r="Z52" s="1334"/>
      <c r="AA52" s="1334"/>
      <c r="AB52" s="1334"/>
      <c r="AC52" s="1334"/>
      <c r="AD52" s="1334"/>
      <c r="AE52" s="1334"/>
      <c r="AF52" s="1334"/>
      <c r="AG52" s="1334"/>
      <c r="AH52" s="1334"/>
      <c r="AI52" s="1334"/>
      <c r="AJ52" s="1334"/>
      <c r="AK52" s="1334"/>
      <c r="AM52" s="510"/>
      <c r="AN52" s="510" t="str">
        <f>IF(T52="","",T52)</f>
        <v>Добавить территорию для дифференциации</v>
      </c>
      <c r="AO52" s="510"/>
      <c r="AP52" s="510"/>
      <c r="AQ52" s="521">
        <v>0</v>
      </c>
    </row>
    <row s="1652" customFormat="1" customHeight="1" ht="0">
      <c r="A53" s="1324"/>
      <c r="B53" s="1324"/>
      <c r="C53" s="1324"/>
      <c r="D53" s="1324"/>
      <c r="E53" s="1353"/>
      <c r="F53" s="1324"/>
      <c r="G53" s="1324"/>
      <c r="H53" s="1324"/>
      <c r="I53" s="1324"/>
      <c r="J53" s="1324"/>
      <c r="K53" s="1324"/>
      <c r="L53" s="1436"/>
      <c r="M53" s="1331"/>
      <c r="N53" s="1331"/>
      <c r="P53" s="1326"/>
      <c r="Q53" s="1327"/>
      <c r="R53" s="1326"/>
      <c r="S53" s="1332"/>
      <c r="T53" s="1335" t="s">
        <v>470</v>
      </c>
      <c r="U53" s="1334"/>
      <c r="V53" s="1334"/>
      <c r="W53" s="1334"/>
      <c r="X53" s="1334"/>
      <c r="Y53" s="1334"/>
      <c r="Z53" s="1334"/>
      <c r="AA53" s="1334"/>
      <c r="AB53" s="1334"/>
      <c r="AC53" s="1334"/>
      <c r="AD53" s="1334"/>
      <c r="AE53" s="1334"/>
      <c r="AF53" s="1334"/>
      <c r="AG53" s="1334"/>
      <c r="AH53" s="1334"/>
      <c r="AI53" s="1334"/>
      <c r="AJ53" s="1334"/>
      <c r="AK53" s="1334"/>
      <c r="AM53" s="799"/>
      <c r="AN53" s="799" t="str">
        <f>IF(T53="","",T53)</f>
        <v>Добавить наименование тарифа</v>
      </c>
      <c r="AO53" s="799"/>
      <c r="AP53" s="799"/>
      <c r="AQ53" s="528">
        <v>0</v>
      </c>
    </row>
    <row customHeight="1" ht="11.549999999999999">
      <c r="M54" s="1170"/>
      <c r="N54" s="1170"/>
      <c r="O54" s="547"/>
      <c r="P54" s="1165"/>
      <c r="Q54" s="1165"/>
      <c r="R54" s="1165"/>
      <c r="S54" s="1165"/>
      <c r="AL54" s="1165"/>
      <c r="AM54" s="1165"/>
      <c r="AN54" s="1165"/>
      <c r="AO54" s="1165"/>
      <c r="AP54" s="1165"/>
      <c r="AQ54" s="1165">
        <v>11</v>
      </c>
    </row>
    <row customHeight="1" ht="14.699999999999998">
      <c r="O55" s="547"/>
      <c r="S55" s="1263"/>
      <c r="T55" s="2295"/>
      <c r="U55" s="2295"/>
      <c r="V55" s="2295"/>
      <c r="W55" s="2295"/>
      <c r="X55" s="2295"/>
      <c r="Y55" s="2295"/>
      <c r="Z55" s="2295"/>
      <c r="AA55" s="2295"/>
      <c r="AB55" s="2295"/>
      <c r="AC55" s="2295"/>
      <c r="AD55" s="2295"/>
      <c r="AE55" s="2295"/>
      <c r="AF55" s="2295"/>
      <c r="AG55" s="2295"/>
      <c r="AH55" s="2295"/>
      <c r="AI55" s="2295"/>
      <c r="AJ55" s="2295"/>
      <c r="AK55" s="2295"/>
      <c r="AQ55" s="1165">
        <v>14</v>
      </c>
    </row>
    <row customHeight="1" ht="14.699999999999998">
      <c r="O56" s="547"/>
      <c r="AQ56" s="1165">
        <v>14</v>
      </c>
    </row>
    <row customHeight="1" ht="14.699999999999998">
      <c r="O57" s="547"/>
      <c r="S57" s="1263"/>
      <c r="T57" s="2295"/>
      <c r="U57" s="2295"/>
      <c r="V57" s="2295"/>
      <c r="W57" s="2295"/>
      <c r="X57" s="2295"/>
      <c r="Y57" s="2295"/>
      <c r="Z57" s="2295"/>
      <c r="AA57" s="2295"/>
      <c r="AB57" s="2295"/>
      <c r="AC57" s="2295"/>
      <c r="AD57" s="2295"/>
      <c r="AE57" s="2295"/>
      <c r="AF57" s="2295"/>
      <c r="AG57" s="2295"/>
      <c r="AH57" s="2295"/>
      <c r="AI57" s="2295"/>
      <c r="AJ57" s="2295"/>
      <c r="AK57" s="2295"/>
      <c r="AQ57" s="1165">
        <v>14</v>
      </c>
    </row>
    <row customHeight="1" ht="22.5" hidden="1">
      <c r="A58" s="1170" t="s">
        <v>82</v>
      </c>
      <c r="B58" s="1170">
        <v>0</v>
      </c>
      <c r="C58" s="1170">
        <v>0</v>
      </c>
      <c r="D58" s="1170">
        <v>0</v>
      </c>
      <c r="E58" s="1170">
        <v>0</v>
      </c>
      <c r="F58" s="1170">
        <v>0</v>
      </c>
      <c r="G58" s="1170">
        <v>0</v>
      </c>
      <c r="H58" s="1170">
        <v>0</v>
      </c>
      <c r="I58" s="1170">
        <v>0</v>
      </c>
      <c r="J58" s="1170">
        <v>0</v>
      </c>
      <c r="K58" s="1170">
        <v>0</v>
      </c>
      <c r="L58" s="1431">
        <v>0</v>
      </c>
      <c r="M58" s="1372">
        <v>0</v>
      </c>
      <c r="N58" s="1372">
        <v>0</v>
      </c>
      <c r="O58" s="1372">
        <v>0</v>
      </c>
      <c r="P58" s="1361">
        <v>3</v>
      </c>
      <c r="Q58" s="354">
        <v>3</v>
      </c>
      <c r="R58" s="354">
        <v>3</v>
      </c>
      <c r="S58" s="591">
        <v>12</v>
      </c>
      <c r="T58" s="1165">
        <v>35</v>
      </c>
      <c r="U58" s="1165">
        <v>0</v>
      </c>
      <c r="V58" s="1165">
        <v>0</v>
      </c>
      <c r="W58" s="1165">
        <v>0</v>
      </c>
      <c r="X58" s="1165">
        <v>0</v>
      </c>
      <c r="Y58" s="1165">
        <v>0</v>
      </c>
      <c r="Z58" s="1165">
        <v>0</v>
      </c>
      <c r="AA58" s="1165">
        <v>0</v>
      </c>
      <c r="AB58" s="1165">
        <v>0</v>
      </c>
      <c r="AC58" s="1165">
        <v>24</v>
      </c>
      <c r="AD58" s="1165">
        <v>24</v>
      </c>
      <c r="AE58" s="1165">
        <v>24</v>
      </c>
      <c r="AF58" s="1165">
        <v>11</v>
      </c>
      <c r="AG58" s="1165">
        <v>3</v>
      </c>
      <c r="AH58" s="1165">
        <v>11</v>
      </c>
      <c r="AI58" s="1165">
        <v>0</v>
      </c>
      <c r="AJ58" s="1165">
        <v>4</v>
      </c>
      <c r="AK58" s="1165">
        <v>115</v>
      </c>
      <c r="AL58" s="521">
        <v>10</v>
      </c>
      <c r="AM58" s="521">
        <v>10</v>
      </c>
      <c r="AN58" s="521">
        <v>10</v>
      </c>
      <c r="AO58" s="521">
        <v>10</v>
      </c>
      <c r="AP58" s="521">
        <v>10</v>
      </c>
      <c r="AQ58" s="1165">
        <v>23</v>
      </c>
    </row>
  </sheetData>
  <sheetProtection sheet="1" formatColumns="0" formatRows="0" autoFilter="0" sort="1" insertRows="1" insertColumns="1" deleteRows="1" deleteColumns="1"/>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62178D-D63A-4633-EF23-0.524284BF}"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4" style="1645" width="24.7109375" hidden="1" customWidth="1"/>
    <col min="25" max="25" style="1645" width="11.7109375" hidden="1" customWidth="1"/>
    <col min="26" max="26" style="1645" width="3.7109375" hidden="1" customWidth="1"/>
    <col min="27" max="27" style="1645" width="11.7109375" hidden="1" customWidth="1"/>
    <col min="28" max="28" style="1645" width="8.57421875" hidden="1" customWidth="1"/>
    <col min="29" max="29" style="1645" width="24.7109375" customWidth="1"/>
    <col min="30" max="31" style="1645" width="24.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22.5" hidden="1">
      <c r="X1" s="337"/>
      <c r="Y1" s="337"/>
      <c r="AE1" s="337"/>
      <c r="AF1" s="337"/>
      <c r="AQ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467">
        <f>INDEX(PT_DIFFERENTIATION_NUM_NTAR,MATCH(A2,PT_DIFFERENTIATION_NTAR_ID,0))</f>
      </c>
      <c r="T2" s="308" t="s">
        <v>147</v>
      </c>
      <c r="U2" s="310"/>
      <c r="V2" s="2252"/>
      <c r="W2" s="2253"/>
      <c r="X2" s="2253"/>
      <c r="Y2" s="2253"/>
      <c r="Z2" s="2253"/>
      <c r="AA2" s="2253"/>
      <c r="AB2" s="2254"/>
      <c r="AC2" s="2252">
        <f>INDEX(PT_DIFFERENTIATION_NTAR,MATCH(A2,PT_DIFFERENTIATION_NTAR_ID,0))</f>
      </c>
      <c r="AD2" s="2253"/>
      <c r="AE2" s="2253"/>
      <c r="AF2" s="2253"/>
      <c r="AG2" s="2253"/>
      <c r="AH2" s="2253"/>
      <c r="AI2" s="2253"/>
      <c r="AJ2" s="2254"/>
      <c r="AK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0"/>
      <c r="AN2" s="510" t="str">
        <f>IF(T2="","",T2)</f>
        <v>Наименование тарифа</v>
      </c>
      <c r="AO2" s="510"/>
      <c r="AP2" s="510"/>
      <c r="AQ2" s="1165">
        <v>0</v>
      </c>
    </row>
    <row customHeight="1" ht="23.25" hidden="1">
      <c r="A3" s="1373"/>
      <c r="B3" s="1373"/>
      <c r="C3" s="1373"/>
      <c r="D3" s="1373"/>
      <c r="E3" s="2269"/>
      <c r="F3" s="2268">
        <v>1</v>
      </c>
      <c r="G3" s="1373"/>
      <c r="H3" s="1373"/>
      <c r="I3" s="1373"/>
      <c r="J3" s="1373"/>
      <c r="K3" s="1373"/>
      <c r="L3" s="1374"/>
      <c r="M3" s="1375"/>
      <c r="N3" s="1375"/>
      <c r="O3" s="1375"/>
      <c r="P3" s="1463"/>
      <c r="Q3" s="362"/>
      <c r="R3" s="363"/>
      <c r="S3" s="1467">
        <f>INDEX(PT_DIFFERENTIATION_NUM_TER,MATCH(B3,PT_DIFFERENTIATION_TER_ID,0))</f>
      </c>
      <c r="T3" s="318" t="s">
        <v>419</v>
      </c>
      <c r="U3" s="310"/>
      <c r="V3" s="2252"/>
      <c r="W3" s="2253"/>
      <c r="X3" s="2253"/>
      <c r="Y3" s="2253"/>
      <c r="Z3" s="2253"/>
      <c r="AA3" s="2253"/>
      <c r="AB3" s="2254"/>
      <c r="AC3" s="2252">
        <f>INDEX(PT_DIFFERENTIATION_TER,MATCH(B3,PT_DIFFERENTIATION_TER_ID,0))</f>
      </c>
      <c r="AD3" s="2253"/>
      <c r="AE3" s="2253"/>
      <c r="AF3" s="2253"/>
      <c r="AG3" s="2253"/>
      <c r="AH3" s="2253"/>
      <c r="AI3" s="2253"/>
      <c r="AJ3" s="2254"/>
      <c r="AK3" s="1268" t="s">
        <v>420</v>
      </c>
      <c r="AM3" s="510"/>
      <c r="AN3" s="510" t="str">
        <f>IF(T3="","",T3)</f>
        <v>Территория действия тарифа</v>
      </c>
      <c r="AO3" s="510"/>
      <c r="AP3" s="510"/>
      <c r="AQ3" s="1165">
        <v>0</v>
      </c>
    </row>
    <row customHeight="1" ht="23.25" hidden="1">
      <c r="A4" s="1373"/>
      <c r="B4" s="1373"/>
      <c r="C4" s="1373"/>
      <c r="D4" s="1373"/>
      <c r="E4" s="2269"/>
      <c r="F4" s="2269"/>
      <c r="G4" s="2268">
        <v>1</v>
      </c>
      <c r="H4" s="1373"/>
      <c r="I4" s="1373"/>
      <c r="J4" s="1373"/>
      <c r="K4" s="1373"/>
      <c r="L4" s="1374"/>
      <c r="M4" s="1375"/>
      <c r="N4" s="1375"/>
      <c r="O4" s="1375"/>
      <c r="P4" s="364"/>
      <c r="Q4" s="362"/>
      <c r="R4" s="363"/>
      <c r="S4" s="1467">
        <f>INDEX(PT_DIFFERENTIATION_NUM_CS,MATCH(C4,PT_DIFFERENTIATION_CS_ID,0))</f>
      </c>
      <c r="T4" s="319" t="s">
        <v>503</v>
      </c>
      <c r="U4" s="310"/>
      <c r="V4" s="2252"/>
      <c r="W4" s="2253"/>
      <c r="X4" s="2253"/>
      <c r="Y4" s="2253"/>
      <c r="Z4" s="2253"/>
      <c r="AA4" s="2253"/>
      <c r="AB4" s="2254"/>
      <c r="AC4" s="2252">
        <f>INDEX(PT_DIFFERENTIATION_CS,MATCH(C4,PT_DIFFERENTIATION_CS_ID,0))</f>
      </c>
      <c r="AD4" s="2253"/>
      <c r="AE4" s="2253"/>
      <c r="AF4" s="2253"/>
      <c r="AG4" s="2253"/>
      <c r="AH4" s="2253"/>
      <c r="AI4" s="2253"/>
      <c r="AJ4" s="2254"/>
      <c r="AK4" s="1268" t="s">
        <v>504</v>
      </c>
      <c r="AM4" s="510"/>
      <c r="AN4" s="510" t="str">
        <f>IF(T4="","",T4)</f>
        <v>Наименование централизованной системы холодного водоснабжения</v>
      </c>
      <c r="AO4" s="510"/>
      <c r="AP4" s="510"/>
      <c r="AQ4" s="1165">
        <v>0</v>
      </c>
    </row>
    <row customHeight="1" ht="23.25" hidden="1">
      <c r="A5" s="1373"/>
      <c r="B5" s="1373"/>
      <c r="C5" s="1373"/>
      <c r="D5" s="1373"/>
      <c r="E5" s="2269"/>
      <c r="F5" s="2269"/>
      <c r="G5" s="2269"/>
      <c r="H5" s="2269"/>
      <c r="I5" s="2266">
        <f>S4&amp;".1"</f>
      </c>
      <c r="J5" s="1373"/>
      <c r="K5" s="1373"/>
      <c r="L5" s="1374"/>
      <c r="P5" s="2267">
        <v>1</v>
      </c>
      <c r="Q5" s="1460"/>
      <c r="R5" s="366"/>
      <c r="S5" s="1467">
        <f>$I5</f>
      </c>
      <c r="T5" s="295" t="s">
        <v>505</v>
      </c>
      <c r="U5" s="310"/>
      <c r="V5" s="2360"/>
      <c r="W5" s="2361"/>
      <c r="X5" s="2361"/>
      <c r="Y5" s="2361"/>
      <c r="Z5" s="2361"/>
      <c r="AA5" s="2361"/>
      <c r="AB5" s="2362"/>
      <c r="AC5" s="2363"/>
      <c r="AD5" s="2364"/>
      <c r="AE5" s="2364"/>
      <c r="AF5" s="2364"/>
      <c r="AG5" s="2364"/>
      <c r="AH5" s="2364"/>
      <c r="AI5" s="2364"/>
      <c r="AJ5" s="2365"/>
      <c r="AK5" s="1268" t="s">
        <v>506</v>
      </c>
      <c r="AM5" s="510"/>
      <c r="AN5" s="510" t="str">
        <f>IF(T5="","",T5)</f>
        <v>Наименование признака дифференциации</v>
      </c>
      <c r="AO5" s="510"/>
      <c r="AP5" s="510"/>
      <c r="AQ5" s="1165">
        <v>0</v>
      </c>
    </row>
    <row customHeight="1" ht="23.25" hidden="1">
      <c r="A6" s="1373"/>
      <c r="B6" s="1373"/>
      <c r="C6" s="1373"/>
      <c r="D6" s="1373"/>
      <c r="E6" s="2269"/>
      <c r="F6" s="2269"/>
      <c r="G6" s="2269"/>
      <c r="H6" s="2269"/>
      <c r="I6" s="2296"/>
      <c r="J6" s="2266">
        <f>I5&amp;".1"</f>
      </c>
      <c r="K6" s="1373"/>
      <c r="L6" s="1374" t="s">
        <v>428</v>
      </c>
      <c r="P6" s="2267"/>
      <c r="Q6" s="2267">
        <v>1</v>
      </c>
      <c r="R6" s="367"/>
      <c r="S6" s="1467">
        <f>$J6</f>
      </c>
      <c r="T6" s="296" t="s">
        <v>429</v>
      </c>
      <c r="U6" s="310"/>
      <c r="V6" s="2255"/>
      <c r="W6" s="2256"/>
      <c r="X6" s="2256"/>
      <c r="Y6" s="2256"/>
      <c r="Z6" s="2256"/>
      <c r="AA6" s="2256"/>
      <c r="AB6" s="2257"/>
      <c r="AC6" s="2255"/>
      <c r="AD6" s="2256"/>
      <c r="AE6" s="2256"/>
      <c r="AF6" s="2256"/>
      <c r="AG6" s="2256"/>
      <c r="AH6" s="2256"/>
      <c r="AI6" s="2256"/>
      <c r="AJ6" s="2257"/>
      <c r="AK6" s="1317" t="s">
        <v>507</v>
      </c>
      <c r="AM6" s="510"/>
      <c r="AN6" s="510" t="str">
        <f>IF(T6="","",T6)</f>
        <v>Группа потребителей</v>
      </c>
      <c r="AO6" s="510"/>
      <c r="AP6" s="510"/>
      <c r="AQ6" s="1165">
        <v>0</v>
      </c>
    </row>
    <row customHeight="1" ht="23.25" hidden="1">
      <c r="A7" s="1373"/>
      <c r="B7" s="1373"/>
      <c r="C7" s="1373"/>
      <c r="D7" s="1373"/>
      <c r="E7" s="2269"/>
      <c r="F7" s="2269"/>
      <c r="G7" s="2269"/>
      <c r="H7" s="2269"/>
      <c r="I7" s="2296"/>
      <c r="J7" s="2296"/>
      <c r="K7" s="2266">
        <f>J6&amp;".1"</f>
      </c>
      <c r="L7" s="1374"/>
      <c r="P7" s="2267"/>
      <c r="Q7" s="2267"/>
      <c r="R7" s="367">
        <v>1</v>
      </c>
      <c r="S7" s="1467">
        <f>$K7</f>
      </c>
      <c r="T7" s="1447"/>
      <c r="U7" s="310"/>
      <c r="V7" s="761"/>
      <c r="W7" s="761"/>
      <c r="X7" s="1267"/>
      <c r="Y7" s="2275"/>
      <c r="Z7" s="2117" t="s">
        <v>66</v>
      </c>
      <c r="AA7" s="2275"/>
      <c r="AB7" s="2117" t="s">
        <v>66</v>
      </c>
      <c r="AC7" s="761"/>
      <c r="AD7" s="761"/>
      <c r="AE7" s="1267"/>
      <c r="AF7" s="2275"/>
      <c r="AG7" s="2117" t="s">
        <v>66</v>
      </c>
      <c r="AH7" s="2297"/>
      <c r="AI7" s="2117" t="s">
        <v>66</v>
      </c>
      <c r="AJ7" s="1448"/>
      <c r="AK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1">
        <f>STRCHECKDATE(V8:AJ8)</f>
      </c>
      <c r="AM7" s="510"/>
      <c r="AN7" s="510" t="str">
        <f>IF(T7="","",T7)</f>
        <v/>
      </c>
      <c r="AO7" s="510"/>
      <c r="AP7" s="510"/>
      <c r="AQ7" s="1165">
        <v>0</v>
      </c>
    </row>
    <row customHeight="1" ht="14.25" hidden="1">
      <c r="A8" s="1373"/>
      <c r="B8" s="1373"/>
      <c r="C8" s="1373"/>
      <c r="D8" s="1373"/>
      <c r="E8" s="2269"/>
      <c r="F8" s="2269"/>
      <c r="G8" s="2269"/>
      <c r="H8" s="2269"/>
      <c r="I8" s="2296"/>
      <c r="J8" s="2296"/>
      <c r="K8" s="2266"/>
      <c r="L8" s="1374"/>
      <c r="P8" s="2267"/>
      <c r="Q8" s="2267"/>
      <c r="R8" s="367"/>
      <c r="S8" s="1466"/>
      <c r="T8" s="310"/>
      <c r="U8" s="310"/>
      <c r="V8" s="335"/>
      <c r="W8" s="335"/>
      <c r="X8" s="338" t="str">
        <f>Y7&amp;"-"&amp;AA7</f>
        <v>-</v>
      </c>
      <c r="Y8" s="2276"/>
      <c r="Z8" s="2117"/>
      <c r="AA8" s="2276"/>
      <c r="AB8" s="2117"/>
      <c r="AC8" s="335"/>
      <c r="AD8" s="335"/>
      <c r="AE8" s="338" t="str">
        <f>AF7&amp;"-"&amp;AH7</f>
        <v>-</v>
      </c>
      <c r="AF8" s="2276"/>
      <c r="AG8" s="2117"/>
      <c r="AH8" s="2298"/>
      <c r="AI8" s="2117"/>
      <c r="AJ8" s="1449"/>
      <c r="AK8" s="2359"/>
      <c r="AM8" s="510"/>
      <c r="AN8" s="510" t="str">
        <f>IF(T8="","",T8)</f>
        <v/>
      </c>
      <c r="AO8" s="510"/>
      <c r="AP8" s="510"/>
      <c r="AQ8" s="1165">
        <v>0</v>
      </c>
    </row>
    <row customHeight="1" ht="21" hidden="1">
      <c r="A9" s="1373"/>
      <c r="B9" s="1373"/>
      <c r="C9" s="1373"/>
      <c r="D9" s="1373"/>
      <c r="E9" s="2269"/>
      <c r="F9" s="2269"/>
      <c r="G9" s="2269"/>
      <c r="H9" s="2269"/>
      <c r="I9" s="2296"/>
      <c r="J9" s="2266"/>
      <c r="K9" s="1373"/>
      <c r="L9" s="1374"/>
      <c r="P9" s="2267"/>
      <c r="Q9" s="2267"/>
      <c r="R9" s="366"/>
      <c r="S9" s="1288"/>
      <c r="T9" s="297" t="s">
        <v>508</v>
      </c>
      <c r="U9" s="377"/>
      <c r="V9" s="377"/>
      <c r="W9" s="377"/>
      <c r="X9" s="377"/>
      <c r="Y9" s="377"/>
      <c r="Z9" s="377"/>
      <c r="AA9" s="377"/>
      <c r="AB9" s="377"/>
      <c r="AC9" s="377"/>
      <c r="AD9" s="377"/>
      <c r="AE9" s="377"/>
      <c r="AF9" s="377"/>
      <c r="AG9" s="377"/>
      <c r="AH9" s="377"/>
      <c r="AI9" s="377"/>
      <c r="AJ9" s="377"/>
      <c r="AK9" s="1268" t="s">
        <v>509</v>
      </c>
      <c r="AM9" s="510"/>
      <c r="AN9" s="510" t="str">
        <f>IF(T9="","",T9)</f>
        <v>Добавить значение признака дифференциации</v>
      </c>
      <c r="AO9" s="510"/>
      <c r="AP9" s="510"/>
      <c r="AQ9" s="1165">
        <v>0</v>
      </c>
    </row>
    <row customHeight="1" ht="21" hidden="1">
      <c r="A10" s="1373"/>
      <c r="B10" s="1373"/>
      <c r="C10" s="1373"/>
      <c r="D10" s="1373"/>
      <c r="E10" s="2269"/>
      <c r="F10" s="2269"/>
      <c r="G10" s="2269"/>
      <c r="H10" s="2269"/>
      <c r="I10" s="2266"/>
      <c r="J10" s="1373"/>
      <c r="K10" s="1373"/>
      <c r="L10" s="1374"/>
      <c r="P10" s="2267"/>
      <c r="Q10" s="1460"/>
      <c r="R10" s="366"/>
      <c r="S10" s="1288"/>
      <c r="T10" s="375" t="s">
        <v>434</v>
      </c>
      <c r="U10" s="377"/>
      <c r="V10" s="377"/>
      <c r="W10" s="377"/>
      <c r="X10" s="377"/>
      <c r="Y10" s="377"/>
      <c r="Z10" s="377"/>
      <c r="AA10" s="377"/>
      <c r="AB10" s="376"/>
      <c r="AC10" s="377"/>
      <c r="AD10" s="377"/>
      <c r="AE10" s="377"/>
      <c r="AF10" s="377"/>
      <c r="AG10" s="377"/>
      <c r="AH10" s="377"/>
      <c r="AI10" s="376"/>
      <c r="AJ10" s="377"/>
      <c r="AK10" s="1450"/>
      <c r="AM10" s="510"/>
      <c r="AN10" s="510" t="str">
        <f>IF(T10="","",T10)</f>
        <v>Добавить группу потребителей</v>
      </c>
      <c r="AO10" s="510"/>
      <c r="AP10" s="510"/>
      <c r="AQ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510</v>
      </c>
      <c r="U11" s="377"/>
      <c r="V11" s="377"/>
      <c r="W11" s="377"/>
      <c r="X11" s="377"/>
      <c r="Y11" s="377"/>
      <c r="Z11" s="377"/>
      <c r="AA11" s="377"/>
      <c r="AB11" s="376"/>
      <c r="AC11" s="377"/>
      <c r="AD11" s="377"/>
      <c r="AE11" s="377"/>
      <c r="AF11" s="377"/>
      <c r="AG11" s="377"/>
      <c r="AH11" s="377"/>
      <c r="AI11" s="376"/>
      <c r="AJ11" s="377"/>
      <c r="AK11" s="313"/>
      <c r="AM11" s="510"/>
      <c r="AN11" s="510" t="str">
        <f>IF(T11="","",T11)</f>
        <v>Добавить наименование признака дифференциации</v>
      </c>
      <c r="AO11" s="510"/>
      <c r="AP11" s="510"/>
      <c r="AQ11" s="1165">
        <v>0</v>
      </c>
    </row>
    <row s="1652" customFormat="1" customHeight="1" ht="14.25" hidden="1">
      <c r="A12" s="1353"/>
      <c r="B12" s="1353"/>
      <c r="C12" s="1324"/>
      <c r="D12" s="1324"/>
      <c r="E12" s="2269"/>
      <c r="F12" s="2268"/>
      <c r="G12" s="1324"/>
      <c r="H12" s="1324"/>
      <c r="I12" s="1324"/>
      <c r="J12" s="1324"/>
      <c r="K12" s="1324"/>
      <c r="L12" s="1468"/>
      <c r="M12" s="1331"/>
      <c r="N12" s="1331"/>
      <c r="P12" s="1326"/>
      <c r="Q12" s="1327"/>
      <c r="R12" s="1326"/>
      <c r="S12" s="1332"/>
      <c r="T12" s="1335" t="s">
        <v>437</v>
      </c>
      <c r="U12" s="1334"/>
      <c r="V12" s="1334"/>
      <c r="W12" s="1334"/>
      <c r="X12" s="1334"/>
      <c r="Y12" s="1334"/>
      <c r="Z12" s="1334"/>
      <c r="AA12" s="1334"/>
      <c r="AB12" s="1334"/>
      <c r="AC12" s="1334"/>
      <c r="AD12" s="1334"/>
      <c r="AE12" s="1334"/>
      <c r="AF12" s="1334"/>
      <c r="AG12" s="1334"/>
      <c r="AH12" s="1334"/>
      <c r="AI12" s="1334"/>
      <c r="AJ12" s="1334"/>
      <c r="AK12" s="1334"/>
      <c r="AM12" s="799"/>
      <c r="AN12" s="799" t="str">
        <f>IF(T12="","",T12)</f>
        <v>Добавить централизованную систему для дифференциации</v>
      </c>
      <c r="AO12" s="799"/>
      <c r="AP12" s="799"/>
      <c r="AQ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438</v>
      </c>
      <c r="U13" s="1334"/>
      <c r="V13" s="1334"/>
      <c r="W13" s="1334"/>
      <c r="X13" s="1334"/>
      <c r="Y13" s="1334"/>
      <c r="Z13" s="1334"/>
      <c r="AA13" s="1334"/>
      <c r="AB13" s="1334"/>
      <c r="AC13" s="1334"/>
      <c r="AD13" s="1334"/>
      <c r="AE13" s="1334"/>
      <c r="AF13" s="1334"/>
      <c r="AG13" s="1334"/>
      <c r="AH13" s="1334"/>
      <c r="AI13" s="1334"/>
      <c r="AJ13" s="1334"/>
      <c r="AK13" s="1334"/>
      <c r="AM13" s="510"/>
      <c r="AN13" s="510" t="str">
        <f>IF(T13="","",T13)</f>
        <v>Добавить территорию для дифференциации</v>
      </c>
      <c r="AO13" s="510"/>
      <c r="AP13" s="510"/>
      <c r="AQ13" s="521">
        <v>0</v>
      </c>
    </row>
    <row customHeight="1" ht="14.25" hidden="1">
      <c r="AB14" s="337"/>
      <c r="AI14" s="337"/>
      <c r="AQ14" s="1165">
        <v>0</v>
      </c>
    </row>
    <row customHeight="1" ht="14.25" hidden="1">
      <c r="AC15" s="1370"/>
      <c r="AD15" s="1370"/>
      <c r="AE15" s="1371"/>
      <c r="AF15" s="2277"/>
      <c r="AG15" s="2278" t="s">
        <v>66</v>
      </c>
      <c r="AH15" s="2277"/>
      <c r="AI15" s="2278" t="s">
        <v>66</v>
      </c>
      <c r="AQ15" s="1165">
        <v>0</v>
      </c>
    </row>
    <row customHeight="1" ht="14.25" hidden="1">
      <c r="AC16" s="1370"/>
      <c r="AD16" s="1370"/>
      <c r="AE16" s="338" t="str">
        <f>AF15&amp;"-"&amp;AH15</f>
        <v>-</v>
      </c>
      <c r="AF16" s="2278"/>
      <c r="AG16" s="2278"/>
      <c r="AH16" s="2278"/>
      <c r="AI16" s="2278"/>
      <c r="AQ16" s="1165">
        <v>0</v>
      </c>
    </row>
    <row customHeight="1" ht="14.25" hidden="1">
      <c r="AI17" s="337"/>
      <c r="AQ17" s="1165">
        <v>0</v>
      </c>
    </row>
    <row s="1376" customFormat="1" customHeight="1" ht="22.5" hidden="1">
      <c r="L18" s="1457"/>
      <c r="M18" s="1372"/>
      <c r="N18" s="1372"/>
      <c r="O18" s="1377" t="s">
        <v>439</v>
      </c>
      <c r="P18" s="1372"/>
      <c r="Q18" s="1381"/>
      <c r="R18" s="1381"/>
      <c r="S18" s="739"/>
      <c r="Y18" s="1377"/>
      <c r="AA18" s="1377"/>
      <c r="AB18" s="1376"/>
      <c r="AF18" s="1377"/>
      <c r="AH18" s="1377"/>
      <c r="AI18" s="1376"/>
      <c r="AL18" s="521"/>
      <c r="AM18" s="521"/>
      <c r="AN18" s="521"/>
      <c r="AO18" s="521"/>
      <c r="AP18" s="521"/>
      <c r="AQ18" s="1170">
        <v>0</v>
      </c>
    </row>
    <row s="1376" customFormat="1" customHeight="1" ht="14.25" hidden="1">
      <c r="L19" s="1457"/>
      <c r="M19" s="1372"/>
      <c r="N19" s="1372"/>
      <c r="O19" s="1372"/>
      <c r="P19" s="1372"/>
      <c r="Q19" s="1381"/>
      <c r="R19" s="1381"/>
      <c r="S19" s="739"/>
      <c r="AB19" s="1376"/>
      <c r="AI19" s="1376"/>
      <c r="AL19" s="521"/>
      <c r="AM19" s="521"/>
      <c r="AN19" s="521"/>
      <c r="AO19" s="521"/>
      <c r="AP19" s="521"/>
      <c r="AQ19" s="1170">
        <v>0</v>
      </c>
    </row>
    <row s="1376" customFormat="1" customHeight="1" ht="12" hidden="1">
      <c r="L20" s="1457"/>
      <c r="M20" s="1372"/>
      <c r="N20" s="1372"/>
      <c r="O20" s="1374" t="s">
        <v>440</v>
      </c>
      <c r="P20" s="1372"/>
      <c r="Q20" s="1452"/>
      <c r="R20" s="1452"/>
      <c r="S20" s="739"/>
      <c r="T20" s="1170" t="s">
        <v>441</v>
      </c>
      <c r="Z20" s="196" t="s">
        <v>442</v>
      </c>
      <c r="AB20" s="196" t="s">
        <v>443</v>
      </c>
      <c r="AC20" s="1170" t="s">
        <v>441</v>
      </c>
      <c r="AG20" s="196" t="s">
        <v>444</v>
      </c>
      <c r="AI20" s="196" t="s">
        <v>443</v>
      </c>
      <c r="AQ20" s="1170">
        <v>0</v>
      </c>
    </row>
    <row customHeight="1" ht="14.25" hidden="1">
      <c r="O21" s="1374"/>
      <c r="AQ21" s="1165">
        <v>0</v>
      </c>
    </row>
    <row customHeight="1" ht="14.25" hidden="1">
      <c r="O22" s="1374"/>
      <c r="AQ22" s="1165">
        <v>0</v>
      </c>
    </row>
    <row customHeight="1" ht="14.699999999999998">
      <c r="Q23" s="386"/>
      <c r="R23" s="386"/>
      <c r="S23" s="1285"/>
      <c r="T23" s="373"/>
      <c r="U23" s="373"/>
      <c r="V23" s="519"/>
      <c r="W23" s="519"/>
      <c r="X23" s="519"/>
      <c r="Y23" s="519"/>
      <c r="Z23" s="519"/>
      <c r="AA23" s="519"/>
      <c r="AB23" s="519"/>
      <c r="AC23" s="519"/>
      <c r="AD23" s="519"/>
      <c r="AE23" s="519"/>
      <c r="AF23" s="519"/>
      <c r="AG23" s="519"/>
      <c r="AH23" s="519"/>
      <c r="AI23" s="519"/>
      <c r="AQ23" s="1165">
        <v>14</v>
      </c>
    </row>
    <row customHeight="1" ht="14.699999999999998">
      <c r="Q24" s="386"/>
      <c r="R24" s="386"/>
      <c r="S24" s="225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8"/>
      <c r="U24" s="2258"/>
      <c r="V24" s="2258"/>
      <c r="W24" s="2258"/>
      <c r="X24" s="2258"/>
      <c r="Y24" s="2258"/>
      <c r="Z24" s="2258"/>
      <c r="AA24" s="2258"/>
      <c r="AB24" s="2258"/>
      <c r="AC24" s="2258"/>
      <c r="AD24" s="2258"/>
      <c r="AE24" s="2258"/>
      <c r="AF24" s="2258"/>
      <c r="AG24" s="2258"/>
      <c r="AH24" s="2258"/>
      <c r="AI24" s="1253"/>
      <c r="AQ24" s="1165">
        <v>14</v>
      </c>
    </row>
    <row customHeight="1" ht="14.699999999999998">
      <c r="Q25" s="386"/>
      <c r="R25" s="386"/>
      <c r="S25" s="2259" t="str">
        <f>IF(org=0,"Не определено",org)</f>
        <v>АО «ДГК» СП «Нерюнгринская ГРЭС»</v>
      </c>
      <c r="T25" s="2259"/>
      <c r="U25" s="2259"/>
      <c r="V25" s="2259"/>
      <c r="W25" s="2259"/>
      <c r="X25" s="2259"/>
      <c r="Y25" s="2259"/>
      <c r="Z25" s="2259"/>
      <c r="AA25" s="2259"/>
      <c r="AB25" s="2259"/>
      <c r="AC25" s="2259"/>
      <c r="AD25" s="2259"/>
      <c r="AE25" s="2259"/>
      <c r="AF25" s="2259"/>
      <c r="AG25" s="2259"/>
      <c r="AH25" s="2259"/>
      <c r="AI25" s="1253"/>
      <c r="AQ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519"/>
      <c r="AQ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336"/>
      <c r="AC27" s="2261" t="str">
        <f>IF(TITLE_NAME_OR_PR_CHANGE="",IF(TITLE_NAME_OR_PR="","",TITLE_NAME_OR_PR),TITLE_NAME_OR_PR_CHANGE)</f>
        <v/>
      </c>
      <c r="AD27" s="2261"/>
      <c r="AE27" s="2261"/>
      <c r="AF27" s="2261"/>
      <c r="AG27" s="2261"/>
      <c r="AH27" s="2261"/>
      <c r="AI27" s="336"/>
      <c r="AJ27" s="336"/>
      <c r="AK27" s="290"/>
      <c r="AL27" s="378"/>
      <c r="AM27" s="378"/>
      <c r="AN27" s="378"/>
      <c r="AO27" s="378"/>
      <c r="AP27" s="378"/>
      <c r="AQ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445</v>
      </c>
      <c r="T28" s="2260"/>
      <c r="U28" s="1382"/>
      <c r="V28" s="2274" t="str">
        <f>IF(TITLE_DATE_PR_CHANGE="",IF(TITLE_DATE_PR="","",TITLE_DATE_PR),TITLE_DATE_PR_CHANGE)</f>
        <v/>
      </c>
      <c r="W28" s="2274"/>
      <c r="X28" s="2274"/>
      <c r="Y28" s="2274"/>
      <c r="Z28" s="2274"/>
      <c r="AA28" s="2274"/>
      <c r="AB28" s="336"/>
      <c r="AC28" s="2274" t="str">
        <f>IF(TITLE_DATE_PR_CHANGE="",IF(TITLE_DATE_PR="","",TITLE_DATE_PR),TITLE_DATE_PR_CHANGE)</f>
        <v/>
      </c>
      <c r="AD28" s="2274"/>
      <c r="AE28" s="2274"/>
      <c r="AF28" s="2274"/>
      <c r="AG28" s="2274"/>
      <c r="AH28" s="2274"/>
      <c r="AI28" s="336"/>
      <c r="AJ28" s="336"/>
      <c r="AK28" s="290"/>
      <c r="AL28" s="378"/>
      <c r="AM28" s="378"/>
      <c r="AN28" s="378"/>
      <c r="AO28" s="378"/>
      <c r="AP28" s="378"/>
      <c r="AQ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446</v>
      </c>
      <c r="T29" s="2260"/>
      <c r="U29" s="1382"/>
      <c r="V29" s="2261" t="str">
        <f>IF(TITLE_NUMBER_PR_CHANGE="",IF(TITLE_NUMBER_PR="","",TITLE_NUMBER_PR),TITLE_NUMBER_PR_CHANGE)</f>
        <v/>
      </c>
      <c r="W29" s="2261"/>
      <c r="X29" s="2261"/>
      <c r="Y29" s="2261"/>
      <c r="Z29" s="2261"/>
      <c r="AA29" s="2261"/>
      <c r="AB29" s="336"/>
      <c r="AC29" s="2261" t="str">
        <f>IF(TITLE_NUMBER_PR_CHANGE="",IF(TITLE_NUMBER_PR="","",TITLE_NUMBER_PR),TITLE_NUMBER_PR_CHANGE)</f>
        <v/>
      </c>
      <c r="AD29" s="2261"/>
      <c r="AE29" s="2261"/>
      <c r="AF29" s="2261"/>
      <c r="AG29" s="2261"/>
      <c r="AH29" s="2261"/>
      <c r="AI29" s="336"/>
      <c r="AJ29" s="336"/>
      <c r="AK29" s="290"/>
      <c r="AL29" s="378"/>
      <c r="AM29" s="378"/>
      <c r="AN29" s="378"/>
      <c r="AO29" s="378"/>
      <c r="AP29" s="378"/>
      <c r="AQ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336"/>
      <c r="AC30" s="2261" t="str">
        <f>IF(TITLE_IST_PUB_CHANGE="",IF(TITLE_IST_PUB="","",TITLE_IST_PUB),TITLE_IST_PUB_CHANGE)</f>
        <v/>
      </c>
      <c r="AD30" s="2261"/>
      <c r="AE30" s="2261"/>
      <c r="AF30" s="2261"/>
      <c r="AG30" s="2261"/>
      <c r="AH30" s="2261"/>
      <c r="AI30" s="336"/>
      <c r="AJ30" s="336"/>
      <c r="AK30" s="290"/>
      <c r="AL30" s="378"/>
      <c r="AM30" s="378"/>
      <c r="AN30" s="378"/>
      <c r="AO30" s="378"/>
      <c r="AP30" s="378"/>
      <c r="AQ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519"/>
      <c r="AQ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447</v>
      </c>
      <c r="T32" s="2260"/>
      <c r="U32" s="1382"/>
      <c r="V32" s="2274" t="str">
        <f>IF(TITLE_DATE_PR_CHANGE="",IF(TITLE_DATE_PR="","",TITLE_DATE_PR),TITLE_DATE_PR_CHANGE)</f>
        <v/>
      </c>
      <c r="W32" s="2274"/>
      <c r="X32" s="2274"/>
      <c r="Y32" s="2274"/>
      <c r="Z32" s="2274"/>
      <c r="AA32" s="2274"/>
      <c r="AB32" s="336"/>
      <c r="AC32" s="2274" t="str">
        <f>IF(TITLE_DATE_PR_CHANGE="",IF(TITLE_DATE_PR="","",TITLE_DATE_PR),TITLE_DATE_PR_CHANGE)</f>
        <v/>
      </c>
      <c r="AD32" s="2274"/>
      <c r="AE32" s="2274"/>
      <c r="AF32" s="2274"/>
      <c r="AG32" s="2274"/>
      <c r="AH32" s="2274"/>
      <c r="AI32" s="336"/>
      <c r="AJ32" s="336"/>
      <c r="AK32" s="290"/>
      <c r="AL32" s="378"/>
      <c r="AM32" s="378"/>
      <c r="AN32" s="378"/>
      <c r="AO32" s="378"/>
      <c r="AP32" s="378"/>
      <c r="AQ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448</v>
      </c>
      <c r="T33" s="2260"/>
      <c r="U33" s="1382"/>
      <c r="V33" s="2261" t="str">
        <f>IF(TITLE_NUMBER_PR_CHANGE="",IF(TITLE_NUMBER_PR="","",TITLE_NUMBER_PR),TITLE_NUMBER_PR_CHANGE)</f>
        <v/>
      </c>
      <c r="W33" s="2261"/>
      <c r="X33" s="2261"/>
      <c r="Y33" s="2261"/>
      <c r="Z33" s="2261"/>
      <c r="AA33" s="2261"/>
      <c r="AB33" s="336"/>
      <c r="AC33" s="2261" t="str">
        <f>IF(TITLE_NUMBER_PR_CHANGE="",IF(TITLE_NUMBER_PR="","",TITLE_NUMBER_PR),TITLE_NUMBER_PR_CHANGE)</f>
        <v/>
      </c>
      <c r="AD33" s="2261"/>
      <c r="AE33" s="2261"/>
      <c r="AF33" s="2261"/>
      <c r="AG33" s="2261"/>
      <c r="AH33" s="2261"/>
      <c r="AI33" s="336"/>
      <c r="AJ33" s="336"/>
      <c r="AK33" s="290"/>
      <c r="AL33" s="378"/>
      <c r="AM33" s="378"/>
      <c r="AN33" s="378"/>
      <c r="AO33" s="378"/>
      <c r="AP33" s="378"/>
      <c r="AQ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64"/>
      <c r="V34" s="336"/>
      <c r="W34" s="336"/>
      <c r="X34" s="336"/>
      <c r="Y34" s="336"/>
      <c r="Z34" s="336"/>
      <c r="AA34" s="336"/>
      <c r="AB34" s="288" t="s">
        <v>449</v>
      </c>
      <c r="AC34" s="336"/>
      <c r="AD34" s="336"/>
      <c r="AE34" s="336"/>
      <c r="AF34" s="336"/>
      <c r="AG34" s="336"/>
      <c r="AH34" s="336"/>
      <c r="AI34" s="288" t="s">
        <v>449</v>
      </c>
      <c r="AL34" s="378"/>
      <c r="AM34" s="378"/>
      <c r="AN34" s="378"/>
      <c r="AO34" s="378"/>
      <c r="AP34" s="378"/>
      <c r="AQ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Q35" s="1165">
        <v>14</v>
      </c>
    </row>
    <row customHeight="1" ht="14.699999999999998">
      <c r="Q36" s="386"/>
      <c r="R36" s="386"/>
      <c r="S36" s="2137" t="s">
        <v>322</v>
      </c>
      <c r="T36" s="2137"/>
      <c r="U36" s="2137"/>
      <c r="V36" s="2137"/>
      <c r="W36" s="2137"/>
      <c r="X36" s="2137"/>
      <c r="Y36" s="2137"/>
      <c r="Z36" s="2137"/>
      <c r="AA36" s="2137"/>
      <c r="AB36" s="2137"/>
      <c r="AC36" s="2137"/>
      <c r="AD36" s="2137"/>
      <c r="AE36" s="2137"/>
      <c r="AF36" s="2137"/>
      <c r="AG36" s="2137"/>
      <c r="AH36" s="2137"/>
      <c r="AI36" s="2137"/>
      <c r="AJ36" s="2137"/>
      <c r="AK36" s="2137" t="s">
        <v>323</v>
      </c>
      <c r="AQ36" s="1165">
        <v>14</v>
      </c>
    </row>
    <row customHeight="1" ht="14.699999999999998">
      <c r="Q37" s="386"/>
      <c r="R37" s="386"/>
      <c r="S37" s="2283" t="s">
        <v>88</v>
      </c>
      <c r="T37" s="2219" t="s">
        <v>450</v>
      </c>
      <c r="U37" s="311"/>
      <c r="V37" s="2284" t="s">
        <v>451</v>
      </c>
      <c r="W37" s="2285"/>
      <c r="X37" s="2285"/>
      <c r="Y37" s="2285"/>
      <c r="Z37" s="2285"/>
      <c r="AA37" s="2286"/>
      <c r="AB37" s="2287" t="s">
        <v>452</v>
      </c>
      <c r="AC37" s="2284" t="s">
        <v>451</v>
      </c>
      <c r="AD37" s="2285"/>
      <c r="AE37" s="2285"/>
      <c r="AF37" s="2285"/>
      <c r="AG37" s="2285"/>
      <c r="AH37" s="2286"/>
      <c r="AI37" s="2287" t="s">
        <v>453</v>
      </c>
      <c r="AJ37" s="2290" t="s">
        <v>454</v>
      </c>
      <c r="AK37" s="2137"/>
      <c r="AQ37" s="1165">
        <v>14</v>
      </c>
    </row>
    <row customHeight="1" ht="35.699999999999996">
      <c r="Q38" s="386"/>
      <c r="R38" s="386"/>
      <c r="S38" s="2283"/>
      <c r="T38" s="2219"/>
      <c r="U38" s="1041"/>
      <c r="V38" s="1462" t="s">
        <v>511</v>
      </c>
      <c r="W38" s="2272" t="s">
        <v>457</v>
      </c>
      <c r="X38" s="2273"/>
      <c r="Y38" s="2272" t="s">
        <v>458</v>
      </c>
      <c r="Z38" s="2279"/>
      <c r="AA38" s="2273"/>
      <c r="AB38" s="2288"/>
      <c r="AC38" s="1462" t="s">
        <v>511</v>
      </c>
      <c r="AD38" s="2272" t="s">
        <v>457</v>
      </c>
      <c r="AE38" s="2273"/>
      <c r="AF38" s="2272" t="s">
        <v>458</v>
      </c>
      <c r="AG38" s="2279"/>
      <c r="AH38" s="2273"/>
      <c r="AI38" s="2288"/>
      <c r="AJ38" s="2291"/>
      <c r="AK38" s="2137"/>
      <c r="AQ38" s="1165">
        <v>34</v>
      </c>
    </row>
    <row customHeight="1" ht="35.699999999999996">
      <c r="A39" s="1380"/>
      <c r="B39" s="1380" t="s">
        <v>159</v>
      </c>
      <c r="C39" s="1380" t="s">
        <v>160</v>
      </c>
      <c r="D39" s="1380" t="s">
        <v>161</v>
      </c>
      <c r="E39" s="1374" t="s">
        <v>459</v>
      </c>
      <c r="F39" s="1374" t="s">
        <v>460</v>
      </c>
      <c r="G39" s="1374" t="s">
        <v>461</v>
      </c>
      <c r="H39" s="1374"/>
      <c r="I39" s="1374" t="s">
        <v>512</v>
      </c>
      <c r="J39" s="1374" t="s">
        <v>464</v>
      </c>
      <c r="K39" s="1374" t="s">
        <v>513</v>
      </c>
      <c r="L39" s="1374" t="s">
        <v>440</v>
      </c>
      <c r="Q39" s="386"/>
      <c r="R39" s="386"/>
      <c r="S39" s="2283"/>
      <c r="T39" s="2219"/>
      <c r="U39" s="312"/>
      <c r="V39" s="1462" t="s">
        <v>514</v>
      </c>
      <c r="W39" s="1232" t="s">
        <v>515</v>
      </c>
      <c r="X39" s="1232" t="s">
        <v>516</v>
      </c>
      <c r="Y39" s="1465" t="s">
        <v>468</v>
      </c>
      <c r="Z39" s="2280" t="s">
        <v>469</v>
      </c>
      <c r="AA39" s="2281"/>
      <c r="AB39" s="2289"/>
      <c r="AC39" s="1462" t="s">
        <v>514</v>
      </c>
      <c r="AD39" s="1232" t="s">
        <v>515</v>
      </c>
      <c r="AE39" s="1232" t="s">
        <v>516</v>
      </c>
      <c r="AF39" s="1465" t="s">
        <v>468</v>
      </c>
      <c r="AG39" s="2280" t="s">
        <v>469</v>
      </c>
      <c r="AH39" s="2281"/>
      <c r="AI39" s="2289"/>
      <c r="AJ39" s="2292"/>
      <c r="AK39" s="2137"/>
      <c r="AQ39" s="1165">
        <v>34</v>
      </c>
    </row>
    <row s="1651" customFormat="1" customHeight="1" ht="0">
      <c r="A40" s="1380"/>
      <c r="B40" s="1380"/>
      <c r="C40" s="1380"/>
      <c r="D40" s="1380"/>
      <c r="E40" s="1380"/>
      <c r="F40" s="1380"/>
      <c r="G40" s="1380"/>
      <c r="H40" s="1380"/>
      <c r="I40" s="1380"/>
      <c r="J40" s="1380"/>
      <c r="K40" s="1380"/>
      <c r="L40" s="1374"/>
      <c r="M40" s="1372"/>
      <c r="N40" s="1372"/>
      <c r="O40" s="1372"/>
      <c r="P40" s="1256"/>
      <c r="Q40" s="1257"/>
      <c r="R40" s="1264">
        <v>1</v>
      </c>
      <c r="S40" s="1287" t="s">
        <v>124</v>
      </c>
      <c r="T40" s="1265" t="s">
        <v>104</v>
      </c>
      <c r="U40" s="1255" t="str">
        <f>OFFSET(U40,0,-1)</f>
        <v>2</v>
      </c>
      <c r="V40" s="1461">
        <f>OFFSET(V40,0,-1)+1</f>
        <v>3</v>
      </c>
      <c r="W40" s="1461">
        <f>OFFSET(W40,0,-1)+1</f>
        <v>4</v>
      </c>
      <c r="X40" s="1461">
        <f>OFFSET(X40,0,-1)+1</f>
        <v>5</v>
      </c>
      <c r="Y40" s="1461">
        <f>OFFSET(Y40,0,-1)+1</f>
        <v>6</v>
      </c>
      <c r="Z40" s="2282">
        <f>OFFSET(Z40,0,-1)+1</f>
        <v>7</v>
      </c>
      <c r="AA40" s="2282"/>
      <c r="AB40" s="1461">
        <f>OFFSET(AB40,0,-2)+1</f>
        <v>8</v>
      </c>
      <c r="AC40" s="1461">
        <f>OFFSET(AC40,0,-1)+1</f>
        <v>9</v>
      </c>
      <c r="AD40" s="1461">
        <f>OFFSET(AD40,0,-1)+1</f>
        <v>10</v>
      </c>
      <c r="AE40" s="1461">
        <f>OFFSET(AE40,0,-1)+1</f>
        <v>11</v>
      </c>
      <c r="AF40" s="1461">
        <f>OFFSET(AF40,0,-1)+1</f>
        <v>12</v>
      </c>
      <c r="AG40" s="2282">
        <f>OFFSET(AG40,0,-1)+1</f>
        <v>13</v>
      </c>
      <c r="AH40" s="2282"/>
      <c r="AI40" s="1461">
        <f>OFFSET(AI40,0,-2)+1</f>
        <v>14</v>
      </c>
      <c r="AJ40" s="1255">
        <f>OFFSET(AJ40,0,-1)</f>
        <v>14</v>
      </c>
      <c r="AK40" s="1461">
        <f>OFFSET(AK40,0,-1)+1</f>
        <v>15</v>
      </c>
      <c r="AL40" s="521"/>
      <c r="AM40" s="521"/>
      <c r="AN40" s="521"/>
      <c r="AO40" s="521"/>
      <c r="AP40" s="521"/>
      <c r="AQ40" s="506">
        <v>0</v>
      </c>
    </row>
    <row customHeight="1" ht="24">
      <c r="A41" s="1373" t="s">
        <v>253</v>
      </c>
      <c r="B41" s="1373"/>
      <c r="C41" s="1373"/>
      <c r="D41" s="1373"/>
      <c r="E41" s="2268">
        <v>1</v>
      </c>
      <c r="F41" s="1373"/>
      <c r="G41" s="1373"/>
      <c r="H41" s="1373"/>
      <c r="I41" s="1373"/>
      <c r="J41" s="1373"/>
      <c r="K41" s="1373"/>
      <c r="L41" s="1374"/>
      <c r="M41" s="1375"/>
      <c r="N41" s="1375"/>
      <c r="O41" s="1375"/>
      <c r="P41" s="371"/>
      <c r="Q41" s="370"/>
      <c r="R41" s="365"/>
      <c r="S41" s="1467">
        <f>INDEX(PT_DIFFERENTIATION_NUM_NTAR,MATCH(A41,PT_DIFFERENTIATION_NTAR_ID,0))</f>
        <v>0</v>
      </c>
      <c r="T41" s="308" t="s">
        <v>147</v>
      </c>
      <c r="U41" s="310"/>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0"/>
      <c r="AN41" s="510" t="str">
        <f>IF(T41="","",T41)</f>
        <v>Наименование тарифа</v>
      </c>
      <c r="AO41" s="510"/>
      <c r="AP41" s="510"/>
      <c r="AQ41" s="1165">
        <v>23</v>
      </c>
    </row>
    <row customHeight="1" ht="24">
      <c r="A42" s="1373" t="s">
        <v>253</v>
      </c>
      <c r="B42" s="1373" t="s">
        <v>254</v>
      </c>
      <c r="C42" s="1373"/>
      <c r="D42" s="1373"/>
      <c r="E42" s="2269"/>
      <c r="F42" s="2268">
        <v>1</v>
      </c>
      <c r="G42" s="1373"/>
      <c r="H42" s="1373"/>
      <c r="I42" s="1373"/>
      <c r="J42" s="1373"/>
      <c r="K42" s="1373"/>
      <c r="L42" s="1374"/>
      <c r="M42" s="1375"/>
      <c r="N42" s="1375"/>
      <c r="O42" s="1375"/>
      <c r="P42" s="1463"/>
      <c r="Q42" s="362"/>
      <c r="R42" s="363"/>
      <c r="S42" s="1467" t="str">
        <f>INDEX(PT_DIFFERENTIATION_NUM_TER,MATCH(B42,PT_DIFFERENTIATION_TER_ID,0))</f>
        <v>.</v>
      </c>
      <c r="T42" s="318" t="s">
        <v>419</v>
      </c>
      <c r="U42" s="310"/>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268" t="s">
        <v>420</v>
      </c>
      <c r="AM42" s="510"/>
      <c r="AN42" s="510" t="str">
        <f>IF(T42="","",T42)</f>
        <v>Территория действия тарифа</v>
      </c>
      <c r="AO42" s="510"/>
      <c r="AP42" s="510"/>
      <c r="AQ42" s="1165">
        <v>23</v>
      </c>
    </row>
    <row customHeight="1" ht="24">
      <c r="A43" s="1373" t="s">
        <v>253</v>
      </c>
      <c r="B43" s="1373" t="s">
        <v>254</v>
      </c>
      <c r="C43" s="1373" t="s">
        <v>255</v>
      </c>
      <c r="D43" s="1373"/>
      <c r="E43" s="2269"/>
      <c r="F43" s="2269"/>
      <c r="G43" s="2268">
        <v>1</v>
      </c>
      <c r="H43" s="1373"/>
      <c r="I43" s="1373"/>
      <c r="J43" s="1373"/>
      <c r="K43" s="1373"/>
      <c r="L43" s="1374"/>
      <c r="M43" s="1375"/>
      <c r="N43" s="1375"/>
      <c r="O43" s="1375"/>
      <c r="P43" s="364"/>
      <c r="Q43" s="362"/>
      <c r="R43" s="363"/>
      <c r="S43" s="1467" t="str">
        <f>INDEX(PT_DIFFERENTIATION_NUM_CS,MATCH(C43,PT_DIFFERENTIATION_CS_ID,0))</f>
        <v>..</v>
      </c>
      <c r="T43" s="319" t="s">
        <v>503</v>
      </c>
      <c r="U43" s="310"/>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268" t="s">
        <v>504</v>
      </c>
      <c r="AM43" s="510"/>
      <c r="AN43" s="510" t="str">
        <f>IF(T43="","",T43)</f>
        <v>Наименование централизованной системы холодного водоснабжения</v>
      </c>
      <c r="AO43" s="510"/>
      <c r="AP43" s="510"/>
      <c r="AQ43" s="1165">
        <v>23</v>
      </c>
    </row>
    <row customHeight="1" ht="24">
      <c r="A44" s="1373" t="s">
        <v>253</v>
      </c>
      <c r="B44" s="1373" t="s">
        <v>254</v>
      </c>
      <c r="C44" s="1373" t="s">
        <v>255</v>
      </c>
      <c r="D44" s="1373" t="s">
        <v>518</v>
      </c>
      <c r="E44" s="2269"/>
      <c r="F44" s="2269"/>
      <c r="G44" s="2269"/>
      <c r="H44" s="2269"/>
      <c r="I44" s="2266" t="str">
        <f>S43&amp;".1"</f>
        <v>...1</v>
      </c>
      <c r="J44" s="1373"/>
      <c r="K44" s="1373"/>
      <c r="L44" s="1374"/>
      <c r="P44" s="2267">
        <v>1</v>
      </c>
      <c r="Q44" s="1460"/>
      <c r="R44" s="366"/>
      <c r="S44" s="1467" t="str">
        <f>$I44</f>
        <v>...1</v>
      </c>
      <c r="T44" s="295" t="s">
        <v>505</v>
      </c>
      <c r="U44" s="310"/>
      <c r="V44" s="2360"/>
      <c r="W44" s="2361"/>
      <c r="X44" s="2361"/>
      <c r="Y44" s="2361"/>
      <c r="Z44" s="2361"/>
      <c r="AA44" s="2361"/>
      <c r="AB44" s="2362"/>
      <c r="AC44" s="2363"/>
      <c r="AD44" s="2364"/>
      <c r="AE44" s="2364"/>
      <c r="AF44" s="2364"/>
      <c r="AG44" s="2364"/>
      <c r="AH44" s="2364"/>
      <c r="AI44" s="2364"/>
      <c r="AJ44" s="2365"/>
      <c r="AK44" s="1268" t="s">
        <v>506</v>
      </c>
      <c r="AM44" s="510"/>
      <c r="AN44" s="510" t="str">
        <f>IF(T44="","",T44)</f>
        <v>Наименование признака дифференциации</v>
      </c>
      <c r="AO44" s="510"/>
      <c r="AP44" s="510"/>
      <c r="AQ44" s="1165">
        <v>23</v>
      </c>
    </row>
    <row customHeight="1" ht="24">
      <c r="A45" s="1373" t="s">
        <v>253</v>
      </c>
      <c r="B45" s="1373" t="s">
        <v>254</v>
      </c>
      <c r="C45" s="1373" t="s">
        <v>255</v>
      </c>
      <c r="D45" s="1373" t="s">
        <v>518</v>
      </c>
      <c r="E45" s="2269"/>
      <c r="F45" s="2269"/>
      <c r="G45" s="2269"/>
      <c r="H45" s="2269"/>
      <c r="I45" s="2296"/>
      <c r="J45" s="2266" t="str">
        <f>I44&amp;".1"</f>
        <v>...1.1</v>
      </c>
      <c r="K45" s="1373"/>
      <c r="L45" s="1374" t="s">
        <v>428</v>
      </c>
      <c r="P45" s="2267"/>
      <c r="Q45" s="2267">
        <v>1</v>
      </c>
      <c r="R45" s="367"/>
      <c r="S45" s="1467" t="str">
        <f>$J45</f>
        <v>...1.1</v>
      </c>
      <c r="T45" s="296" t="s">
        <v>429</v>
      </c>
      <c r="U45" s="310"/>
      <c r="V45" s="2255"/>
      <c r="W45" s="2256"/>
      <c r="X45" s="2256"/>
      <c r="Y45" s="2256"/>
      <c r="Z45" s="2256"/>
      <c r="AA45" s="2256"/>
      <c r="AB45" s="2257"/>
      <c r="AC45" s="2255"/>
      <c r="AD45" s="2256"/>
      <c r="AE45" s="2256"/>
      <c r="AF45" s="2256"/>
      <c r="AG45" s="2256"/>
      <c r="AH45" s="2256"/>
      <c r="AI45" s="2256"/>
      <c r="AJ45" s="2257"/>
      <c r="AK45" s="1317" t="s">
        <v>507</v>
      </c>
      <c r="AM45" s="510"/>
      <c r="AN45" s="510" t="str">
        <f>IF(T45="","",T45)</f>
        <v>Группа потребителей</v>
      </c>
      <c r="AO45" s="510"/>
      <c r="AP45" s="510"/>
      <c r="AQ45" s="1165">
        <v>23</v>
      </c>
    </row>
    <row customHeight="1" ht="24">
      <c r="A46" s="1373" t="s">
        <v>253</v>
      </c>
      <c r="B46" s="1373" t="s">
        <v>254</v>
      </c>
      <c r="C46" s="1373" t="s">
        <v>255</v>
      </c>
      <c r="D46" s="1373" t="s">
        <v>518</v>
      </c>
      <c r="E46" s="2269"/>
      <c r="F46" s="2269"/>
      <c r="G46" s="2269"/>
      <c r="H46" s="2269"/>
      <c r="I46" s="2296"/>
      <c r="J46" s="2296"/>
      <c r="K46" s="2266" t="str">
        <f>J45&amp;".1"</f>
        <v>...1.1.1</v>
      </c>
      <c r="L46" s="1374"/>
      <c r="P46" s="2267"/>
      <c r="Q46" s="2267"/>
      <c r="R46" s="367">
        <v>1</v>
      </c>
      <c r="S46" s="1467" t="str">
        <f>$K46</f>
        <v>...1.1.1</v>
      </c>
      <c r="T46" s="1447"/>
      <c r="U46" s="310"/>
      <c r="V46" s="761"/>
      <c r="W46" s="761"/>
      <c r="X46" s="1267"/>
      <c r="Y46" s="2275"/>
      <c r="Z46" s="2117" t="s">
        <v>66</v>
      </c>
      <c r="AA46" s="2275"/>
      <c r="AB46" s="2117" t="s">
        <v>66</v>
      </c>
      <c r="AC46" s="761"/>
      <c r="AD46" s="761"/>
      <c r="AE46" s="1267"/>
      <c r="AF46" s="2275"/>
      <c r="AG46" s="2117" t="s">
        <v>66</v>
      </c>
      <c r="AH46" s="2297"/>
      <c r="AI46" s="2117" t="s">
        <v>66</v>
      </c>
      <c r="AJ46" s="1448"/>
      <c r="AK46"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1">
        <f>STRCHECKDATE(V47:AJ47)</f>
      </c>
      <c r="AM46" s="510"/>
      <c r="AN46" s="510" t="str">
        <f>IF(T46="","",T46)</f>
        <v/>
      </c>
      <c r="AO46" s="510"/>
      <c r="AP46" s="510"/>
      <c r="AQ46" s="1165">
        <v>23</v>
      </c>
    </row>
    <row customHeight="1" ht="0">
      <c r="A47" s="1373" t="s">
        <v>253</v>
      </c>
      <c r="B47" s="1373" t="s">
        <v>254</v>
      </c>
      <c r="C47" s="1373" t="s">
        <v>255</v>
      </c>
      <c r="D47" s="1373" t="s">
        <v>518</v>
      </c>
      <c r="E47" s="2269"/>
      <c r="F47" s="2269"/>
      <c r="G47" s="2269"/>
      <c r="H47" s="2269"/>
      <c r="I47" s="2296"/>
      <c r="J47" s="2296"/>
      <c r="K47" s="2266"/>
      <c r="L47" s="1374"/>
      <c r="P47" s="2267"/>
      <c r="Q47" s="2267"/>
      <c r="R47" s="367"/>
      <c r="S47" s="1466"/>
      <c r="T47" s="310"/>
      <c r="U47" s="310"/>
      <c r="V47" s="335"/>
      <c r="W47" s="335"/>
      <c r="X47" s="338" t="str">
        <f>Y46&amp;"-"&amp;AA46</f>
        <v>-</v>
      </c>
      <c r="Y47" s="2276"/>
      <c r="Z47" s="2117"/>
      <c r="AA47" s="2276"/>
      <c r="AB47" s="2117"/>
      <c r="AC47" s="335"/>
      <c r="AD47" s="335"/>
      <c r="AE47" s="338" t="str">
        <f>AF46&amp;"-"&amp;AH46</f>
        <v>-</v>
      </c>
      <c r="AF47" s="2276"/>
      <c r="AG47" s="2117"/>
      <c r="AH47" s="2298"/>
      <c r="AI47" s="2117"/>
      <c r="AJ47" s="1449"/>
      <c r="AK47" s="2359"/>
      <c r="AM47" s="510"/>
      <c r="AN47" s="510" t="str">
        <f>IF(T47="","",T47)</f>
        <v/>
      </c>
      <c r="AO47" s="510"/>
      <c r="AP47" s="510"/>
      <c r="AQ47" s="1165">
        <v>0</v>
      </c>
    </row>
    <row customHeight="1" ht="21">
      <c r="A48" s="1373" t="s">
        <v>253</v>
      </c>
      <c r="B48" s="1373" t="s">
        <v>254</v>
      </c>
      <c r="C48" s="1373" t="s">
        <v>255</v>
      </c>
      <c r="D48" s="1373" t="s">
        <v>518</v>
      </c>
      <c r="E48" s="2269"/>
      <c r="F48" s="2269"/>
      <c r="G48" s="2269"/>
      <c r="H48" s="2269"/>
      <c r="I48" s="2296"/>
      <c r="J48" s="2266"/>
      <c r="K48" s="1373"/>
      <c r="L48" s="1374"/>
      <c r="P48" s="2267"/>
      <c r="Q48" s="2267"/>
      <c r="R48" s="366"/>
      <c r="S48" s="1288"/>
      <c r="T48" s="297" t="s">
        <v>508</v>
      </c>
      <c r="U48" s="377"/>
      <c r="V48" s="377"/>
      <c r="W48" s="377"/>
      <c r="X48" s="377"/>
      <c r="Y48" s="377"/>
      <c r="Z48" s="377"/>
      <c r="AA48" s="377"/>
      <c r="AB48" s="377"/>
      <c r="AC48" s="377"/>
      <c r="AD48" s="377"/>
      <c r="AE48" s="377"/>
      <c r="AF48" s="377"/>
      <c r="AG48" s="377"/>
      <c r="AH48" s="377"/>
      <c r="AI48" s="377"/>
      <c r="AJ48" s="377"/>
      <c r="AK48" s="1268" t="s">
        <v>509</v>
      </c>
      <c r="AM48" s="510"/>
      <c r="AN48" s="510" t="str">
        <f>IF(T48="","",T48)</f>
        <v>Добавить значение признака дифференциации</v>
      </c>
      <c r="AO48" s="510"/>
      <c r="AP48" s="510"/>
      <c r="AQ48" s="1165">
        <v>20</v>
      </c>
    </row>
    <row customHeight="1" ht="22.049999999999997">
      <c r="A49" s="1373" t="s">
        <v>253</v>
      </c>
      <c r="B49" s="1373" t="s">
        <v>254</v>
      </c>
      <c r="C49" s="1373" t="s">
        <v>255</v>
      </c>
      <c r="D49" s="1373" t="s">
        <v>518</v>
      </c>
      <c r="E49" s="2269"/>
      <c r="F49" s="2269"/>
      <c r="G49" s="2269"/>
      <c r="H49" s="2269"/>
      <c r="I49" s="2266"/>
      <c r="J49" s="1373"/>
      <c r="K49" s="1373"/>
      <c r="L49" s="1374"/>
      <c r="P49" s="2267"/>
      <c r="Q49" s="1460"/>
      <c r="R49" s="366"/>
      <c r="S49" s="1288"/>
      <c r="T49" s="375" t="s">
        <v>434</v>
      </c>
      <c r="U49" s="377"/>
      <c r="V49" s="377"/>
      <c r="W49" s="377"/>
      <c r="X49" s="377"/>
      <c r="Y49" s="377"/>
      <c r="Z49" s="377"/>
      <c r="AA49" s="377"/>
      <c r="AB49" s="376"/>
      <c r="AC49" s="377"/>
      <c r="AD49" s="377"/>
      <c r="AE49" s="377"/>
      <c r="AF49" s="377"/>
      <c r="AG49" s="377"/>
      <c r="AH49" s="377"/>
      <c r="AI49" s="376"/>
      <c r="AJ49" s="377"/>
      <c r="AK49" s="1450"/>
      <c r="AM49" s="510"/>
      <c r="AN49" s="510" t="str">
        <f>IF(T49="","",T49)</f>
        <v>Добавить группу потребителей</v>
      </c>
      <c r="AO49" s="510"/>
      <c r="AP49" s="510"/>
      <c r="AQ49" s="1165">
        <v>21</v>
      </c>
    </row>
    <row customHeight="1" ht="22.049999999999997">
      <c r="A50" s="1373" t="s">
        <v>253</v>
      </c>
      <c r="B50" s="1373" t="s">
        <v>254</v>
      </c>
      <c r="C50" s="1373" t="s">
        <v>255</v>
      </c>
      <c r="D50" s="1373" t="s">
        <v>518</v>
      </c>
      <c r="E50" s="2269"/>
      <c r="F50" s="2269"/>
      <c r="G50" s="2269"/>
      <c r="H50" s="2268"/>
      <c r="I50" s="1373"/>
      <c r="J50" s="1373"/>
      <c r="K50" s="1373"/>
      <c r="L50" s="1374"/>
      <c r="M50" s="1375"/>
      <c r="N50" s="1375"/>
      <c r="O50" s="547"/>
      <c r="P50" s="370"/>
      <c r="Q50" s="385"/>
      <c r="R50" s="365"/>
      <c r="S50" s="1288"/>
      <c r="T50" s="382" t="s">
        <v>510</v>
      </c>
      <c r="U50" s="377"/>
      <c r="V50" s="377"/>
      <c r="W50" s="377"/>
      <c r="X50" s="377"/>
      <c r="Y50" s="377"/>
      <c r="Z50" s="377"/>
      <c r="AA50" s="377"/>
      <c r="AB50" s="376"/>
      <c r="AC50" s="377"/>
      <c r="AD50" s="377"/>
      <c r="AE50" s="377"/>
      <c r="AF50" s="377"/>
      <c r="AG50" s="377"/>
      <c r="AH50" s="377"/>
      <c r="AI50" s="376"/>
      <c r="AJ50" s="377"/>
      <c r="AK50" s="313"/>
      <c r="AM50" s="510"/>
      <c r="AN50" s="510" t="str">
        <f>IF(T50="","",T50)</f>
        <v>Добавить наименование признака дифференциации</v>
      </c>
      <c r="AO50" s="510"/>
      <c r="AP50" s="510"/>
      <c r="AQ50" s="1165">
        <v>21</v>
      </c>
    </row>
    <row s="1652" customFormat="1" customHeight="1" ht="0">
      <c r="A51" s="1353" t="s">
        <v>253</v>
      </c>
      <c r="B51" s="1353" t="s">
        <v>254</v>
      </c>
      <c r="C51" s="1324"/>
      <c r="D51" s="1324"/>
      <c r="E51" s="2269"/>
      <c r="F51" s="2268"/>
      <c r="G51" s="1324"/>
      <c r="H51" s="1324"/>
      <c r="I51" s="1324"/>
      <c r="J51" s="1324"/>
      <c r="K51" s="1324"/>
      <c r="L51" s="1468"/>
      <c r="M51" s="1331"/>
      <c r="N51" s="1331"/>
      <c r="P51" s="1326"/>
      <c r="Q51" s="1327"/>
      <c r="R51" s="1326"/>
      <c r="S51" s="1332"/>
      <c r="T51" s="1335" t="s">
        <v>437</v>
      </c>
      <c r="U51" s="1334"/>
      <c r="V51" s="1334"/>
      <c r="W51" s="1334"/>
      <c r="X51" s="1334"/>
      <c r="Y51" s="1334"/>
      <c r="Z51" s="1334"/>
      <c r="AA51" s="1334"/>
      <c r="AB51" s="1334"/>
      <c r="AC51" s="1334"/>
      <c r="AD51" s="1334"/>
      <c r="AE51" s="1334"/>
      <c r="AF51" s="1334"/>
      <c r="AG51" s="1334"/>
      <c r="AH51" s="1334"/>
      <c r="AI51" s="1334"/>
      <c r="AJ51" s="1334"/>
      <c r="AK51" s="1334"/>
      <c r="AM51" s="799"/>
      <c r="AN51" s="799" t="str">
        <f>IF(T51="","",T51)</f>
        <v>Добавить централизованную систему для дифференциации</v>
      </c>
      <c r="AO51" s="799"/>
      <c r="AP51" s="799"/>
      <c r="AQ51" s="528">
        <v>0</v>
      </c>
    </row>
    <row s="1652" customFormat="1" customHeight="1" ht="0">
      <c r="A52" s="1353" t="s">
        <v>253</v>
      </c>
      <c r="B52" s="1353"/>
      <c r="C52" s="1353"/>
      <c r="D52" s="1353"/>
      <c r="E52" s="2268"/>
      <c r="F52" s="1353"/>
      <c r="G52" s="1353"/>
      <c r="H52" s="1353"/>
      <c r="I52" s="1353"/>
      <c r="J52" s="1353"/>
      <c r="K52" s="1353"/>
      <c r="L52" s="1356"/>
      <c r="M52" s="1331"/>
      <c r="N52" s="1331"/>
      <c r="O52" s="528"/>
      <c r="P52" s="390"/>
      <c r="Q52" s="1354"/>
      <c r="R52" s="390"/>
      <c r="S52" s="1332"/>
      <c r="T52" s="1335" t="s">
        <v>438</v>
      </c>
      <c r="U52" s="1334"/>
      <c r="V52" s="1334"/>
      <c r="W52" s="1334"/>
      <c r="X52" s="1334"/>
      <c r="Y52" s="1334"/>
      <c r="Z52" s="1334"/>
      <c r="AA52" s="1334"/>
      <c r="AB52" s="1334"/>
      <c r="AC52" s="1334"/>
      <c r="AD52" s="1334"/>
      <c r="AE52" s="1334"/>
      <c r="AF52" s="1334"/>
      <c r="AG52" s="1334"/>
      <c r="AH52" s="1334"/>
      <c r="AI52" s="1334"/>
      <c r="AJ52" s="1334"/>
      <c r="AK52" s="1334"/>
      <c r="AM52" s="510"/>
      <c r="AN52" s="510" t="str">
        <f>IF(T52="","",T52)</f>
        <v>Добавить территорию для дифференциации</v>
      </c>
      <c r="AO52" s="510"/>
      <c r="AP52" s="510"/>
      <c r="AQ52" s="521">
        <v>0</v>
      </c>
    </row>
    <row s="1652" customFormat="1" customHeight="1" ht="0">
      <c r="A53" s="1324"/>
      <c r="B53" s="1324"/>
      <c r="C53" s="1324"/>
      <c r="D53" s="1324"/>
      <c r="E53" s="1353"/>
      <c r="F53" s="1324"/>
      <c r="G53" s="1324"/>
      <c r="H53" s="1324"/>
      <c r="I53" s="1324"/>
      <c r="J53" s="1324"/>
      <c r="K53" s="1324"/>
      <c r="L53" s="1468"/>
      <c r="M53" s="1331"/>
      <c r="N53" s="1331"/>
      <c r="P53" s="1326"/>
      <c r="Q53" s="1327"/>
      <c r="R53" s="1326"/>
      <c r="S53" s="1332"/>
      <c r="T53" s="1335" t="s">
        <v>470</v>
      </c>
      <c r="U53" s="1334"/>
      <c r="V53" s="1334"/>
      <c r="W53" s="1334"/>
      <c r="X53" s="1334"/>
      <c r="Y53" s="1334"/>
      <c r="Z53" s="1334"/>
      <c r="AA53" s="1334"/>
      <c r="AB53" s="1334"/>
      <c r="AC53" s="1334"/>
      <c r="AD53" s="1334"/>
      <c r="AE53" s="1334"/>
      <c r="AF53" s="1334"/>
      <c r="AG53" s="1334"/>
      <c r="AH53" s="1334"/>
      <c r="AI53" s="1334"/>
      <c r="AJ53" s="1334"/>
      <c r="AK53" s="1334"/>
      <c r="AM53" s="799"/>
      <c r="AN53" s="799" t="str">
        <f>IF(T53="","",T53)</f>
        <v>Добавить наименование тарифа</v>
      </c>
      <c r="AO53" s="799"/>
      <c r="AP53" s="799"/>
      <c r="AQ53" s="528">
        <v>0</v>
      </c>
    </row>
    <row customHeight="1" ht="11.549999999999999">
      <c r="M54" s="1170"/>
      <c r="N54" s="1170"/>
      <c r="O54" s="547"/>
      <c r="P54" s="1165"/>
      <c r="Q54" s="1165"/>
      <c r="R54" s="1165"/>
      <c r="S54" s="1165"/>
      <c r="AL54" s="1165"/>
      <c r="AM54" s="1165"/>
      <c r="AN54" s="1165"/>
      <c r="AO54" s="1165"/>
      <c r="AP54" s="1165"/>
      <c r="AQ54" s="1165">
        <v>11</v>
      </c>
    </row>
    <row customHeight="1" ht="14.699999999999998">
      <c r="O55" s="547"/>
      <c r="S55" s="1263"/>
      <c r="T55" s="2295"/>
      <c r="U55" s="2295"/>
      <c r="V55" s="2295"/>
      <c r="W55" s="2295"/>
      <c r="X55" s="2295"/>
      <c r="Y55" s="2295"/>
      <c r="Z55" s="2295"/>
      <c r="AA55" s="2295"/>
      <c r="AB55" s="2295"/>
      <c r="AC55" s="2295"/>
      <c r="AD55" s="2295"/>
      <c r="AE55" s="2295"/>
      <c r="AF55" s="2295"/>
      <c r="AG55" s="2295"/>
      <c r="AH55" s="2295"/>
      <c r="AI55" s="2295"/>
      <c r="AJ55" s="2295"/>
      <c r="AK55" s="2295"/>
      <c r="AQ55" s="1165">
        <v>14</v>
      </c>
    </row>
    <row customHeight="1" ht="14.699999999999998">
      <c r="O56" s="547"/>
      <c r="AQ56" s="1165">
        <v>14</v>
      </c>
    </row>
    <row customHeight="1" ht="14.699999999999998">
      <c r="O57" s="547"/>
      <c r="S57" s="1263"/>
      <c r="T57" s="2295"/>
      <c r="U57" s="2295"/>
      <c r="V57" s="2295"/>
      <c r="W57" s="2295"/>
      <c r="X57" s="2295"/>
      <c r="Y57" s="2295"/>
      <c r="Z57" s="2295"/>
      <c r="AA57" s="2295"/>
      <c r="AB57" s="2295"/>
      <c r="AC57" s="2295"/>
      <c r="AD57" s="2295"/>
      <c r="AE57" s="2295"/>
      <c r="AF57" s="2295"/>
      <c r="AG57" s="2295"/>
      <c r="AH57" s="2295"/>
      <c r="AI57" s="2295"/>
      <c r="AJ57" s="2295"/>
      <c r="AK57" s="2295"/>
      <c r="AQ57" s="1165">
        <v>14</v>
      </c>
    </row>
    <row customHeight="1" ht="22.5" hidden="1">
      <c r="A58" s="1170" t="s">
        <v>82</v>
      </c>
      <c r="B58" s="1170">
        <v>0</v>
      </c>
      <c r="C58" s="1170">
        <v>0</v>
      </c>
      <c r="D58" s="1170">
        <v>0</v>
      </c>
      <c r="E58" s="1170">
        <v>0</v>
      </c>
      <c r="F58" s="1170">
        <v>0</v>
      </c>
      <c r="G58" s="1170">
        <v>0</v>
      </c>
      <c r="H58" s="1170">
        <v>0</v>
      </c>
      <c r="I58" s="1170">
        <v>0</v>
      </c>
      <c r="J58" s="1170">
        <v>0</v>
      </c>
      <c r="K58" s="1170">
        <v>0</v>
      </c>
      <c r="L58" s="1457">
        <v>0</v>
      </c>
      <c r="M58" s="1372">
        <v>0</v>
      </c>
      <c r="N58" s="1372">
        <v>0</v>
      </c>
      <c r="O58" s="1372">
        <v>0</v>
      </c>
      <c r="P58" s="1456">
        <v>3</v>
      </c>
      <c r="Q58" s="354">
        <v>3</v>
      </c>
      <c r="R58" s="354">
        <v>3</v>
      </c>
      <c r="S58" s="591">
        <v>12</v>
      </c>
      <c r="T58" s="1165">
        <v>35</v>
      </c>
      <c r="U58" s="1165">
        <v>0</v>
      </c>
      <c r="V58" s="1165">
        <v>0</v>
      </c>
      <c r="W58" s="1165">
        <v>0</v>
      </c>
      <c r="X58" s="1165">
        <v>0</v>
      </c>
      <c r="Y58" s="1165">
        <v>0</v>
      </c>
      <c r="Z58" s="1165">
        <v>0</v>
      </c>
      <c r="AA58" s="1165">
        <v>0</v>
      </c>
      <c r="AB58" s="1165">
        <v>0</v>
      </c>
      <c r="AC58" s="1165">
        <v>24</v>
      </c>
      <c r="AD58" s="1165">
        <v>24</v>
      </c>
      <c r="AE58" s="1165">
        <v>24</v>
      </c>
      <c r="AF58" s="1165">
        <v>11</v>
      </c>
      <c r="AG58" s="1165">
        <v>3</v>
      </c>
      <c r="AH58" s="1165">
        <v>11</v>
      </c>
      <c r="AI58" s="1165">
        <v>0</v>
      </c>
      <c r="AJ58" s="1165">
        <v>4</v>
      </c>
      <c r="AK58" s="1165">
        <v>115</v>
      </c>
      <c r="AL58" s="521">
        <v>10</v>
      </c>
      <c r="AM58" s="521">
        <v>10</v>
      </c>
      <c r="AN58" s="521">
        <v>10</v>
      </c>
      <c r="AO58" s="521">
        <v>10</v>
      </c>
      <c r="AP58" s="521">
        <v>10</v>
      </c>
      <c r="AQ58" s="1165">
        <v>23</v>
      </c>
    </row>
  </sheetData>
  <sheetProtection sheet="1" formatColumns="0" formatRows="0" autoFilter="0" sort="1" insertRows="1" insertColumns="1" deleteRows="1" deleteColumns="1"/>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874BA4-6BF2-6A75-0922-0.33F6DEE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4" style="1645" width="24.7109375" hidden="1" customWidth="1"/>
    <col min="25" max="25" style="1645" width="11.7109375" hidden="1" customWidth="1"/>
    <col min="26" max="26" style="1645" width="3.7109375" hidden="1" customWidth="1"/>
    <col min="27" max="27" style="1645" width="11.7109375" hidden="1" customWidth="1"/>
    <col min="28" max="28" style="1645" width="8.57421875" hidden="1" customWidth="1"/>
    <col min="29" max="29" style="1645" width="24.7109375" customWidth="1"/>
    <col min="30" max="31" style="1645" width="24.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22.5" hidden="1">
      <c r="X1" s="337"/>
      <c r="Y1" s="337"/>
      <c r="AE1" s="337"/>
      <c r="AF1" s="337"/>
      <c r="AQ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467">
        <f>INDEX(PT_DIFFERENTIATION_NUM_NTAR,MATCH(A2,PT_DIFFERENTIATION_NTAR_ID,0))</f>
      </c>
      <c r="T2" s="308" t="s">
        <v>147</v>
      </c>
      <c r="U2" s="310"/>
      <c r="V2" s="2252"/>
      <c r="W2" s="2253"/>
      <c r="X2" s="2253"/>
      <c r="Y2" s="2253"/>
      <c r="Z2" s="2253"/>
      <c r="AA2" s="2253"/>
      <c r="AB2" s="2254"/>
      <c r="AC2" s="2252">
        <f>INDEX(PT_DIFFERENTIATION_NTAR,MATCH(A2,PT_DIFFERENTIATION_NTAR_ID,0))</f>
      </c>
      <c r="AD2" s="2253"/>
      <c r="AE2" s="2253"/>
      <c r="AF2" s="2253"/>
      <c r="AG2" s="2253"/>
      <c r="AH2" s="2253"/>
      <c r="AI2" s="2253"/>
      <c r="AJ2" s="2254"/>
      <c r="AK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0"/>
      <c r="AN2" s="510" t="str">
        <f>IF(T2="","",T2)</f>
        <v>Наименование тарифа</v>
      </c>
      <c r="AO2" s="510"/>
      <c r="AP2" s="510"/>
      <c r="AQ2" s="1165">
        <v>0</v>
      </c>
    </row>
    <row customHeight="1" ht="23.25" hidden="1">
      <c r="A3" s="1373"/>
      <c r="B3" s="1373"/>
      <c r="C3" s="1373"/>
      <c r="D3" s="1373"/>
      <c r="E3" s="2269"/>
      <c r="F3" s="2268">
        <v>1</v>
      </c>
      <c r="G3" s="1373"/>
      <c r="H3" s="1373"/>
      <c r="I3" s="1373"/>
      <c r="J3" s="1373"/>
      <c r="K3" s="1373"/>
      <c r="L3" s="1374"/>
      <c r="M3" s="1375"/>
      <c r="N3" s="1375"/>
      <c r="O3" s="1375"/>
      <c r="P3" s="1463"/>
      <c r="Q3" s="362"/>
      <c r="R3" s="363"/>
      <c r="S3" s="1467">
        <f>INDEX(PT_DIFFERENTIATION_NUM_TER,MATCH(B3,PT_DIFFERENTIATION_TER_ID,0))</f>
      </c>
      <c r="T3" s="318" t="s">
        <v>419</v>
      </c>
      <c r="U3" s="310"/>
      <c r="V3" s="2252"/>
      <c r="W3" s="2253"/>
      <c r="X3" s="2253"/>
      <c r="Y3" s="2253"/>
      <c r="Z3" s="2253"/>
      <c r="AA3" s="2253"/>
      <c r="AB3" s="2254"/>
      <c r="AC3" s="2252">
        <f>INDEX(PT_DIFFERENTIATION_TER,MATCH(B3,PT_DIFFERENTIATION_TER_ID,0))</f>
      </c>
      <c r="AD3" s="2253"/>
      <c r="AE3" s="2253"/>
      <c r="AF3" s="2253"/>
      <c r="AG3" s="2253"/>
      <c r="AH3" s="2253"/>
      <c r="AI3" s="2253"/>
      <c r="AJ3" s="2254"/>
      <c r="AK3" s="1268" t="s">
        <v>420</v>
      </c>
      <c r="AM3" s="510"/>
      <c r="AN3" s="510" t="str">
        <f>IF(T3="","",T3)</f>
        <v>Территория действия тарифа</v>
      </c>
      <c r="AO3" s="510"/>
      <c r="AP3" s="510"/>
      <c r="AQ3" s="1165">
        <v>0</v>
      </c>
    </row>
    <row customHeight="1" ht="23.25" hidden="1">
      <c r="A4" s="1373"/>
      <c r="B4" s="1373"/>
      <c r="C4" s="1373"/>
      <c r="D4" s="1373"/>
      <c r="E4" s="2269"/>
      <c r="F4" s="2269"/>
      <c r="G4" s="2268">
        <v>1</v>
      </c>
      <c r="H4" s="1373"/>
      <c r="I4" s="1373"/>
      <c r="J4" s="1373"/>
      <c r="K4" s="1373"/>
      <c r="L4" s="1374"/>
      <c r="M4" s="1375"/>
      <c r="N4" s="1375"/>
      <c r="O4" s="1375"/>
      <c r="P4" s="364"/>
      <c r="Q4" s="362"/>
      <c r="R4" s="363"/>
      <c r="S4" s="1467">
        <f>INDEX(PT_DIFFERENTIATION_NUM_CS,MATCH(C4,PT_DIFFERENTIATION_CS_ID,0))</f>
      </c>
      <c r="T4" s="319" t="s">
        <v>503</v>
      </c>
      <c r="U4" s="310"/>
      <c r="V4" s="2252"/>
      <c r="W4" s="2253"/>
      <c r="X4" s="2253"/>
      <c r="Y4" s="2253"/>
      <c r="Z4" s="2253"/>
      <c r="AA4" s="2253"/>
      <c r="AB4" s="2254"/>
      <c r="AC4" s="2252">
        <f>INDEX(PT_DIFFERENTIATION_CS,MATCH(C4,PT_DIFFERENTIATION_CS_ID,0))</f>
      </c>
      <c r="AD4" s="2253"/>
      <c r="AE4" s="2253"/>
      <c r="AF4" s="2253"/>
      <c r="AG4" s="2253"/>
      <c r="AH4" s="2253"/>
      <c r="AI4" s="2253"/>
      <c r="AJ4" s="2254"/>
      <c r="AK4" s="1268" t="s">
        <v>504</v>
      </c>
      <c r="AM4" s="510"/>
      <c r="AN4" s="510" t="str">
        <f>IF(T4="","",T4)</f>
        <v>Наименование централизованной системы холодного водоснабжения</v>
      </c>
      <c r="AO4" s="510"/>
      <c r="AP4" s="510"/>
      <c r="AQ4" s="1165">
        <v>0</v>
      </c>
    </row>
    <row customHeight="1" ht="23.25" hidden="1">
      <c r="A5" s="1373"/>
      <c r="B5" s="1373"/>
      <c r="C5" s="1373"/>
      <c r="D5" s="1373"/>
      <c r="E5" s="2269"/>
      <c r="F5" s="2269"/>
      <c r="G5" s="2269"/>
      <c r="H5" s="2269"/>
      <c r="I5" s="2266">
        <f>S4&amp;".1"</f>
      </c>
      <c r="J5" s="1373"/>
      <c r="K5" s="1373"/>
      <c r="L5" s="1374"/>
      <c r="P5" s="2267">
        <v>1</v>
      </c>
      <c r="Q5" s="1460"/>
      <c r="R5" s="366"/>
      <c r="S5" s="1467">
        <f>$I5</f>
      </c>
      <c r="T5" s="295" t="s">
        <v>505</v>
      </c>
      <c r="U5" s="310"/>
      <c r="V5" s="2360"/>
      <c r="W5" s="2361"/>
      <c r="X5" s="2361"/>
      <c r="Y5" s="2361"/>
      <c r="Z5" s="2361"/>
      <c r="AA5" s="2361"/>
      <c r="AB5" s="2362"/>
      <c r="AC5" s="2363"/>
      <c r="AD5" s="2364"/>
      <c r="AE5" s="2364"/>
      <c r="AF5" s="2364"/>
      <c r="AG5" s="2364"/>
      <c r="AH5" s="2364"/>
      <c r="AI5" s="2364"/>
      <c r="AJ5" s="2365"/>
      <c r="AK5" s="1268" t="s">
        <v>506</v>
      </c>
      <c r="AM5" s="510"/>
      <c r="AN5" s="510" t="str">
        <f>IF(T5="","",T5)</f>
        <v>Наименование признака дифференциации</v>
      </c>
      <c r="AO5" s="510"/>
      <c r="AP5" s="510"/>
      <c r="AQ5" s="1165">
        <v>0</v>
      </c>
    </row>
    <row customHeight="1" ht="23.25" hidden="1">
      <c r="A6" s="1373"/>
      <c r="B6" s="1373"/>
      <c r="C6" s="1373"/>
      <c r="D6" s="1373"/>
      <c r="E6" s="2269"/>
      <c r="F6" s="2269"/>
      <c r="G6" s="2269"/>
      <c r="H6" s="2269"/>
      <c r="I6" s="2296"/>
      <c r="J6" s="2266">
        <f>I5&amp;".1"</f>
      </c>
      <c r="K6" s="1373"/>
      <c r="L6" s="1374" t="s">
        <v>428</v>
      </c>
      <c r="P6" s="2267"/>
      <c r="Q6" s="2267">
        <v>1</v>
      </c>
      <c r="R6" s="367"/>
      <c r="S6" s="1467">
        <f>$J6</f>
      </c>
      <c r="T6" s="296" t="s">
        <v>429</v>
      </c>
      <c r="U6" s="310"/>
      <c r="V6" s="2255"/>
      <c r="W6" s="2256"/>
      <c r="X6" s="2256"/>
      <c r="Y6" s="2256"/>
      <c r="Z6" s="2256"/>
      <c r="AA6" s="2256"/>
      <c r="AB6" s="2257"/>
      <c r="AC6" s="2255"/>
      <c r="AD6" s="2256"/>
      <c r="AE6" s="2256"/>
      <c r="AF6" s="2256"/>
      <c r="AG6" s="2256"/>
      <c r="AH6" s="2256"/>
      <c r="AI6" s="2256"/>
      <c r="AJ6" s="2257"/>
      <c r="AK6" s="1317" t="s">
        <v>507</v>
      </c>
      <c r="AM6" s="510"/>
      <c r="AN6" s="510" t="str">
        <f>IF(T6="","",T6)</f>
        <v>Группа потребителей</v>
      </c>
      <c r="AO6" s="510"/>
      <c r="AP6" s="510"/>
      <c r="AQ6" s="1165">
        <v>0</v>
      </c>
    </row>
    <row customHeight="1" ht="23.25" hidden="1">
      <c r="A7" s="1373"/>
      <c r="B7" s="1373"/>
      <c r="C7" s="1373"/>
      <c r="D7" s="1373"/>
      <c r="E7" s="2269"/>
      <c r="F7" s="2269"/>
      <c r="G7" s="2269"/>
      <c r="H7" s="2269"/>
      <c r="I7" s="2296"/>
      <c r="J7" s="2296"/>
      <c r="K7" s="2266">
        <f>J6&amp;".1"</f>
      </c>
      <c r="L7" s="1374"/>
      <c r="P7" s="2267"/>
      <c r="Q7" s="2267"/>
      <c r="R7" s="367">
        <v>1</v>
      </c>
      <c r="S7" s="1467">
        <f>$K7</f>
      </c>
      <c r="T7" s="1447"/>
      <c r="U7" s="310"/>
      <c r="V7" s="761"/>
      <c r="W7" s="761"/>
      <c r="X7" s="1267"/>
      <c r="Y7" s="2275"/>
      <c r="Z7" s="2117" t="s">
        <v>66</v>
      </c>
      <c r="AA7" s="2275"/>
      <c r="AB7" s="2117" t="s">
        <v>66</v>
      </c>
      <c r="AC7" s="761"/>
      <c r="AD7" s="761"/>
      <c r="AE7" s="1267"/>
      <c r="AF7" s="2275"/>
      <c r="AG7" s="2117" t="s">
        <v>66</v>
      </c>
      <c r="AH7" s="2297"/>
      <c r="AI7" s="2117" t="s">
        <v>66</v>
      </c>
      <c r="AJ7" s="1448"/>
      <c r="AK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1">
        <f>STRCHECKDATE(V8:AJ8)</f>
      </c>
      <c r="AM7" s="510"/>
      <c r="AN7" s="510" t="str">
        <f>IF(T7="","",T7)</f>
        <v/>
      </c>
      <c r="AO7" s="510"/>
      <c r="AP7" s="510"/>
      <c r="AQ7" s="1165">
        <v>0</v>
      </c>
    </row>
    <row customHeight="1" ht="14.25" hidden="1">
      <c r="A8" s="1373"/>
      <c r="B8" s="1373"/>
      <c r="C8" s="1373"/>
      <c r="D8" s="1373"/>
      <c r="E8" s="2269"/>
      <c r="F8" s="2269"/>
      <c r="G8" s="2269"/>
      <c r="H8" s="2269"/>
      <c r="I8" s="2296"/>
      <c r="J8" s="2296"/>
      <c r="K8" s="2266"/>
      <c r="L8" s="1374"/>
      <c r="P8" s="2267"/>
      <c r="Q8" s="2267"/>
      <c r="R8" s="367"/>
      <c r="S8" s="1466"/>
      <c r="T8" s="310"/>
      <c r="U8" s="310"/>
      <c r="V8" s="335"/>
      <c r="W8" s="335"/>
      <c r="X8" s="338" t="str">
        <f>Y7&amp;"-"&amp;AA7</f>
        <v>-</v>
      </c>
      <c r="Y8" s="2276"/>
      <c r="Z8" s="2117"/>
      <c r="AA8" s="2276"/>
      <c r="AB8" s="2117"/>
      <c r="AC8" s="335"/>
      <c r="AD8" s="335"/>
      <c r="AE8" s="338" t="str">
        <f>AF7&amp;"-"&amp;AH7</f>
        <v>-</v>
      </c>
      <c r="AF8" s="2276"/>
      <c r="AG8" s="2117"/>
      <c r="AH8" s="2298"/>
      <c r="AI8" s="2117"/>
      <c r="AJ8" s="1449"/>
      <c r="AK8" s="2359"/>
      <c r="AM8" s="510"/>
      <c r="AN8" s="510" t="str">
        <f>IF(T8="","",T8)</f>
        <v/>
      </c>
      <c r="AO8" s="510"/>
      <c r="AP8" s="510"/>
      <c r="AQ8" s="1165">
        <v>0</v>
      </c>
    </row>
    <row customHeight="1" ht="21" hidden="1">
      <c r="A9" s="1373"/>
      <c r="B9" s="1373"/>
      <c r="C9" s="1373"/>
      <c r="D9" s="1373"/>
      <c r="E9" s="2269"/>
      <c r="F9" s="2269"/>
      <c r="G9" s="2269"/>
      <c r="H9" s="2269"/>
      <c r="I9" s="2296"/>
      <c r="J9" s="2266"/>
      <c r="K9" s="1373"/>
      <c r="L9" s="1374"/>
      <c r="P9" s="2267"/>
      <c r="Q9" s="2267"/>
      <c r="R9" s="366"/>
      <c r="S9" s="1288"/>
      <c r="T9" s="297" t="s">
        <v>508</v>
      </c>
      <c r="U9" s="377"/>
      <c r="V9" s="377"/>
      <c r="W9" s="377"/>
      <c r="X9" s="377"/>
      <c r="Y9" s="377"/>
      <c r="Z9" s="377"/>
      <c r="AA9" s="377"/>
      <c r="AB9" s="377"/>
      <c r="AC9" s="377"/>
      <c r="AD9" s="377"/>
      <c r="AE9" s="377"/>
      <c r="AF9" s="377"/>
      <c r="AG9" s="377"/>
      <c r="AH9" s="377"/>
      <c r="AI9" s="377"/>
      <c r="AJ9" s="377"/>
      <c r="AK9" s="1268" t="s">
        <v>509</v>
      </c>
      <c r="AM9" s="510"/>
      <c r="AN9" s="510" t="str">
        <f>IF(T9="","",T9)</f>
        <v>Добавить значение признака дифференциации</v>
      </c>
      <c r="AO9" s="510"/>
      <c r="AP9" s="510"/>
      <c r="AQ9" s="1165">
        <v>0</v>
      </c>
    </row>
    <row customHeight="1" ht="21" hidden="1">
      <c r="A10" s="1373"/>
      <c r="B10" s="1373"/>
      <c r="C10" s="1373"/>
      <c r="D10" s="1373"/>
      <c r="E10" s="2269"/>
      <c r="F10" s="2269"/>
      <c r="G10" s="2269"/>
      <c r="H10" s="2269"/>
      <c r="I10" s="2266"/>
      <c r="J10" s="1373"/>
      <c r="K10" s="1373"/>
      <c r="L10" s="1374"/>
      <c r="P10" s="2267"/>
      <c r="Q10" s="1460"/>
      <c r="R10" s="366"/>
      <c r="S10" s="1288"/>
      <c r="T10" s="375" t="s">
        <v>434</v>
      </c>
      <c r="U10" s="377"/>
      <c r="V10" s="377"/>
      <c r="W10" s="377"/>
      <c r="X10" s="377"/>
      <c r="Y10" s="377"/>
      <c r="Z10" s="377"/>
      <c r="AA10" s="377"/>
      <c r="AB10" s="376"/>
      <c r="AC10" s="377"/>
      <c r="AD10" s="377"/>
      <c r="AE10" s="377"/>
      <c r="AF10" s="377"/>
      <c r="AG10" s="377"/>
      <c r="AH10" s="377"/>
      <c r="AI10" s="376"/>
      <c r="AJ10" s="377"/>
      <c r="AK10" s="1450"/>
      <c r="AM10" s="510"/>
      <c r="AN10" s="510" t="str">
        <f>IF(T10="","",T10)</f>
        <v>Добавить группу потребителей</v>
      </c>
      <c r="AO10" s="510"/>
      <c r="AP10" s="510"/>
      <c r="AQ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510</v>
      </c>
      <c r="U11" s="377"/>
      <c r="V11" s="377"/>
      <c r="W11" s="377"/>
      <c r="X11" s="377"/>
      <c r="Y11" s="377"/>
      <c r="Z11" s="377"/>
      <c r="AA11" s="377"/>
      <c r="AB11" s="376"/>
      <c r="AC11" s="377"/>
      <c r="AD11" s="377"/>
      <c r="AE11" s="377"/>
      <c r="AF11" s="377"/>
      <c r="AG11" s="377"/>
      <c r="AH11" s="377"/>
      <c r="AI11" s="376"/>
      <c r="AJ11" s="377"/>
      <c r="AK11" s="313"/>
      <c r="AM11" s="510"/>
      <c r="AN11" s="510" t="str">
        <f>IF(T11="","",T11)</f>
        <v>Добавить наименование признака дифференциации</v>
      </c>
      <c r="AO11" s="510"/>
      <c r="AP11" s="510"/>
      <c r="AQ11" s="1165">
        <v>0</v>
      </c>
    </row>
    <row s="1652" customFormat="1" customHeight="1" ht="14.25" hidden="1">
      <c r="A12" s="1353"/>
      <c r="B12" s="1353"/>
      <c r="C12" s="1324"/>
      <c r="D12" s="1324"/>
      <c r="E12" s="2269"/>
      <c r="F12" s="2268"/>
      <c r="G12" s="1324"/>
      <c r="H12" s="1324"/>
      <c r="I12" s="1324"/>
      <c r="J12" s="1324"/>
      <c r="K12" s="1324"/>
      <c r="L12" s="1468"/>
      <c r="M12" s="1331"/>
      <c r="N12" s="1331"/>
      <c r="P12" s="1326"/>
      <c r="Q12" s="1327"/>
      <c r="R12" s="1326"/>
      <c r="S12" s="1332"/>
      <c r="T12" s="1335" t="s">
        <v>437</v>
      </c>
      <c r="U12" s="1334"/>
      <c r="V12" s="1334"/>
      <c r="W12" s="1334"/>
      <c r="X12" s="1334"/>
      <c r="Y12" s="1334"/>
      <c r="Z12" s="1334"/>
      <c r="AA12" s="1334"/>
      <c r="AB12" s="1334"/>
      <c r="AC12" s="1334"/>
      <c r="AD12" s="1334"/>
      <c r="AE12" s="1334"/>
      <c r="AF12" s="1334"/>
      <c r="AG12" s="1334"/>
      <c r="AH12" s="1334"/>
      <c r="AI12" s="1334"/>
      <c r="AJ12" s="1334"/>
      <c r="AK12" s="1334"/>
      <c r="AM12" s="799"/>
      <c r="AN12" s="799" t="str">
        <f>IF(T12="","",T12)</f>
        <v>Добавить централизованную систему для дифференциации</v>
      </c>
      <c r="AO12" s="799"/>
      <c r="AP12" s="799"/>
      <c r="AQ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438</v>
      </c>
      <c r="U13" s="1334"/>
      <c r="V13" s="1334"/>
      <c r="W13" s="1334"/>
      <c r="X13" s="1334"/>
      <c r="Y13" s="1334"/>
      <c r="Z13" s="1334"/>
      <c r="AA13" s="1334"/>
      <c r="AB13" s="1334"/>
      <c r="AC13" s="1334"/>
      <c r="AD13" s="1334"/>
      <c r="AE13" s="1334"/>
      <c r="AF13" s="1334"/>
      <c r="AG13" s="1334"/>
      <c r="AH13" s="1334"/>
      <c r="AI13" s="1334"/>
      <c r="AJ13" s="1334"/>
      <c r="AK13" s="1334"/>
      <c r="AM13" s="510"/>
      <c r="AN13" s="510" t="str">
        <f>IF(T13="","",T13)</f>
        <v>Добавить территорию для дифференциации</v>
      </c>
      <c r="AO13" s="510"/>
      <c r="AP13" s="510"/>
      <c r="AQ13" s="521">
        <v>0</v>
      </c>
    </row>
    <row customHeight="1" ht="14.25" hidden="1">
      <c r="AB14" s="337"/>
      <c r="AI14" s="337"/>
      <c r="AQ14" s="1165">
        <v>0</v>
      </c>
    </row>
    <row customHeight="1" ht="14.25" hidden="1">
      <c r="AC15" s="1370"/>
      <c r="AD15" s="1370"/>
      <c r="AE15" s="1371"/>
      <c r="AF15" s="2277"/>
      <c r="AG15" s="2278" t="s">
        <v>66</v>
      </c>
      <c r="AH15" s="2277"/>
      <c r="AI15" s="2278" t="s">
        <v>66</v>
      </c>
      <c r="AQ15" s="1165">
        <v>0</v>
      </c>
    </row>
    <row customHeight="1" ht="14.25" hidden="1">
      <c r="AC16" s="1370"/>
      <c r="AD16" s="1370"/>
      <c r="AE16" s="338" t="str">
        <f>AF15&amp;"-"&amp;AH15</f>
        <v>-</v>
      </c>
      <c r="AF16" s="2278"/>
      <c r="AG16" s="2278"/>
      <c r="AH16" s="2278"/>
      <c r="AI16" s="2278"/>
      <c r="AQ16" s="1165">
        <v>0</v>
      </c>
    </row>
    <row customHeight="1" ht="14.25" hidden="1">
      <c r="AI17" s="337"/>
      <c r="AQ17" s="1165">
        <v>0</v>
      </c>
    </row>
    <row s="1376" customFormat="1" customHeight="1" ht="22.5" hidden="1">
      <c r="L18" s="1457"/>
      <c r="M18" s="1372"/>
      <c r="N18" s="1372"/>
      <c r="O18" s="1377" t="s">
        <v>439</v>
      </c>
      <c r="P18" s="1372"/>
      <c r="Q18" s="1381"/>
      <c r="R18" s="1381"/>
      <c r="S18" s="739"/>
      <c r="Y18" s="1377"/>
      <c r="AA18" s="1377"/>
      <c r="AB18" s="1376"/>
      <c r="AF18" s="1377"/>
      <c r="AH18" s="1377"/>
      <c r="AI18" s="1376"/>
      <c r="AL18" s="521"/>
      <c r="AM18" s="521"/>
      <c r="AN18" s="521"/>
      <c r="AO18" s="521"/>
      <c r="AP18" s="521"/>
      <c r="AQ18" s="1170">
        <v>0</v>
      </c>
    </row>
    <row s="1376" customFormat="1" customHeight="1" ht="14.25" hidden="1">
      <c r="L19" s="1457"/>
      <c r="M19" s="1372"/>
      <c r="N19" s="1372"/>
      <c r="O19" s="1372"/>
      <c r="P19" s="1372"/>
      <c r="Q19" s="1381"/>
      <c r="R19" s="1381"/>
      <c r="S19" s="739"/>
      <c r="AB19" s="1376"/>
      <c r="AI19" s="1376"/>
      <c r="AL19" s="521"/>
      <c r="AM19" s="521"/>
      <c r="AN19" s="521"/>
      <c r="AO19" s="521"/>
      <c r="AP19" s="521"/>
      <c r="AQ19" s="1170">
        <v>0</v>
      </c>
    </row>
    <row s="1376" customFormat="1" customHeight="1" ht="12" hidden="1">
      <c r="L20" s="1457"/>
      <c r="M20" s="1372"/>
      <c r="N20" s="1372"/>
      <c r="O20" s="1374" t="s">
        <v>440</v>
      </c>
      <c r="P20" s="1372"/>
      <c r="Q20" s="1452"/>
      <c r="R20" s="1452"/>
      <c r="S20" s="739"/>
      <c r="T20" s="1170" t="s">
        <v>441</v>
      </c>
      <c r="Z20" s="196" t="s">
        <v>442</v>
      </c>
      <c r="AB20" s="196" t="s">
        <v>443</v>
      </c>
      <c r="AC20" s="1170" t="s">
        <v>441</v>
      </c>
      <c r="AG20" s="196" t="s">
        <v>444</v>
      </c>
      <c r="AI20" s="196" t="s">
        <v>443</v>
      </c>
      <c r="AQ20" s="1170">
        <v>0</v>
      </c>
    </row>
    <row customHeight="1" ht="14.25" hidden="1">
      <c r="O21" s="1374"/>
      <c r="AQ21" s="1165">
        <v>0</v>
      </c>
    </row>
    <row customHeight="1" ht="14.25" hidden="1">
      <c r="O22" s="1374"/>
      <c r="AQ22" s="1165">
        <v>0</v>
      </c>
    </row>
    <row customHeight="1" ht="14.699999999999998">
      <c r="Q23" s="386"/>
      <c r="R23" s="386"/>
      <c r="S23" s="1285"/>
      <c r="T23" s="373"/>
      <c r="U23" s="373"/>
      <c r="V23" s="519"/>
      <c r="W23" s="519"/>
      <c r="X23" s="519"/>
      <c r="Y23" s="519"/>
      <c r="Z23" s="519"/>
      <c r="AA23" s="519"/>
      <c r="AB23" s="519"/>
      <c r="AC23" s="519"/>
      <c r="AD23" s="519"/>
      <c r="AE23" s="519"/>
      <c r="AF23" s="519"/>
      <c r="AG23" s="519"/>
      <c r="AH23" s="519"/>
      <c r="AI23" s="519"/>
      <c r="AQ23" s="1165">
        <v>14</v>
      </c>
    </row>
    <row customHeight="1" ht="14.699999999999998">
      <c r="Q24" s="386"/>
      <c r="R24" s="386"/>
      <c r="S24" s="225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8"/>
      <c r="U24" s="2258"/>
      <c r="V24" s="2258"/>
      <c r="W24" s="2258"/>
      <c r="X24" s="2258"/>
      <c r="Y24" s="2258"/>
      <c r="Z24" s="2258"/>
      <c r="AA24" s="2258"/>
      <c r="AB24" s="2258"/>
      <c r="AC24" s="2258"/>
      <c r="AD24" s="2258"/>
      <c r="AE24" s="2258"/>
      <c r="AF24" s="2258"/>
      <c r="AG24" s="2258"/>
      <c r="AH24" s="2258"/>
      <c r="AI24" s="1253"/>
      <c r="AQ24" s="1165">
        <v>14</v>
      </c>
    </row>
    <row customHeight="1" ht="14.699999999999998">
      <c r="Q25" s="386"/>
      <c r="R25" s="386"/>
      <c r="S25" s="2259" t="str">
        <f>IF(org=0,"Не определено",org)</f>
        <v>АО «ДГК» СП «Нерюнгринская ГРЭС»</v>
      </c>
      <c r="T25" s="2259"/>
      <c r="U25" s="2259"/>
      <c r="V25" s="2259"/>
      <c r="W25" s="2259"/>
      <c r="X25" s="2259"/>
      <c r="Y25" s="2259"/>
      <c r="Z25" s="2259"/>
      <c r="AA25" s="2259"/>
      <c r="AB25" s="2259"/>
      <c r="AC25" s="2259"/>
      <c r="AD25" s="2259"/>
      <c r="AE25" s="2259"/>
      <c r="AF25" s="2259"/>
      <c r="AG25" s="2259"/>
      <c r="AH25" s="2259"/>
      <c r="AI25" s="1253"/>
      <c r="AQ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519"/>
      <c r="AQ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336"/>
      <c r="AC27" s="2261" t="str">
        <f>IF(TITLE_NAME_OR_PR_CHANGE="",IF(TITLE_NAME_OR_PR="","",TITLE_NAME_OR_PR),TITLE_NAME_OR_PR_CHANGE)</f>
        <v/>
      </c>
      <c r="AD27" s="2261"/>
      <c r="AE27" s="2261"/>
      <c r="AF27" s="2261"/>
      <c r="AG27" s="2261"/>
      <c r="AH27" s="2261"/>
      <c r="AI27" s="336"/>
      <c r="AJ27" s="336"/>
      <c r="AK27" s="290"/>
      <c r="AL27" s="378"/>
      <c r="AM27" s="378"/>
      <c r="AN27" s="378"/>
      <c r="AO27" s="378"/>
      <c r="AP27" s="378"/>
      <c r="AQ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445</v>
      </c>
      <c r="T28" s="2260"/>
      <c r="U28" s="1382"/>
      <c r="V28" s="2274" t="str">
        <f>IF(TITLE_DATE_PR_CHANGE="",IF(TITLE_DATE_PR="","",TITLE_DATE_PR),TITLE_DATE_PR_CHANGE)</f>
        <v/>
      </c>
      <c r="W28" s="2274"/>
      <c r="X28" s="2274"/>
      <c r="Y28" s="2274"/>
      <c r="Z28" s="2274"/>
      <c r="AA28" s="2274"/>
      <c r="AB28" s="336"/>
      <c r="AC28" s="2274" t="str">
        <f>IF(TITLE_DATE_PR_CHANGE="",IF(TITLE_DATE_PR="","",TITLE_DATE_PR),TITLE_DATE_PR_CHANGE)</f>
        <v/>
      </c>
      <c r="AD28" s="2274"/>
      <c r="AE28" s="2274"/>
      <c r="AF28" s="2274"/>
      <c r="AG28" s="2274"/>
      <c r="AH28" s="2274"/>
      <c r="AI28" s="336"/>
      <c r="AJ28" s="336"/>
      <c r="AK28" s="290"/>
      <c r="AL28" s="378"/>
      <c r="AM28" s="378"/>
      <c r="AN28" s="378"/>
      <c r="AO28" s="378"/>
      <c r="AP28" s="378"/>
      <c r="AQ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446</v>
      </c>
      <c r="T29" s="2260"/>
      <c r="U29" s="1382"/>
      <c r="V29" s="2261" t="str">
        <f>IF(TITLE_NUMBER_PR_CHANGE="",IF(TITLE_NUMBER_PR="","",TITLE_NUMBER_PR),TITLE_NUMBER_PR_CHANGE)</f>
        <v/>
      </c>
      <c r="W29" s="2261"/>
      <c r="X29" s="2261"/>
      <c r="Y29" s="2261"/>
      <c r="Z29" s="2261"/>
      <c r="AA29" s="2261"/>
      <c r="AB29" s="336"/>
      <c r="AC29" s="2261" t="str">
        <f>IF(TITLE_NUMBER_PR_CHANGE="",IF(TITLE_NUMBER_PR="","",TITLE_NUMBER_PR),TITLE_NUMBER_PR_CHANGE)</f>
        <v/>
      </c>
      <c r="AD29" s="2261"/>
      <c r="AE29" s="2261"/>
      <c r="AF29" s="2261"/>
      <c r="AG29" s="2261"/>
      <c r="AH29" s="2261"/>
      <c r="AI29" s="336"/>
      <c r="AJ29" s="336"/>
      <c r="AK29" s="290"/>
      <c r="AL29" s="378"/>
      <c r="AM29" s="378"/>
      <c r="AN29" s="378"/>
      <c r="AO29" s="378"/>
      <c r="AP29" s="378"/>
      <c r="AQ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336"/>
      <c r="AC30" s="2261" t="str">
        <f>IF(TITLE_IST_PUB_CHANGE="",IF(TITLE_IST_PUB="","",TITLE_IST_PUB),TITLE_IST_PUB_CHANGE)</f>
        <v/>
      </c>
      <c r="AD30" s="2261"/>
      <c r="AE30" s="2261"/>
      <c r="AF30" s="2261"/>
      <c r="AG30" s="2261"/>
      <c r="AH30" s="2261"/>
      <c r="AI30" s="336"/>
      <c r="AJ30" s="336"/>
      <c r="AK30" s="290"/>
      <c r="AL30" s="378"/>
      <c r="AM30" s="378"/>
      <c r="AN30" s="378"/>
      <c r="AO30" s="378"/>
      <c r="AP30" s="378"/>
      <c r="AQ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519"/>
      <c r="AQ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447</v>
      </c>
      <c r="T32" s="2260"/>
      <c r="U32" s="1382"/>
      <c r="V32" s="2274" t="str">
        <f>IF(TITLE_DATE_PR_CHANGE="",IF(TITLE_DATE_PR="","",TITLE_DATE_PR),TITLE_DATE_PR_CHANGE)</f>
        <v/>
      </c>
      <c r="W32" s="2274"/>
      <c r="X32" s="2274"/>
      <c r="Y32" s="2274"/>
      <c r="Z32" s="2274"/>
      <c r="AA32" s="2274"/>
      <c r="AB32" s="336"/>
      <c r="AC32" s="2274" t="str">
        <f>IF(TITLE_DATE_PR_CHANGE="",IF(TITLE_DATE_PR="","",TITLE_DATE_PR),TITLE_DATE_PR_CHANGE)</f>
        <v/>
      </c>
      <c r="AD32" s="2274"/>
      <c r="AE32" s="2274"/>
      <c r="AF32" s="2274"/>
      <c r="AG32" s="2274"/>
      <c r="AH32" s="2274"/>
      <c r="AI32" s="336"/>
      <c r="AJ32" s="336"/>
      <c r="AK32" s="290"/>
      <c r="AL32" s="378"/>
      <c r="AM32" s="378"/>
      <c r="AN32" s="378"/>
      <c r="AO32" s="378"/>
      <c r="AP32" s="378"/>
      <c r="AQ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448</v>
      </c>
      <c r="T33" s="2260"/>
      <c r="U33" s="1382"/>
      <c r="V33" s="2261" t="str">
        <f>IF(TITLE_NUMBER_PR_CHANGE="",IF(TITLE_NUMBER_PR="","",TITLE_NUMBER_PR),TITLE_NUMBER_PR_CHANGE)</f>
        <v/>
      </c>
      <c r="W33" s="2261"/>
      <c r="X33" s="2261"/>
      <c r="Y33" s="2261"/>
      <c r="Z33" s="2261"/>
      <c r="AA33" s="2261"/>
      <c r="AB33" s="336"/>
      <c r="AC33" s="2261" t="str">
        <f>IF(TITLE_NUMBER_PR_CHANGE="",IF(TITLE_NUMBER_PR="","",TITLE_NUMBER_PR),TITLE_NUMBER_PR_CHANGE)</f>
        <v/>
      </c>
      <c r="AD33" s="2261"/>
      <c r="AE33" s="2261"/>
      <c r="AF33" s="2261"/>
      <c r="AG33" s="2261"/>
      <c r="AH33" s="2261"/>
      <c r="AI33" s="336"/>
      <c r="AJ33" s="336"/>
      <c r="AK33" s="290"/>
      <c r="AL33" s="378"/>
      <c r="AM33" s="378"/>
      <c r="AN33" s="378"/>
      <c r="AO33" s="378"/>
      <c r="AP33" s="378"/>
      <c r="AQ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64"/>
      <c r="V34" s="336"/>
      <c r="W34" s="336"/>
      <c r="X34" s="336"/>
      <c r="Y34" s="336"/>
      <c r="Z34" s="336"/>
      <c r="AA34" s="336"/>
      <c r="AB34" s="288" t="s">
        <v>449</v>
      </c>
      <c r="AC34" s="336"/>
      <c r="AD34" s="336"/>
      <c r="AE34" s="336"/>
      <c r="AF34" s="336"/>
      <c r="AG34" s="336"/>
      <c r="AH34" s="336"/>
      <c r="AI34" s="288" t="s">
        <v>449</v>
      </c>
      <c r="AL34" s="378"/>
      <c r="AM34" s="378"/>
      <c r="AN34" s="378"/>
      <c r="AO34" s="378"/>
      <c r="AP34" s="378"/>
      <c r="AQ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Q35" s="1165">
        <v>14</v>
      </c>
    </row>
    <row customHeight="1" ht="14.699999999999998">
      <c r="Q36" s="386"/>
      <c r="R36" s="386"/>
      <c r="S36" s="2137" t="s">
        <v>322</v>
      </c>
      <c r="T36" s="2137"/>
      <c r="U36" s="2137"/>
      <c r="V36" s="2137"/>
      <c r="W36" s="2137"/>
      <c r="X36" s="2137"/>
      <c r="Y36" s="2137"/>
      <c r="Z36" s="2137"/>
      <c r="AA36" s="2137"/>
      <c r="AB36" s="2137"/>
      <c r="AC36" s="2137"/>
      <c r="AD36" s="2137"/>
      <c r="AE36" s="2137"/>
      <c r="AF36" s="2137"/>
      <c r="AG36" s="2137"/>
      <c r="AH36" s="2137"/>
      <c r="AI36" s="2137"/>
      <c r="AJ36" s="2137"/>
      <c r="AK36" s="2137" t="s">
        <v>323</v>
      </c>
      <c r="AQ36" s="1165">
        <v>14</v>
      </c>
    </row>
    <row customHeight="1" ht="14.699999999999998">
      <c r="Q37" s="386"/>
      <c r="R37" s="386"/>
      <c r="S37" s="2283" t="s">
        <v>88</v>
      </c>
      <c r="T37" s="2219" t="s">
        <v>450</v>
      </c>
      <c r="U37" s="311"/>
      <c r="V37" s="2284" t="s">
        <v>451</v>
      </c>
      <c r="W37" s="2285"/>
      <c r="X37" s="2285"/>
      <c r="Y37" s="2285"/>
      <c r="Z37" s="2285"/>
      <c r="AA37" s="2286"/>
      <c r="AB37" s="2287" t="s">
        <v>452</v>
      </c>
      <c r="AC37" s="2284" t="s">
        <v>451</v>
      </c>
      <c r="AD37" s="2285"/>
      <c r="AE37" s="2285"/>
      <c r="AF37" s="2285"/>
      <c r="AG37" s="2285"/>
      <c r="AH37" s="2286"/>
      <c r="AI37" s="2287" t="s">
        <v>453</v>
      </c>
      <c r="AJ37" s="2290" t="s">
        <v>454</v>
      </c>
      <c r="AK37" s="2137"/>
      <c r="AQ37" s="1165">
        <v>14</v>
      </c>
    </row>
    <row customHeight="1" ht="35.699999999999996">
      <c r="Q38" s="386"/>
      <c r="R38" s="386"/>
      <c r="S38" s="2283"/>
      <c r="T38" s="2219"/>
      <c r="U38" s="1041"/>
      <c r="V38" s="1462" t="s">
        <v>511</v>
      </c>
      <c r="W38" s="2272" t="s">
        <v>457</v>
      </c>
      <c r="X38" s="2273"/>
      <c r="Y38" s="2272" t="s">
        <v>458</v>
      </c>
      <c r="Z38" s="2279"/>
      <c r="AA38" s="2273"/>
      <c r="AB38" s="2288"/>
      <c r="AC38" s="1462" t="s">
        <v>511</v>
      </c>
      <c r="AD38" s="2272" t="s">
        <v>457</v>
      </c>
      <c r="AE38" s="2273"/>
      <c r="AF38" s="2272" t="s">
        <v>458</v>
      </c>
      <c r="AG38" s="2279"/>
      <c r="AH38" s="2273"/>
      <c r="AI38" s="2288"/>
      <c r="AJ38" s="2291"/>
      <c r="AK38" s="2137"/>
      <c r="AQ38" s="1165">
        <v>34</v>
      </c>
    </row>
    <row customHeight="1" ht="35.699999999999996">
      <c r="A39" s="1380"/>
      <c r="B39" s="1380" t="s">
        <v>159</v>
      </c>
      <c r="C39" s="1380" t="s">
        <v>160</v>
      </c>
      <c r="D39" s="1380" t="s">
        <v>161</v>
      </c>
      <c r="E39" s="1374" t="s">
        <v>459</v>
      </c>
      <c r="F39" s="1374" t="s">
        <v>460</v>
      </c>
      <c r="G39" s="1374" t="s">
        <v>461</v>
      </c>
      <c r="H39" s="1374"/>
      <c r="I39" s="1374" t="s">
        <v>512</v>
      </c>
      <c r="J39" s="1374" t="s">
        <v>464</v>
      </c>
      <c r="K39" s="1374" t="s">
        <v>513</v>
      </c>
      <c r="L39" s="1374" t="s">
        <v>440</v>
      </c>
      <c r="Q39" s="386"/>
      <c r="R39" s="386"/>
      <c r="S39" s="2283"/>
      <c r="T39" s="2219"/>
      <c r="U39" s="312"/>
      <c r="V39" s="1462" t="s">
        <v>514</v>
      </c>
      <c r="W39" s="1232" t="s">
        <v>515</v>
      </c>
      <c r="X39" s="1232" t="s">
        <v>516</v>
      </c>
      <c r="Y39" s="1465" t="s">
        <v>468</v>
      </c>
      <c r="Z39" s="2280" t="s">
        <v>469</v>
      </c>
      <c r="AA39" s="2281"/>
      <c r="AB39" s="2289"/>
      <c r="AC39" s="1462" t="s">
        <v>514</v>
      </c>
      <c r="AD39" s="1232" t="s">
        <v>515</v>
      </c>
      <c r="AE39" s="1232" t="s">
        <v>516</v>
      </c>
      <c r="AF39" s="1465" t="s">
        <v>468</v>
      </c>
      <c r="AG39" s="2280" t="s">
        <v>469</v>
      </c>
      <c r="AH39" s="2281"/>
      <c r="AI39" s="2289"/>
      <c r="AJ39" s="2292"/>
      <c r="AK39" s="2137"/>
      <c r="AQ39" s="1165">
        <v>34</v>
      </c>
    </row>
    <row s="1651" customFormat="1" customHeight="1" ht="0">
      <c r="A40" s="1380"/>
      <c r="B40" s="1380"/>
      <c r="C40" s="1380"/>
      <c r="D40" s="1380"/>
      <c r="E40" s="1380"/>
      <c r="F40" s="1380"/>
      <c r="G40" s="1380"/>
      <c r="H40" s="1380"/>
      <c r="I40" s="1380"/>
      <c r="J40" s="1380"/>
      <c r="K40" s="1380"/>
      <c r="L40" s="1374"/>
      <c r="M40" s="1372"/>
      <c r="N40" s="1372"/>
      <c r="O40" s="1372"/>
      <c r="P40" s="1256"/>
      <c r="Q40" s="1257"/>
      <c r="R40" s="1264">
        <v>1</v>
      </c>
      <c r="S40" s="1287" t="s">
        <v>124</v>
      </c>
      <c r="T40" s="1265" t="s">
        <v>104</v>
      </c>
      <c r="U40" s="1255" t="str">
        <f>OFFSET(U40,0,-1)</f>
        <v>2</v>
      </c>
      <c r="V40" s="1461">
        <f>OFFSET(V40,0,-1)+1</f>
        <v>3</v>
      </c>
      <c r="W40" s="1461">
        <f>OFFSET(W40,0,-1)+1</f>
        <v>4</v>
      </c>
      <c r="X40" s="1461">
        <f>OFFSET(X40,0,-1)+1</f>
        <v>5</v>
      </c>
      <c r="Y40" s="1461">
        <f>OFFSET(Y40,0,-1)+1</f>
        <v>6</v>
      </c>
      <c r="Z40" s="2282">
        <f>OFFSET(Z40,0,-1)+1</f>
        <v>7</v>
      </c>
      <c r="AA40" s="2282"/>
      <c r="AB40" s="1461">
        <f>OFFSET(AB40,0,-2)+1</f>
        <v>8</v>
      </c>
      <c r="AC40" s="1461">
        <f>OFFSET(AC40,0,-1)+1</f>
        <v>9</v>
      </c>
      <c r="AD40" s="1461">
        <f>OFFSET(AD40,0,-1)+1</f>
        <v>10</v>
      </c>
      <c r="AE40" s="1461">
        <f>OFFSET(AE40,0,-1)+1</f>
        <v>11</v>
      </c>
      <c r="AF40" s="1461">
        <f>OFFSET(AF40,0,-1)+1</f>
        <v>12</v>
      </c>
      <c r="AG40" s="2282">
        <f>OFFSET(AG40,0,-1)+1</f>
        <v>13</v>
      </c>
      <c r="AH40" s="2282"/>
      <c r="AI40" s="1461">
        <f>OFFSET(AI40,0,-2)+1</f>
        <v>14</v>
      </c>
      <c r="AJ40" s="1255">
        <f>OFFSET(AJ40,0,-1)</f>
        <v>14</v>
      </c>
      <c r="AK40" s="1461">
        <f>OFFSET(AK40,0,-1)+1</f>
        <v>15</v>
      </c>
      <c r="AL40" s="521"/>
      <c r="AM40" s="521"/>
      <c r="AN40" s="521"/>
      <c r="AO40" s="521"/>
      <c r="AP40" s="521"/>
      <c r="AQ40" s="506">
        <v>0</v>
      </c>
    </row>
    <row customHeight="1" ht="24">
      <c r="A41" s="1373" t="s">
        <v>258</v>
      </c>
      <c r="B41" s="1373"/>
      <c r="C41" s="1373"/>
      <c r="D41" s="1373"/>
      <c r="E41" s="2268">
        <v>1</v>
      </c>
      <c r="F41" s="1373"/>
      <c r="G41" s="1373"/>
      <c r="H41" s="1373"/>
      <c r="I41" s="1373"/>
      <c r="J41" s="1373"/>
      <c r="K41" s="1373"/>
      <c r="L41" s="1374"/>
      <c r="M41" s="1375"/>
      <c r="N41" s="1375"/>
      <c r="O41" s="1375"/>
      <c r="P41" s="371"/>
      <c r="Q41" s="370"/>
      <c r="R41" s="365"/>
      <c r="S41" s="1467">
        <f>INDEX(PT_DIFFERENTIATION_NUM_NTAR,MATCH(A41,PT_DIFFERENTIATION_NTAR_ID,0))</f>
        <v>0</v>
      </c>
      <c r="T41" s="308" t="s">
        <v>147</v>
      </c>
      <c r="U41" s="310"/>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0"/>
      <c r="AN41" s="510" t="str">
        <f>IF(T41="","",T41)</f>
        <v>Наименование тарифа</v>
      </c>
      <c r="AO41" s="510"/>
      <c r="AP41" s="510"/>
      <c r="AQ41" s="1165">
        <v>23</v>
      </c>
    </row>
    <row customHeight="1" ht="24">
      <c r="A42" s="1373" t="s">
        <v>258</v>
      </c>
      <c r="B42" s="1373" t="s">
        <v>259</v>
      </c>
      <c r="C42" s="1373"/>
      <c r="D42" s="1373"/>
      <c r="E42" s="2269"/>
      <c r="F42" s="2268">
        <v>1</v>
      </c>
      <c r="G42" s="1373"/>
      <c r="H42" s="1373"/>
      <c r="I42" s="1373"/>
      <c r="J42" s="1373"/>
      <c r="K42" s="1373"/>
      <c r="L42" s="1374"/>
      <c r="M42" s="1375"/>
      <c r="N42" s="1375"/>
      <c r="O42" s="1375"/>
      <c r="P42" s="1463"/>
      <c r="Q42" s="362"/>
      <c r="R42" s="363"/>
      <c r="S42" s="1467" t="str">
        <f>INDEX(PT_DIFFERENTIATION_NUM_TER,MATCH(B42,PT_DIFFERENTIATION_TER_ID,0))</f>
        <v>.</v>
      </c>
      <c r="T42" s="318" t="s">
        <v>419</v>
      </c>
      <c r="U42" s="310"/>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268" t="s">
        <v>420</v>
      </c>
      <c r="AM42" s="510"/>
      <c r="AN42" s="510" t="str">
        <f>IF(T42="","",T42)</f>
        <v>Территория действия тарифа</v>
      </c>
      <c r="AO42" s="510"/>
      <c r="AP42" s="510"/>
      <c r="AQ42" s="1165">
        <v>23</v>
      </c>
    </row>
    <row customHeight="1" ht="24">
      <c r="A43" s="1373" t="s">
        <v>258</v>
      </c>
      <c r="B43" s="1373" t="s">
        <v>259</v>
      </c>
      <c r="C43" s="1373" t="s">
        <v>260</v>
      </c>
      <c r="D43" s="1373"/>
      <c r="E43" s="2269"/>
      <c r="F43" s="2269"/>
      <c r="G43" s="2268">
        <v>1</v>
      </c>
      <c r="H43" s="1373"/>
      <c r="I43" s="1373"/>
      <c r="J43" s="1373"/>
      <c r="K43" s="1373"/>
      <c r="L43" s="1374"/>
      <c r="M43" s="1375"/>
      <c r="N43" s="1375"/>
      <c r="O43" s="1375"/>
      <c r="P43" s="364"/>
      <c r="Q43" s="362"/>
      <c r="R43" s="363"/>
      <c r="S43" s="1467" t="str">
        <f>INDEX(PT_DIFFERENTIATION_NUM_CS,MATCH(C43,PT_DIFFERENTIATION_CS_ID,0))</f>
        <v>..</v>
      </c>
      <c r="T43" s="319" t="s">
        <v>503</v>
      </c>
      <c r="U43" s="310"/>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268" t="s">
        <v>504</v>
      </c>
      <c r="AM43" s="510"/>
      <c r="AN43" s="510" t="str">
        <f>IF(T43="","",T43)</f>
        <v>Наименование централизованной системы холодного водоснабжения</v>
      </c>
      <c r="AO43" s="510"/>
      <c r="AP43" s="510"/>
      <c r="AQ43" s="1165">
        <v>23</v>
      </c>
    </row>
    <row customHeight="1" ht="24">
      <c r="A44" s="1373" t="s">
        <v>258</v>
      </c>
      <c r="B44" s="1373" t="s">
        <v>259</v>
      </c>
      <c r="C44" s="1373" t="s">
        <v>260</v>
      </c>
      <c r="D44" s="1373" t="s">
        <v>519</v>
      </c>
      <c r="E44" s="2269"/>
      <c r="F44" s="2269"/>
      <c r="G44" s="2269"/>
      <c r="H44" s="2269"/>
      <c r="I44" s="2266" t="str">
        <f>S43&amp;".1"</f>
        <v>...1</v>
      </c>
      <c r="J44" s="1373"/>
      <c r="K44" s="1373"/>
      <c r="L44" s="1374"/>
      <c r="P44" s="2267">
        <v>1</v>
      </c>
      <c r="Q44" s="1460"/>
      <c r="R44" s="366"/>
      <c r="S44" s="1467" t="str">
        <f>$I44</f>
        <v>...1</v>
      </c>
      <c r="T44" s="295" t="s">
        <v>505</v>
      </c>
      <c r="U44" s="310"/>
      <c r="V44" s="2360"/>
      <c r="W44" s="2361"/>
      <c r="X44" s="2361"/>
      <c r="Y44" s="2361"/>
      <c r="Z44" s="2361"/>
      <c r="AA44" s="2361"/>
      <c r="AB44" s="2362"/>
      <c r="AC44" s="2363"/>
      <c r="AD44" s="2364"/>
      <c r="AE44" s="2364"/>
      <c r="AF44" s="2364"/>
      <c r="AG44" s="2364"/>
      <c r="AH44" s="2364"/>
      <c r="AI44" s="2364"/>
      <c r="AJ44" s="2365"/>
      <c r="AK44" s="1268" t="s">
        <v>506</v>
      </c>
      <c r="AM44" s="510"/>
      <c r="AN44" s="510" t="str">
        <f>IF(T44="","",T44)</f>
        <v>Наименование признака дифференциации</v>
      </c>
      <c r="AO44" s="510"/>
      <c r="AP44" s="510"/>
      <c r="AQ44" s="1165">
        <v>23</v>
      </c>
    </row>
    <row customHeight="1" ht="24">
      <c r="A45" s="1373" t="s">
        <v>258</v>
      </c>
      <c r="B45" s="1373" t="s">
        <v>259</v>
      </c>
      <c r="C45" s="1373" t="s">
        <v>260</v>
      </c>
      <c r="D45" s="1373" t="s">
        <v>519</v>
      </c>
      <c r="E45" s="2269"/>
      <c r="F45" s="2269"/>
      <c r="G45" s="2269"/>
      <c r="H45" s="2269"/>
      <c r="I45" s="2296"/>
      <c r="J45" s="2266" t="str">
        <f>I44&amp;".1"</f>
        <v>...1.1</v>
      </c>
      <c r="K45" s="1373"/>
      <c r="L45" s="1374" t="s">
        <v>428</v>
      </c>
      <c r="P45" s="2267"/>
      <c r="Q45" s="2267">
        <v>1</v>
      </c>
      <c r="R45" s="367"/>
      <c r="S45" s="1467" t="str">
        <f>$J45</f>
        <v>...1.1</v>
      </c>
      <c r="T45" s="296" t="s">
        <v>429</v>
      </c>
      <c r="U45" s="310"/>
      <c r="V45" s="2255"/>
      <c r="W45" s="2256"/>
      <c r="X45" s="2256"/>
      <c r="Y45" s="2256"/>
      <c r="Z45" s="2256"/>
      <c r="AA45" s="2256"/>
      <c r="AB45" s="2257"/>
      <c r="AC45" s="2255"/>
      <c r="AD45" s="2256"/>
      <c r="AE45" s="2256"/>
      <c r="AF45" s="2256"/>
      <c r="AG45" s="2256"/>
      <c r="AH45" s="2256"/>
      <c r="AI45" s="2256"/>
      <c r="AJ45" s="2257"/>
      <c r="AK45" s="1317" t="s">
        <v>507</v>
      </c>
      <c r="AM45" s="510"/>
      <c r="AN45" s="510" t="str">
        <f>IF(T45="","",T45)</f>
        <v>Группа потребителей</v>
      </c>
      <c r="AO45" s="510"/>
      <c r="AP45" s="510"/>
      <c r="AQ45" s="1165">
        <v>23</v>
      </c>
    </row>
    <row customHeight="1" ht="24">
      <c r="A46" s="1373" t="s">
        <v>258</v>
      </c>
      <c r="B46" s="1373" t="s">
        <v>259</v>
      </c>
      <c r="C46" s="1373" t="s">
        <v>260</v>
      </c>
      <c r="D46" s="1373" t="s">
        <v>519</v>
      </c>
      <c r="E46" s="2269"/>
      <c r="F46" s="2269"/>
      <c r="G46" s="2269"/>
      <c r="H46" s="2269"/>
      <c r="I46" s="2296"/>
      <c r="J46" s="2296"/>
      <c r="K46" s="2266" t="str">
        <f>J45&amp;".1"</f>
        <v>...1.1.1</v>
      </c>
      <c r="L46" s="1374"/>
      <c r="P46" s="2267"/>
      <c r="Q46" s="2267"/>
      <c r="R46" s="367">
        <v>1</v>
      </c>
      <c r="S46" s="1467" t="str">
        <f>$K46</f>
        <v>...1.1.1</v>
      </c>
      <c r="T46" s="1447"/>
      <c r="U46" s="310"/>
      <c r="V46" s="761"/>
      <c r="W46" s="761"/>
      <c r="X46" s="1267"/>
      <c r="Y46" s="2275"/>
      <c r="Z46" s="2117" t="s">
        <v>66</v>
      </c>
      <c r="AA46" s="2275"/>
      <c r="AB46" s="2117" t="s">
        <v>66</v>
      </c>
      <c r="AC46" s="761"/>
      <c r="AD46" s="761"/>
      <c r="AE46" s="1267"/>
      <c r="AF46" s="2275"/>
      <c r="AG46" s="2117" t="s">
        <v>66</v>
      </c>
      <c r="AH46" s="2297"/>
      <c r="AI46" s="2117" t="s">
        <v>66</v>
      </c>
      <c r="AJ46" s="1448"/>
      <c r="AK46"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1">
        <f>STRCHECKDATE(V47:AJ47)</f>
      </c>
      <c r="AM46" s="510"/>
      <c r="AN46" s="510" t="str">
        <f>IF(T46="","",T46)</f>
        <v/>
      </c>
      <c r="AO46" s="510"/>
      <c r="AP46" s="510"/>
      <c r="AQ46" s="1165">
        <v>23</v>
      </c>
    </row>
    <row customHeight="1" ht="0">
      <c r="A47" s="1373" t="s">
        <v>258</v>
      </c>
      <c r="B47" s="1373" t="s">
        <v>259</v>
      </c>
      <c r="C47" s="1373" t="s">
        <v>260</v>
      </c>
      <c r="D47" s="1373" t="s">
        <v>519</v>
      </c>
      <c r="E47" s="2269"/>
      <c r="F47" s="2269"/>
      <c r="G47" s="2269"/>
      <c r="H47" s="2269"/>
      <c r="I47" s="2296"/>
      <c r="J47" s="2296"/>
      <c r="K47" s="2266"/>
      <c r="L47" s="1374"/>
      <c r="P47" s="2267"/>
      <c r="Q47" s="2267"/>
      <c r="R47" s="367"/>
      <c r="S47" s="1466"/>
      <c r="T47" s="310"/>
      <c r="U47" s="310"/>
      <c r="V47" s="335"/>
      <c r="W47" s="335"/>
      <c r="X47" s="338" t="str">
        <f>Y46&amp;"-"&amp;AA46</f>
        <v>-</v>
      </c>
      <c r="Y47" s="2276"/>
      <c r="Z47" s="2117"/>
      <c r="AA47" s="2276"/>
      <c r="AB47" s="2117"/>
      <c r="AC47" s="335"/>
      <c r="AD47" s="335"/>
      <c r="AE47" s="338" t="str">
        <f>AF46&amp;"-"&amp;AH46</f>
        <v>-</v>
      </c>
      <c r="AF47" s="2276"/>
      <c r="AG47" s="2117"/>
      <c r="AH47" s="2298"/>
      <c r="AI47" s="2117"/>
      <c r="AJ47" s="1449"/>
      <c r="AK47" s="2359"/>
      <c r="AM47" s="510"/>
      <c r="AN47" s="510" t="str">
        <f>IF(T47="","",T47)</f>
        <v/>
      </c>
      <c r="AO47" s="510"/>
      <c r="AP47" s="510"/>
      <c r="AQ47" s="1165">
        <v>0</v>
      </c>
    </row>
    <row customHeight="1" ht="21">
      <c r="A48" s="1373" t="s">
        <v>258</v>
      </c>
      <c r="B48" s="1373" t="s">
        <v>259</v>
      </c>
      <c r="C48" s="1373" t="s">
        <v>260</v>
      </c>
      <c r="D48" s="1373" t="s">
        <v>519</v>
      </c>
      <c r="E48" s="2269"/>
      <c r="F48" s="2269"/>
      <c r="G48" s="2269"/>
      <c r="H48" s="2269"/>
      <c r="I48" s="2296"/>
      <c r="J48" s="2266"/>
      <c r="K48" s="1373"/>
      <c r="L48" s="1374"/>
      <c r="P48" s="2267"/>
      <c r="Q48" s="2267"/>
      <c r="R48" s="366"/>
      <c r="S48" s="1288"/>
      <c r="T48" s="297" t="s">
        <v>508</v>
      </c>
      <c r="U48" s="377"/>
      <c r="V48" s="377"/>
      <c r="W48" s="377"/>
      <c r="X48" s="377"/>
      <c r="Y48" s="377"/>
      <c r="Z48" s="377"/>
      <c r="AA48" s="377"/>
      <c r="AB48" s="377"/>
      <c r="AC48" s="377"/>
      <c r="AD48" s="377"/>
      <c r="AE48" s="377"/>
      <c r="AF48" s="377"/>
      <c r="AG48" s="377"/>
      <c r="AH48" s="377"/>
      <c r="AI48" s="377"/>
      <c r="AJ48" s="377"/>
      <c r="AK48" s="1268" t="s">
        <v>509</v>
      </c>
      <c r="AM48" s="510"/>
      <c r="AN48" s="510" t="str">
        <f>IF(T48="","",T48)</f>
        <v>Добавить значение признака дифференциации</v>
      </c>
      <c r="AO48" s="510"/>
      <c r="AP48" s="510"/>
      <c r="AQ48" s="1165">
        <v>20</v>
      </c>
    </row>
    <row customHeight="1" ht="22.049999999999997">
      <c r="A49" s="1373" t="s">
        <v>258</v>
      </c>
      <c r="B49" s="1373" t="s">
        <v>259</v>
      </c>
      <c r="C49" s="1373" t="s">
        <v>260</v>
      </c>
      <c r="D49" s="1373" t="s">
        <v>519</v>
      </c>
      <c r="E49" s="2269"/>
      <c r="F49" s="2269"/>
      <c r="G49" s="2269"/>
      <c r="H49" s="2269"/>
      <c r="I49" s="2266"/>
      <c r="J49" s="1373"/>
      <c r="K49" s="1373"/>
      <c r="L49" s="1374"/>
      <c r="P49" s="2267"/>
      <c r="Q49" s="1460"/>
      <c r="R49" s="366"/>
      <c r="S49" s="1288"/>
      <c r="T49" s="375" t="s">
        <v>434</v>
      </c>
      <c r="U49" s="377"/>
      <c r="V49" s="377"/>
      <c r="W49" s="377"/>
      <c r="X49" s="377"/>
      <c r="Y49" s="377"/>
      <c r="Z49" s="377"/>
      <c r="AA49" s="377"/>
      <c r="AB49" s="376"/>
      <c r="AC49" s="377"/>
      <c r="AD49" s="377"/>
      <c r="AE49" s="377"/>
      <c r="AF49" s="377"/>
      <c r="AG49" s="377"/>
      <c r="AH49" s="377"/>
      <c r="AI49" s="376"/>
      <c r="AJ49" s="377"/>
      <c r="AK49" s="1450"/>
      <c r="AM49" s="510"/>
      <c r="AN49" s="510" t="str">
        <f>IF(T49="","",T49)</f>
        <v>Добавить группу потребителей</v>
      </c>
      <c r="AO49" s="510"/>
      <c r="AP49" s="510"/>
      <c r="AQ49" s="1165">
        <v>21</v>
      </c>
    </row>
    <row customHeight="1" ht="22.049999999999997">
      <c r="A50" s="1373" t="s">
        <v>258</v>
      </c>
      <c r="B50" s="1373" t="s">
        <v>259</v>
      </c>
      <c r="C50" s="1373" t="s">
        <v>260</v>
      </c>
      <c r="D50" s="1373" t="s">
        <v>519</v>
      </c>
      <c r="E50" s="2269"/>
      <c r="F50" s="2269"/>
      <c r="G50" s="2269"/>
      <c r="H50" s="2268"/>
      <c r="I50" s="1373"/>
      <c r="J50" s="1373"/>
      <c r="K50" s="1373"/>
      <c r="L50" s="1374"/>
      <c r="M50" s="1375"/>
      <c r="N50" s="1375"/>
      <c r="O50" s="547"/>
      <c r="P50" s="370"/>
      <c r="Q50" s="385"/>
      <c r="R50" s="365"/>
      <c r="S50" s="1288"/>
      <c r="T50" s="382" t="s">
        <v>510</v>
      </c>
      <c r="U50" s="377"/>
      <c r="V50" s="377"/>
      <c r="W50" s="377"/>
      <c r="X50" s="377"/>
      <c r="Y50" s="377"/>
      <c r="Z50" s="377"/>
      <c r="AA50" s="377"/>
      <c r="AB50" s="376"/>
      <c r="AC50" s="377"/>
      <c r="AD50" s="377"/>
      <c r="AE50" s="377"/>
      <c r="AF50" s="377"/>
      <c r="AG50" s="377"/>
      <c r="AH50" s="377"/>
      <c r="AI50" s="376"/>
      <c r="AJ50" s="377"/>
      <c r="AK50" s="313"/>
      <c r="AM50" s="510"/>
      <c r="AN50" s="510" t="str">
        <f>IF(T50="","",T50)</f>
        <v>Добавить наименование признака дифференциации</v>
      </c>
      <c r="AO50" s="510"/>
      <c r="AP50" s="510"/>
      <c r="AQ50" s="1165">
        <v>21</v>
      </c>
    </row>
    <row s="1652" customFormat="1" customHeight="1" ht="0">
      <c r="A51" s="1353" t="s">
        <v>258</v>
      </c>
      <c r="B51" s="1353" t="s">
        <v>259</v>
      </c>
      <c r="C51" s="1324"/>
      <c r="D51" s="1324"/>
      <c r="E51" s="2269"/>
      <c r="F51" s="2268"/>
      <c r="G51" s="1324"/>
      <c r="H51" s="1324"/>
      <c r="I51" s="1324"/>
      <c r="J51" s="1324"/>
      <c r="K51" s="1324"/>
      <c r="L51" s="1468"/>
      <c r="M51" s="1331"/>
      <c r="N51" s="1331"/>
      <c r="P51" s="1326"/>
      <c r="Q51" s="1327"/>
      <c r="R51" s="1326"/>
      <c r="S51" s="1332"/>
      <c r="T51" s="1335" t="s">
        <v>437</v>
      </c>
      <c r="U51" s="1334"/>
      <c r="V51" s="1334"/>
      <c r="W51" s="1334"/>
      <c r="X51" s="1334"/>
      <c r="Y51" s="1334"/>
      <c r="Z51" s="1334"/>
      <c r="AA51" s="1334"/>
      <c r="AB51" s="1334"/>
      <c r="AC51" s="1334"/>
      <c r="AD51" s="1334"/>
      <c r="AE51" s="1334"/>
      <c r="AF51" s="1334"/>
      <c r="AG51" s="1334"/>
      <c r="AH51" s="1334"/>
      <c r="AI51" s="1334"/>
      <c r="AJ51" s="1334"/>
      <c r="AK51" s="1334"/>
      <c r="AM51" s="799"/>
      <c r="AN51" s="799" t="str">
        <f>IF(T51="","",T51)</f>
        <v>Добавить централизованную систему для дифференциации</v>
      </c>
      <c r="AO51" s="799"/>
      <c r="AP51" s="799"/>
      <c r="AQ51" s="528">
        <v>0</v>
      </c>
    </row>
    <row s="1652" customFormat="1" customHeight="1" ht="0">
      <c r="A52" s="1353" t="s">
        <v>258</v>
      </c>
      <c r="B52" s="1353"/>
      <c r="C52" s="1353"/>
      <c r="D52" s="1353"/>
      <c r="E52" s="2268"/>
      <c r="F52" s="1353"/>
      <c r="G52" s="1353"/>
      <c r="H52" s="1353"/>
      <c r="I52" s="1353"/>
      <c r="J52" s="1353"/>
      <c r="K52" s="1353"/>
      <c r="L52" s="1356"/>
      <c r="M52" s="1331"/>
      <c r="N52" s="1331"/>
      <c r="O52" s="528"/>
      <c r="P52" s="390"/>
      <c r="Q52" s="1354"/>
      <c r="R52" s="390"/>
      <c r="S52" s="1332"/>
      <c r="T52" s="1335" t="s">
        <v>438</v>
      </c>
      <c r="U52" s="1334"/>
      <c r="V52" s="1334"/>
      <c r="W52" s="1334"/>
      <c r="X52" s="1334"/>
      <c r="Y52" s="1334"/>
      <c r="Z52" s="1334"/>
      <c r="AA52" s="1334"/>
      <c r="AB52" s="1334"/>
      <c r="AC52" s="1334"/>
      <c r="AD52" s="1334"/>
      <c r="AE52" s="1334"/>
      <c r="AF52" s="1334"/>
      <c r="AG52" s="1334"/>
      <c r="AH52" s="1334"/>
      <c r="AI52" s="1334"/>
      <c r="AJ52" s="1334"/>
      <c r="AK52" s="1334"/>
      <c r="AM52" s="510"/>
      <c r="AN52" s="510" t="str">
        <f>IF(T52="","",T52)</f>
        <v>Добавить территорию для дифференциации</v>
      </c>
      <c r="AO52" s="510"/>
      <c r="AP52" s="510"/>
      <c r="AQ52" s="521">
        <v>0</v>
      </c>
    </row>
    <row s="1652" customFormat="1" customHeight="1" ht="0">
      <c r="A53" s="1324"/>
      <c r="B53" s="1324"/>
      <c r="C53" s="1324"/>
      <c r="D53" s="1324"/>
      <c r="E53" s="1353"/>
      <c r="F53" s="1324"/>
      <c r="G53" s="1324"/>
      <c r="H53" s="1324"/>
      <c r="I53" s="1324"/>
      <c r="J53" s="1324"/>
      <c r="K53" s="1324"/>
      <c r="L53" s="1468"/>
      <c r="M53" s="1331"/>
      <c r="N53" s="1331"/>
      <c r="P53" s="1326"/>
      <c r="Q53" s="1327"/>
      <c r="R53" s="1326"/>
      <c r="S53" s="1332"/>
      <c r="T53" s="1335" t="s">
        <v>470</v>
      </c>
      <c r="U53" s="1334"/>
      <c r="V53" s="1334"/>
      <c r="W53" s="1334"/>
      <c r="X53" s="1334"/>
      <c r="Y53" s="1334"/>
      <c r="Z53" s="1334"/>
      <c r="AA53" s="1334"/>
      <c r="AB53" s="1334"/>
      <c r="AC53" s="1334"/>
      <c r="AD53" s="1334"/>
      <c r="AE53" s="1334"/>
      <c r="AF53" s="1334"/>
      <c r="AG53" s="1334"/>
      <c r="AH53" s="1334"/>
      <c r="AI53" s="1334"/>
      <c r="AJ53" s="1334"/>
      <c r="AK53" s="1334"/>
      <c r="AM53" s="799"/>
      <c r="AN53" s="799" t="str">
        <f>IF(T53="","",T53)</f>
        <v>Добавить наименование тарифа</v>
      </c>
      <c r="AO53" s="799"/>
      <c r="AP53" s="799"/>
      <c r="AQ53" s="528">
        <v>0</v>
      </c>
    </row>
    <row customHeight="1" ht="11.549999999999999">
      <c r="M54" s="1170"/>
      <c r="N54" s="1170"/>
      <c r="O54" s="547"/>
      <c r="P54" s="1165"/>
      <c r="Q54" s="1165"/>
      <c r="R54" s="1165"/>
      <c r="S54" s="1165"/>
      <c r="AL54" s="1165"/>
      <c r="AM54" s="1165"/>
      <c r="AN54" s="1165"/>
      <c r="AO54" s="1165"/>
      <c r="AP54" s="1165"/>
      <c r="AQ54" s="1165">
        <v>11</v>
      </c>
    </row>
    <row customHeight="1" ht="14.699999999999998">
      <c r="O55" s="547"/>
      <c r="S55" s="1263"/>
      <c r="T55" s="2295"/>
      <c r="U55" s="2295"/>
      <c r="V55" s="2295"/>
      <c r="W55" s="2295"/>
      <c r="X55" s="2295"/>
      <c r="Y55" s="2295"/>
      <c r="Z55" s="2295"/>
      <c r="AA55" s="2295"/>
      <c r="AB55" s="2295"/>
      <c r="AC55" s="2295"/>
      <c r="AD55" s="2295"/>
      <c r="AE55" s="2295"/>
      <c r="AF55" s="2295"/>
      <c r="AG55" s="2295"/>
      <c r="AH55" s="2295"/>
      <c r="AI55" s="2295"/>
      <c r="AJ55" s="2295"/>
      <c r="AK55" s="2295"/>
      <c r="AQ55" s="1165">
        <v>14</v>
      </c>
    </row>
    <row customHeight="1" ht="14.699999999999998">
      <c r="O56" s="547"/>
      <c r="AQ56" s="1165">
        <v>14</v>
      </c>
    </row>
    <row customHeight="1" ht="14.699999999999998">
      <c r="O57" s="547"/>
      <c r="S57" s="1263"/>
      <c r="T57" s="2295"/>
      <c r="U57" s="2295"/>
      <c r="V57" s="2295"/>
      <c r="W57" s="2295"/>
      <c r="X57" s="2295"/>
      <c r="Y57" s="2295"/>
      <c r="Z57" s="2295"/>
      <c r="AA57" s="2295"/>
      <c r="AB57" s="2295"/>
      <c r="AC57" s="2295"/>
      <c r="AD57" s="2295"/>
      <c r="AE57" s="2295"/>
      <c r="AF57" s="2295"/>
      <c r="AG57" s="2295"/>
      <c r="AH57" s="2295"/>
      <c r="AI57" s="2295"/>
      <c r="AJ57" s="2295"/>
      <c r="AK57" s="2295"/>
      <c r="AQ57" s="1165">
        <v>14</v>
      </c>
    </row>
    <row customHeight="1" ht="22.5" hidden="1">
      <c r="A58" s="1170" t="s">
        <v>82</v>
      </c>
      <c r="B58" s="1170">
        <v>0</v>
      </c>
      <c r="C58" s="1170">
        <v>0</v>
      </c>
      <c r="D58" s="1170">
        <v>0</v>
      </c>
      <c r="E58" s="1170">
        <v>0</v>
      </c>
      <c r="F58" s="1170">
        <v>0</v>
      </c>
      <c r="G58" s="1170">
        <v>0</v>
      </c>
      <c r="H58" s="1170">
        <v>0</v>
      </c>
      <c r="I58" s="1170">
        <v>0</v>
      </c>
      <c r="J58" s="1170">
        <v>0</v>
      </c>
      <c r="K58" s="1170">
        <v>0</v>
      </c>
      <c r="L58" s="1457">
        <v>0</v>
      </c>
      <c r="M58" s="1372">
        <v>0</v>
      </c>
      <c r="N58" s="1372">
        <v>0</v>
      </c>
      <c r="O58" s="1372">
        <v>0</v>
      </c>
      <c r="P58" s="1456">
        <v>3</v>
      </c>
      <c r="Q58" s="354">
        <v>3</v>
      </c>
      <c r="R58" s="354">
        <v>3</v>
      </c>
      <c r="S58" s="591">
        <v>12</v>
      </c>
      <c r="T58" s="1165">
        <v>35</v>
      </c>
      <c r="U58" s="1165">
        <v>0</v>
      </c>
      <c r="V58" s="1165">
        <v>0</v>
      </c>
      <c r="W58" s="1165">
        <v>0</v>
      </c>
      <c r="X58" s="1165">
        <v>0</v>
      </c>
      <c r="Y58" s="1165">
        <v>0</v>
      </c>
      <c r="Z58" s="1165">
        <v>0</v>
      </c>
      <c r="AA58" s="1165">
        <v>0</v>
      </c>
      <c r="AB58" s="1165">
        <v>0</v>
      </c>
      <c r="AC58" s="1165">
        <v>24</v>
      </c>
      <c r="AD58" s="1165">
        <v>24</v>
      </c>
      <c r="AE58" s="1165">
        <v>24</v>
      </c>
      <c r="AF58" s="1165">
        <v>11</v>
      </c>
      <c r="AG58" s="1165">
        <v>3</v>
      </c>
      <c r="AH58" s="1165">
        <v>11</v>
      </c>
      <c r="AI58" s="1165">
        <v>0</v>
      </c>
      <c r="AJ58" s="1165">
        <v>4</v>
      </c>
      <c r="AK58" s="1165">
        <v>115</v>
      </c>
      <c r="AL58" s="521">
        <v>10</v>
      </c>
      <c r="AM58" s="521">
        <v>10</v>
      </c>
      <c r="AN58" s="521">
        <v>10</v>
      </c>
      <c r="AO58" s="521">
        <v>10</v>
      </c>
      <c r="AP58" s="521">
        <v>10</v>
      </c>
      <c r="AQ58" s="116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DF4F5D-1091-9F38-3B53-0.F8978033}"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4" style="1645" width="24.7109375" hidden="1" customWidth="1"/>
    <col min="25" max="25" style="1645" width="11.7109375" hidden="1" customWidth="1"/>
    <col min="26" max="26" style="1645" width="3.7109375" hidden="1" customWidth="1"/>
    <col min="27" max="27" style="1645" width="11.7109375" hidden="1" customWidth="1"/>
    <col min="28" max="28" style="1645" width="8.57421875" hidden="1" customWidth="1"/>
    <col min="29" max="29" style="1645" width="24.7109375" customWidth="1"/>
    <col min="30" max="31" style="1645" width="24.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22.5" hidden="1">
      <c r="X1" s="337"/>
      <c r="Y1" s="337"/>
      <c r="AE1" s="337"/>
      <c r="AF1" s="337"/>
      <c r="AQ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467">
        <f>INDEX(PT_DIFFERENTIATION_NUM_NTAR,MATCH(A2,PT_DIFFERENTIATION_NTAR_ID,0))</f>
      </c>
      <c r="T2" s="308" t="s">
        <v>147</v>
      </c>
      <c r="U2" s="310"/>
      <c r="V2" s="2252"/>
      <c r="W2" s="2253"/>
      <c r="X2" s="2253"/>
      <c r="Y2" s="2253"/>
      <c r="Z2" s="2253"/>
      <c r="AA2" s="2253"/>
      <c r="AB2" s="2254"/>
      <c r="AC2" s="2252">
        <f>INDEX(PT_DIFFERENTIATION_NTAR,MATCH(A2,PT_DIFFERENTIATION_NTAR_ID,0))</f>
      </c>
      <c r="AD2" s="2253"/>
      <c r="AE2" s="2253"/>
      <c r="AF2" s="2253"/>
      <c r="AG2" s="2253"/>
      <c r="AH2" s="2253"/>
      <c r="AI2" s="2253"/>
      <c r="AJ2" s="2254"/>
      <c r="AK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0"/>
      <c r="AN2" s="510" t="str">
        <f>IF(T2="","",T2)</f>
        <v>Наименование тарифа</v>
      </c>
      <c r="AO2" s="510"/>
      <c r="AP2" s="510"/>
      <c r="AQ2" s="1165">
        <v>0</v>
      </c>
    </row>
    <row customHeight="1" ht="23.25" hidden="1">
      <c r="A3" s="1373"/>
      <c r="B3" s="1373"/>
      <c r="C3" s="1373"/>
      <c r="D3" s="1373"/>
      <c r="E3" s="2269"/>
      <c r="F3" s="2268">
        <v>1</v>
      </c>
      <c r="G3" s="1373"/>
      <c r="H3" s="1373"/>
      <c r="I3" s="1373"/>
      <c r="J3" s="1373"/>
      <c r="K3" s="1373"/>
      <c r="L3" s="1374"/>
      <c r="M3" s="1375"/>
      <c r="N3" s="1375"/>
      <c r="O3" s="1375"/>
      <c r="P3" s="1463"/>
      <c r="Q3" s="362"/>
      <c r="R3" s="363"/>
      <c r="S3" s="1467">
        <f>INDEX(PT_DIFFERENTIATION_NUM_TER,MATCH(B3,PT_DIFFERENTIATION_TER_ID,0))</f>
      </c>
      <c r="T3" s="318" t="s">
        <v>419</v>
      </c>
      <c r="U3" s="310"/>
      <c r="V3" s="2252"/>
      <c r="W3" s="2253"/>
      <c r="X3" s="2253"/>
      <c r="Y3" s="2253"/>
      <c r="Z3" s="2253"/>
      <c r="AA3" s="2253"/>
      <c r="AB3" s="2254"/>
      <c r="AC3" s="2252">
        <f>INDEX(PT_DIFFERENTIATION_TER,MATCH(B3,PT_DIFFERENTIATION_TER_ID,0))</f>
      </c>
      <c r="AD3" s="2253"/>
      <c r="AE3" s="2253"/>
      <c r="AF3" s="2253"/>
      <c r="AG3" s="2253"/>
      <c r="AH3" s="2253"/>
      <c r="AI3" s="2253"/>
      <c r="AJ3" s="2254"/>
      <c r="AK3" s="1268" t="s">
        <v>420</v>
      </c>
      <c r="AM3" s="510"/>
      <c r="AN3" s="510" t="str">
        <f>IF(T3="","",T3)</f>
        <v>Территория действия тарифа</v>
      </c>
      <c r="AO3" s="510"/>
      <c r="AP3" s="510"/>
      <c r="AQ3" s="1165">
        <v>0</v>
      </c>
    </row>
    <row customHeight="1" ht="23.25" hidden="1">
      <c r="A4" s="1373"/>
      <c r="B4" s="1373"/>
      <c r="C4" s="1373"/>
      <c r="D4" s="1373"/>
      <c r="E4" s="2269"/>
      <c r="F4" s="2269"/>
      <c r="G4" s="2268">
        <v>1</v>
      </c>
      <c r="H4" s="1373"/>
      <c r="I4" s="1373"/>
      <c r="J4" s="1373"/>
      <c r="K4" s="1373"/>
      <c r="L4" s="1374"/>
      <c r="M4" s="1375"/>
      <c r="N4" s="1375"/>
      <c r="O4" s="1375"/>
      <c r="P4" s="364"/>
      <c r="Q4" s="362"/>
      <c r="R4" s="363"/>
      <c r="S4" s="1467">
        <f>INDEX(PT_DIFFERENTIATION_NUM_CS,MATCH(C4,PT_DIFFERENTIATION_CS_ID,0))</f>
      </c>
      <c r="T4" s="319" t="s">
        <v>503</v>
      </c>
      <c r="U4" s="310"/>
      <c r="V4" s="2252"/>
      <c r="W4" s="2253"/>
      <c r="X4" s="2253"/>
      <c r="Y4" s="2253"/>
      <c r="Z4" s="2253"/>
      <c r="AA4" s="2253"/>
      <c r="AB4" s="2254"/>
      <c r="AC4" s="2252">
        <f>INDEX(PT_DIFFERENTIATION_CS,MATCH(C4,PT_DIFFERENTIATION_CS_ID,0))</f>
      </c>
      <c r="AD4" s="2253"/>
      <c r="AE4" s="2253"/>
      <c r="AF4" s="2253"/>
      <c r="AG4" s="2253"/>
      <c r="AH4" s="2253"/>
      <c r="AI4" s="2253"/>
      <c r="AJ4" s="2254"/>
      <c r="AK4" s="1268" t="s">
        <v>504</v>
      </c>
      <c r="AM4" s="510"/>
      <c r="AN4" s="510" t="str">
        <f>IF(T4="","",T4)</f>
        <v>Наименование централизованной системы холодного водоснабжения</v>
      </c>
      <c r="AO4" s="510"/>
      <c r="AP4" s="510"/>
      <c r="AQ4" s="1165">
        <v>0</v>
      </c>
    </row>
    <row customHeight="1" ht="23.25" hidden="1">
      <c r="A5" s="1373"/>
      <c r="B5" s="1373"/>
      <c r="C5" s="1373"/>
      <c r="D5" s="1373"/>
      <c r="E5" s="2269"/>
      <c r="F5" s="2269"/>
      <c r="G5" s="2269"/>
      <c r="H5" s="2269"/>
      <c r="I5" s="2266">
        <f>S4&amp;".1"</f>
      </c>
      <c r="J5" s="1373"/>
      <c r="K5" s="1373"/>
      <c r="L5" s="1374"/>
      <c r="P5" s="2267">
        <v>1</v>
      </c>
      <c r="Q5" s="1460"/>
      <c r="R5" s="366"/>
      <c r="S5" s="1467">
        <f>$I5</f>
      </c>
      <c r="T5" s="295" t="s">
        <v>505</v>
      </c>
      <c r="U5" s="310"/>
      <c r="V5" s="2360"/>
      <c r="W5" s="2361"/>
      <c r="X5" s="2361"/>
      <c r="Y5" s="2361"/>
      <c r="Z5" s="2361"/>
      <c r="AA5" s="2361"/>
      <c r="AB5" s="2362"/>
      <c r="AC5" s="2363"/>
      <c r="AD5" s="2364"/>
      <c r="AE5" s="2364"/>
      <c r="AF5" s="2364"/>
      <c r="AG5" s="2364"/>
      <c r="AH5" s="2364"/>
      <c r="AI5" s="2364"/>
      <c r="AJ5" s="2365"/>
      <c r="AK5" s="1268" t="s">
        <v>506</v>
      </c>
      <c r="AM5" s="510"/>
      <c r="AN5" s="510" t="str">
        <f>IF(T5="","",T5)</f>
        <v>Наименование признака дифференциации</v>
      </c>
      <c r="AO5" s="510"/>
      <c r="AP5" s="510"/>
      <c r="AQ5" s="1165">
        <v>0</v>
      </c>
    </row>
    <row customHeight="1" ht="23.25" hidden="1">
      <c r="A6" s="1373"/>
      <c r="B6" s="1373"/>
      <c r="C6" s="1373"/>
      <c r="D6" s="1373"/>
      <c r="E6" s="2269"/>
      <c r="F6" s="2269"/>
      <c r="G6" s="2269"/>
      <c r="H6" s="2269"/>
      <c r="I6" s="2296"/>
      <c r="J6" s="2266">
        <f>I5&amp;".1"</f>
      </c>
      <c r="K6" s="1373"/>
      <c r="L6" s="1374" t="s">
        <v>428</v>
      </c>
      <c r="P6" s="2267"/>
      <c r="Q6" s="2267">
        <v>1</v>
      </c>
      <c r="R6" s="367"/>
      <c r="S6" s="1467">
        <f>$J6</f>
      </c>
      <c r="T6" s="296" t="s">
        <v>429</v>
      </c>
      <c r="U6" s="310"/>
      <c r="V6" s="2255"/>
      <c r="W6" s="2256"/>
      <c r="X6" s="2256"/>
      <c r="Y6" s="2256"/>
      <c r="Z6" s="2256"/>
      <c r="AA6" s="2256"/>
      <c r="AB6" s="2257"/>
      <c r="AC6" s="2255"/>
      <c r="AD6" s="2256"/>
      <c r="AE6" s="2256"/>
      <c r="AF6" s="2256"/>
      <c r="AG6" s="2256"/>
      <c r="AH6" s="2256"/>
      <c r="AI6" s="2256"/>
      <c r="AJ6" s="2257"/>
      <c r="AK6" s="1317" t="s">
        <v>507</v>
      </c>
      <c r="AM6" s="510"/>
      <c r="AN6" s="510" t="str">
        <f>IF(T6="","",T6)</f>
        <v>Группа потребителей</v>
      </c>
      <c r="AO6" s="510"/>
      <c r="AP6" s="510"/>
      <c r="AQ6" s="1165">
        <v>0</v>
      </c>
    </row>
    <row customHeight="1" ht="23.25" hidden="1">
      <c r="A7" s="1373"/>
      <c r="B7" s="1373"/>
      <c r="C7" s="1373"/>
      <c r="D7" s="1373"/>
      <c r="E7" s="2269"/>
      <c r="F7" s="2269"/>
      <c r="G7" s="2269"/>
      <c r="H7" s="2269"/>
      <c r="I7" s="2296"/>
      <c r="J7" s="2296"/>
      <c r="K7" s="2266">
        <f>J6&amp;".1"</f>
      </c>
      <c r="L7" s="1374"/>
      <c r="P7" s="2267"/>
      <c r="Q7" s="2267"/>
      <c r="R7" s="367">
        <v>1</v>
      </c>
      <c r="S7" s="1467">
        <f>$K7</f>
      </c>
      <c r="T7" s="1447"/>
      <c r="U7" s="310"/>
      <c r="V7" s="761"/>
      <c r="W7" s="761"/>
      <c r="X7" s="1267"/>
      <c r="Y7" s="2275"/>
      <c r="Z7" s="2117" t="s">
        <v>66</v>
      </c>
      <c r="AA7" s="2275"/>
      <c r="AB7" s="2117" t="s">
        <v>66</v>
      </c>
      <c r="AC7" s="761"/>
      <c r="AD7" s="761"/>
      <c r="AE7" s="1267"/>
      <c r="AF7" s="2275"/>
      <c r="AG7" s="2117" t="s">
        <v>66</v>
      </c>
      <c r="AH7" s="2297"/>
      <c r="AI7" s="2117" t="s">
        <v>66</v>
      </c>
      <c r="AJ7" s="1448"/>
      <c r="AK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1">
        <f>STRCHECKDATE(V8:AJ8)</f>
      </c>
      <c r="AM7" s="510"/>
      <c r="AN7" s="510" t="str">
        <f>IF(T7="","",T7)</f>
        <v/>
      </c>
      <c r="AO7" s="510"/>
      <c r="AP7" s="510"/>
      <c r="AQ7" s="1165">
        <v>0</v>
      </c>
    </row>
    <row customHeight="1" ht="14.25" hidden="1">
      <c r="A8" s="1373"/>
      <c r="B8" s="1373"/>
      <c r="C8" s="1373"/>
      <c r="D8" s="1373"/>
      <c r="E8" s="2269"/>
      <c r="F8" s="2269"/>
      <c r="G8" s="2269"/>
      <c r="H8" s="2269"/>
      <c r="I8" s="2296"/>
      <c r="J8" s="2296"/>
      <c r="K8" s="2266"/>
      <c r="L8" s="1374"/>
      <c r="P8" s="2267"/>
      <c r="Q8" s="2267"/>
      <c r="R8" s="367"/>
      <c r="S8" s="1466"/>
      <c r="T8" s="310"/>
      <c r="U8" s="310"/>
      <c r="V8" s="335"/>
      <c r="W8" s="335"/>
      <c r="X8" s="338" t="str">
        <f>Y7&amp;"-"&amp;AA7</f>
        <v>-</v>
      </c>
      <c r="Y8" s="2276"/>
      <c r="Z8" s="2117"/>
      <c r="AA8" s="2276"/>
      <c r="AB8" s="2117"/>
      <c r="AC8" s="335"/>
      <c r="AD8" s="335"/>
      <c r="AE8" s="338" t="str">
        <f>AF7&amp;"-"&amp;AH7</f>
        <v>-</v>
      </c>
      <c r="AF8" s="2276"/>
      <c r="AG8" s="2117"/>
      <c r="AH8" s="2298"/>
      <c r="AI8" s="2117"/>
      <c r="AJ8" s="1449"/>
      <c r="AK8" s="2359"/>
      <c r="AM8" s="510"/>
      <c r="AN8" s="510" t="str">
        <f>IF(T8="","",T8)</f>
        <v/>
      </c>
      <c r="AO8" s="510"/>
      <c r="AP8" s="510"/>
      <c r="AQ8" s="1165">
        <v>0</v>
      </c>
    </row>
    <row customHeight="1" ht="21" hidden="1">
      <c r="A9" s="1373"/>
      <c r="B9" s="1373"/>
      <c r="C9" s="1373"/>
      <c r="D9" s="1373"/>
      <c r="E9" s="2269"/>
      <c r="F9" s="2269"/>
      <c r="G9" s="2269"/>
      <c r="H9" s="2269"/>
      <c r="I9" s="2296"/>
      <c r="J9" s="2266"/>
      <c r="K9" s="1373"/>
      <c r="L9" s="1374"/>
      <c r="P9" s="2267"/>
      <c r="Q9" s="2267"/>
      <c r="R9" s="366"/>
      <c r="S9" s="1288"/>
      <c r="T9" s="297" t="s">
        <v>508</v>
      </c>
      <c r="U9" s="377"/>
      <c r="V9" s="377"/>
      <c r="W9" s="377"/>
      <c r="X9" s="377"/>
      <c r="Y9" s="377"/>
      <c r="Z9" s="377"/>
      <c r="AA9" s="377"/>
      <c r="AB9" s="377"/>
      <c r="AC9" s="377"/>
      <c r="AD9" s="377"/>
      <c r="AE9" s="377"/>
      <c r="AF9" s="377"/>
      <c r="AG9" s="377"/>
      <c r="AH9" s="377"/>
      <c r="AI9" s="377"/>
      <c r="AJ9" s="377"/>
      <c r="AK9" s="1268" t="s">
        <v>509</v>
      </c>
      <c r="AM9" s="510"/>
      <c r="AN9" s="510" t="str">
        <f>IF(T9="","",T9)</f>
        <v>Добавить значение признака дифференциации</v>
      </c>
      <c r="AO9" s="510"/>
      <c r="AP9" s="510"/>
      <c r="AQ9" s="1165">
        <v>0</v>
      </c>
    </row>
    <row customHeight="1" ht="21" hidden="1">
      <c r="A10" s="1373"/>
      <c r="B10" s="1373"/>
      <c r="C10" s="1373"/>
      <c r="D10" s="1373"/>
      <c r="E10" s="2269"/>
      <c r="F10" s="2269"/>
      <c r="G10" s="2269"/>
      <c r="H10" s="2269"/>
      <c r="I10" s="2266"/>
      <c r="J10" s="1373"/>
      <c r="K10" s="1373"/>
      <c r="L10" s="1374"/>
      <c r="P10" s="2267"/>
      <c r="Q10" s="1460"/>
      <c r="R10" s="366"/>
      <c r="S10" s="1288"/>
      <c r="T10" s="375" t="s">
        <v>434</v>
      </c>
      <c r="U10" s="377"/>
      <c r="V10" s="377"/>
      <c r="W10" s="377"/>
      <c r="X10" s="377"/>
      <c r="Y10" s="377"/>
      <c r="Z10" s="377"/>
      <c r="AA10" s="377"/>
      <c r="AB10" s="376"/>
      <c r="AC10" s="377"/>
      <c r="AD10" s="377"/>
      <c r="AE10" s="377"/>
      <c r="AF10" s="377"/>
      <c r="AG10" s="377"/>
      <c r="AH10" s="377"/>
      <c r="AI10" s="376"/>
      <c r="AJ10" s="377"/>
      <c r="AK10" s="1450"/>
      <c r="AM10" s="510"/>
      <c r="AN10" s="510" t="str">
        <f>IF(T10="","",T10)</f>
        <v>Добавить группу потребителей</v>
      </c>
      <c r="AO10" s="510"/>
      <c r="AP10" s="510"/>
      <c r="AQ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510</v>
      </c>
      <c r="U11" s="377"/>
      <c r="V11" s="377"/>
      <c r="W11" s="377"/>
      <c r="X11" s="377"/>
      <c r="Y11" s="377"/>
      <c r="Z11" s="377"/>
      <c r="AA11" s="377"/>
      <c r="AB11" s="376"/>
      <c r="AC11" s="377"/>
      <c r="AD11" s="377"/>
      <c r="AE11" s="377"/>
      <c r="AF11" s="377"/>
      <c r="AG11" s="377"/>
      <c r="AH11" s="377"/>
      <c r="AI11" s="376"/>
      <c r="AJ11" s="377"/>
      <c r="AK11" s="313"/>
      <c r="AM11" s="510"/>
      <c r="AN11" s="510" t="str">
        <f>IF(T11="","",T11)</f>
        <v>Добавить наименование признака дифференциации</v>
      </c>
      <c r="AO11" s="510"/>
      <c r="AP11" s="510"/>
      <c r="AQ11" s="1165">
        <v>0</v>
      </c>
    </row>
    <row s="1652" customFormat="1" customHeight="1" ht="14.25" hidden="1">
      <c r="A12" s="1353"/>
      <c r="B12" s="1353"/>
      <c r="C12" s="1324"/>
      <c r="D12" s="1324"/>
      <c r="E12" s="2269"/>
      <c r="F12" s="2268"/>
      <c r="G12" s="1324"/>
      <c r="H12" s="1324"/>
      <c r="I12" s="1324"/>
      <c r="J12" s="1324"/>
      <c r="K12" s="1324"/>
      <c r="L12" s="1468"/>
      <c r="M12" s="1331"/>
      <c r="N12" s="1331"/>
      <c r="P12" s="1326"/>
      <c r="Q12" s="1327"/>
      <c r="R12" s="1326"/>
      <c r="S12" s="1332"/>
      <c r="T12" s="1335" t="s">
        <v>437</v>
      </c>
      <c r="U12" s="1334"/>
      <c r="V12" s="1334"/>
      <c r="W12" s="1334"/>
      <c r="X12" s="1334"/>
      <c r="Y12" s="1334"/>
      <c r="Z12" s="1334"/>
      <c r="AA12" s="1334"/>
      <c r="AB12" s="1334"/>
      <c r="AC12" s="1334"/>
      <c r="AD12" s="1334"/>
      <c r="AE12" s="1334"/>
      <c r="AF12" s="1334"/>
      <c r="AG12" s="1334"/>
      <c r="AH12" s="1334"/>
      <c r="AI12" s="1334"/>
      <c r="AJ12" s="1334"/>
      <c r="AK12" s="1334"/>
      <c r="AM12" s="799"/>
      <c r="AN12" s="799" t="str">
        <f>IF(T12="","",T12)</f>
        <v>Добавить централизованную систему для дифференциации</v>
      </c>
      <c r="AO12" s="799"/>
      <c r="AP12" s="799"/>
      <c r="AQ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438</v>
      </c>
      <c r="U13" s="1334"/>
      <c r="V13" s="1334"/>
      <c r="W13" s="1334"/>
      <c r="X13" s="1334"/>
      <c r="Y13" s="1334"/>
      <c r="Z13" s="1334"/>
      <c r="AA13" s="1334"/>
      <c r="AB13" s="1334"/>
      <c r="AC13" s="1334"/>
      <c r="AD13" s="1334"/>
      <c r="AE13" s="1334"/>
      <c r="AF13" s="1334"/>
      <c r="AG13" s="1334"/>
      <c r="AH13" s="1334"/>
      <c r="AI13" s="1334"/>
      <c r="AJ13" s="1334"/>
      <c r="AK13" s="1334"/>
      <c r="AM13" s="510"/>
      <c r="AN13" s="510" t="str">
        <f>IF(T13="","",T13)</f>
        <v>Добавить территорию для дифференциации</v>
      </c>
      <c r="AO13" s="510"/>
      <c r="AP13" s="510"/>
      <c r="AQ13" s="521">
        <v>0</v>
      </c>
    </row>
    <row customHeight="1" ht="14.25" hidden="1">
      <c r="AB14" s="337"/>
      <c r="AI14" s="337"/>
      <c r="AQ14" s="1165">
        <v>0</v>
      </c>
    </row>
    <row customHeight="1" ht="14.25" hidden="1">
      <c r="AC15" s="1370"/>
      <c r="AD15" s="1370"/>
      <c r="AE15" s="1371"/>
      <c r="AF15" s="2277"/>
      <c r="AG15" s="2278" t="s">
        <v>66</v>
      </c>
      <c r="AH15" s="2277"/>
      <c r="AI15" s="2278" t="s">
        <v>66</v>
      </c>
      <c r="AQ15" s="1165">
        <v>0</v>
      </c>
    </row>
    <row customHeight="1" ht="14.25" hidden="1">
      <c r="AC16" s="1370"/>
      <c r="AD16" s="1370"/>
      <c r="AE16" s="338" t="str">
        <f>AF15&amp;"-"&amp;AH15</f>
        <v>-</v>
      </c>
      <c r="AF16" s="2278"/>
      <c r="AG16" s="2278"/>
      <c r="AH16" s="2278"/>
      <c r="AI16" s="2278"/>
      <c r="AQ16" s="1165">
        <v>0</v>
      </c>
    </row>
    <row customHeight="1" ht="14.25" hidden="1">
      <c r="AI17" s="337"/>
      <c r="AQ17" s="1165">
        <v>0</v>
      </c>
    </row>
    <row s="1376" customFormat="1" customHeight="1" ht="22.5" hidden="1">
      <c r="L18" s="1457"/>
      <c r="M18" s="1372"/>
      <c r="N18" s="1372"/>
      <c r="O18" s="1377" t="s">
        <v>439</v>
      </c>
      <c r="P18" s="1372"/>
      <c r="Q18" s="1381"/>
      <c r="R18" s="1381"/>
      <c r="S18" s="739"/>
      <c r="Y18" s="1377"/>
      <c r="AA18" s="1377"/>
      <c r="AB18" s="1376"/>
      <c r="AF18" s="1377"/>
      <c r="AH18" s="1377"/>
      <c r="AI18" s="1376"/>
      <c r="AL18" s="521"/>
      <c r="AM18" s="521"/>
      <c r="AN18" s="521"/>
      <c r="AO18" s="521"/>
      <c r="AP18" s="521"/>
      <c r="AQ18" s="1170">
        <v>0</v>
      </c>
    </row>
    <row s="1376" customFormat="1" customHeight="1" ht="14.25" hidden="1">
      <c r="L19" s="1457"/>
      <c r="M19" s="1372"/>
      <c r="N19" s="1372"/>
      <c r="O19" s="1372"/>
      <c r="P19" s="1372"/>
      <c r="Q19" s="1381"/>
      <c r="R19" s="1381"/>
      <c r="S19" s="739"/>
      <c r="AB19" s="1376"/>
      <c r="AI19" s="1376"/>
      <c r="AL19" s="521"/>
      <c r="AM19" s="521"/>
      <c r="AN19" s="521"/>
      <c r="AO19" s="521"/>
      <c r="AP19" s="521"/>
      <c r="AQ19" s="1170">
        <v>0</v>
      </c>
    </row>
    <row s="1376" customFormat="1" customHeight="1" ht="12" hidden="1">
      <c r="L20" s="1457"/>
      <c r="M20" s="1372"/>
      <c r="N20" s="1372"/>
      <c r="O20" s="1374" t="s">
        <v>440</v>
      </c>
      <c r="P20" s="1372"/>
      <c r="Q20" s="1452"/>
      <c r="R20" s="1452"/>
      <c r="S20" s="739"/>
      <c r="T20" s="1170" t="s">
        <v>441</v>
      </c>
      <c r="Z20" s="196" t="s">
        <v>442</v>
      </c>
      <c r="AB20" s="196" t="s">
        <v>443</v>
      </c>
      <c r="AC20" s="1170" t="s">
        <v>441</v>
      </c>
      <c r="AG20" s="196" t="s">
        <v>444</v>
      </c>
      <c r="AI20" s="196" t="s">
        <v>443</v>
      </c>
      <c r="AQ20" s="1170">
        <v>0</v>
      </c>
    </row>
    <row customHeight="1" ht="14.25" hidden="1">
      <c r="O21" s="1374"/>
      <c r="AQ21" s="1165">
        <v>0</v>
      </c>
    </row>
    <row customHeight="1" ht="14.25" hidden="1">
      <c r="O22" s="1374"/>
      <c r="AQ22" s="1165">
        <v>0</v>
      </c>
    </row>
    <row customHeight="1" ht="14.699999999999998">
      <c r="Q23" s="386"/>
      <c r="R23" s="386"/>
      <c r="S23" s="1285"/>
      <c r="T23" s="373"/>
      <c r="U23" s="373"/>
      <c r="V23" s="519"/>
      <c r="W23" s="519"/>
      <c r="X23" s="519"/>
      <c r="Y23" s="519"/>
      <c r="Z23" s="519"/>
      <c r="AA23" s="519"/>
      <c r="AB23" s="519"/>
      <c r="AC23" s="519"/>
      <c r="AD23" s="519"/>
      <c r="AE23" s="519"/>
      <c r="AF23" s="519"/>
      <c r="AG23" s="519"/>
      <c r="AH23" s="519"/>
      <c r="AI23" s="519"/>
      <c r="AQ23" s="1165">
        <v>14</v>
      </c>
    </row>
    <row customHeight="1" ht="14.699999999999998">
      <c r="Q24" s="386"/>
      <c r="R24" s="386"/>
      <c r="S24" s="225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8"/>
      <c r="U24" s="2258"/>
      <c r="V24" s="2258"/>
      <c r="W24" s="2258"/>
      <c r="X24" s="2258"/>
      <c r="Y24" s="2258"/>
      <c r="Z24" s="2258"/>
      <c r="AA24" s="2258"/>
      <c r="AB24" s="2258"/>
      <c r="AC24" s="2258"/>
      <c r="AD24" s="2258"/>
      <c r="AE24" s="2258"/>
      <c r="AF24" s="2258"/>
      <c r="AG24" s="2258"/>
      <c r="AH24" s="2258"/>
      <c r="AI24" s="1253"/>
      <c r="AQ24" s="1165">
        <v>14</v>
      </c>
    </row>
    <row customHeight="1" ht="14.699999999999998">
      <c r="Q25" s="386"/>
      <c r="R25" s="386"/>
      <c r="S25" s="2259" t="str">
        <f>IF(org=0,"Не определено",org)</f>
        <v>АО «ДГК» СП «Нерюнгринская ГРЭС»</v>
      </c>
      <c r="T25" s="2259"/>
      <c r="U25" s="2259"/>
      <c r="V25" s="2259"/>
      <c r="W25" s="2259"/>
      <c r="X25" s="2259"/>
      <c r="Y25" s="2259"/>
      <c r="Z25" s="2259"/>
      <c r="AA25" s="2259"/>
      <c r="AB25" s="2259"/>
      <c r="AC25" s="2259"/>
      <c r="AD25" s="2259"/>
      <c r="AE25" s="2259"/>
      <c r="AF25" s="2259"/>
      <c r="AG25" s="2259"/>
      <c r="AH25" s="2259"/>
      <c r="AI25" s="1253"/>
      <c r="AQ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519"/>
      <c r="AQ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336"/>
      <c r="AC27" s="2261" t="str">
        <f>IF(TITLE_NAME_OR_PR_CHANGE="",IF(TITLE_NAME_OR_PR="","",TITLE_NAME_OR_PR),TITLE_NAME_OR_PR_CHANGE)</f>
        <v/>
      </c>
      <c r="AD27" s="2261"/>
      <c r="AE27" s="2261"/>
      <c r="AF27" s="2261"/>
      <c r="AG27" s="2261"/>
      <c r="AH27" s="2261"/>
      <c r="AI27" s="336"/>
      <c r="AJ27" s="336"/>
      <c r="AK27" s="290"/>
      <c r="AL27" s="378"/>
      <c r="AM27" s="378"/>
      <c r="AN27" s="378"/>
      <c r="AO27" s="378"/>
      <c r="AP27" s="378"/>
      <c r="AQ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445</v>
      </c>
      <c r="T28" s="2260"/>
      <c r="U28" s="1382"/>
      <c r="V28" s="2274" t="str">
        <f>IF(TITLE_DATE_PR_CHANGE="",IF(TITLE_DATE_PR="","",TITLE_DATE_PR),TITLE_DATE_PR_CHANGE)</f>
        <v/>
      </c>
      <c r="W28" s="2274"/>
      <c r="X28" s="2274"/>
      <c r="Y28" s="2274"/>
      <c r="Z28" s="2274"/>
      <c r="AA28" s="2274"/>
      <c r="AB28" s="336"/>
      <c r="AC28" s="2274" t="str">
        <f>IF(TITLE_DATE_PR_CHANGE="",IF(TITLE_DATE_PR="","",TITLE_DATE_PR),TITLE_DATE_PR_CHANGE)</f>
        <v/>
      </c>
      <c r="AD28" s="2274"/>
      <c r="AE28" s="2274"/>
      <c r="AF28" s="2274"/>
      <c r="AG28" s="2274"/>
      <c r="AH28" s="2274"/>
      <c r="AI28" s="336"/>
      <c r="AJ28" s="336"/>
      <c r="AK28" s="290"/>
      <c r="AL28" s="378"/>
      <c r="AM28" s="378"/>
      <c r="AN28" s="378"/>
      <c r="AO28" s="378"/>
      <c r="AP28" s="378"/>
      <c r="AQ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446</v>
      </c>
      <c r="T29" s="2260"/>
      <c r="U29" s="1382"/>
      <c r="V29" s="2261" t="str">
        <f>IF(TITLE_NUMBER_PR_CHANGE="",IF(TITLE_NUMBER_PR="","",TITLE_NUMBER_PR),TITLE_NUMBER_PR_CHANGE)</f>
        <v/>
      </c>
      <c r="W29" s="2261"/>
      <c r="X29" s="2261"/>
      <c r="Y29" s="2261"/>
      <c r="Z29" s="2261"/>
      <c r="AA29" s="2261"/>
      <c r="AB29" s="336"/>
      <c r="AC29" s="2261" t="str">
        <f>IF(TITLE_NUMBER_PR_CHANGE="",IF(TITLE_NUMBER_PR="","",TITLE_NUMBER_PR),TITLE_NUMBER_PR_CHANGE)</f>
        <v/>
      </c>
      <c r="AD29" s="2261"/>
      <c r="AE29" s="2261"/>
      <c r="AF29" s="2261"/>
      <c r="AG29" s="2261"/>
      <c r="AH29" s="2261"/>
      <c r="AI29" s="336"/>
      <c r="AJ29" s="336"/>
      <c r="AK29" s="290"/>
      <c r="AL29" s="378"/>
      <c r="AM29" s="378"/>
      <c r="AN29" s="378"/>
      <c r="AO29" s="378"/>
      <c r="AP29" s="378"/>
      <c r="AQ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336"/>
      <c r="AC30" s="2261" t="str">
        <f>IF(TITLE_IST_PUB_CHANGE="",IF(TITLE_IST_PUB="","",TITLE_IST_PUB),TITLE_IST_PUB_CHANGE)</f>
        <v/>
      </c>
      <c r="AD30" s="2261"/>
      <c r="AE30" s="2261"/>
      <c r="AF30" s="2261"/>
      <c r="AG30" s="2261"/>
      <c r="AH30" s="2261"/>
      <c r="AI30" s="336"/>
      <c r="AJ30" s="336"/>
      <c r="AK30" s="290"/>
      <c r="AL30" s="378"/>
      <c r="AM30" s="378"/>
      <c r="AN30" s="378"/>
      <c r="AO30" s="378"/>
      <c r="AP30" s="378"/>
      <c r="AQ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519"/>
      <c r="AQ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447</v>
      </c>
      <c r="T32" s="2260"/>
      <c r="U32" s="1382"/>
      <c r="V32" s="2274" t="str">
        <f>IF(TITLE_DATE_PR_CHANGE="",IF(TITLE_DATE_PR="","",TITLE_DATE_PR),TITLE_DATE_PR_CHANGE)</f>
        <v/>
      </c>
      <c r="W32" s="2274"/>
      <c r="X32" s="2274"/>
      <c r="Y32" s="2274"/>
      <c r="Z32" s="2274"/>
      <c r="AA32" s="2274"/>
      <c r="AB32" s="336"/>
      <c r="AC32" s="2274" t="str">
        <f>IF(TITLE_DATE_PR_CHANGE="",IF(TITLE_DATE_PR="","",TITLE_DATE_PR),TITLE_DATE_PR_CHANGE)</f>
        <v/>
      </c>
      <c r="AD32" s="2274"/>
      <c r="AE32" s="2274"/>
      <c r="AF32" s="2274"/>
      <c r="AG32" s="2274"/>
      <c r="AH32" s="2274"/>
      <c r="AI32" s="336"/>
      <c r="AJ32" s="336"/>
      <c r="AK32" s="290"/>
      <c r="AL32" s="378"/>
      <c r="AM32" s="378"/>
      <c r="AN32" s="378"/>
      <c r="AO32" s="378"/>
      <c r="AP32" s="378"/>
      <c r="AQ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448</v>
      </c>
      <c r="T33" s="2260"/>
      <c r="U33" s="1382"/>
      <c r="V33" s="2261" t="str">
        <f>IF(TITLE_NUMBER_PR_CHANGE="",IF(TITLE_NUMBER_PR="","",TITLE_NUMBER_PR),TITLE_NUMBER_PR_CHANGE)</f>
        <v/>
      </c>
      <c r="W33" s="2261"/>
      <c r="X33" s="2261"/>
      <c r="Y33" s="2261"/>
      <c r="Z33" s="2261"/>
      <c r="AA33" s="2261"/>
      <c r="AB33" s="336"/>
      <c r="AC33" s="2261" t="str">
        <f>IF(TITLE_NUMBER_PR_CHANGE="",IF(TITLE_NUMBER_PR="","",TITLE_NUMBER_PR),TITLE_NUMBER_PR_CHANGE)</f>
        <v/>
      </c>
      <c r="AD33" s="2261"/>
      <c r="AE33" s="2261"/>
      <c r="AF33" s="2261"/>
      <c r="AG33" s="2261"/>
      <c r="AH33" s="2261"/>
      <c r="AI33" s="336"/>
      <c r="AJ33" s="336"/>
      <c r="AK33" s="290"/>
      <c r="AL33" s="378"/>
      <c r="AM33" s="378"/>
      <c r="AN33" s="378"/>
      <c r="AO33" s="378"/>
      <c r="AP33" s="378"/>
      <c r="AQ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64"/>
      <c r="V34" s="336"/>
      <c r="W34" s="336"/>
      <c r="X34" s="336"/>
      <c r="Y34" s="336"/>
      <c r="Z34" s="336"/>
      <c r="AA34" s="336"/>
      <c r="AB34" s="288" t="s">
        <v>449</v>
      </c>
      <c r="AC34" s="336"/>
      <c r="AD34" s="336"/>
      <c r="AE34" s="336"/>
      <c r="AF34" s="336"/>
      <c r="AG34" s="336"/>
      <c r="AH34" s="336"/>
      <c r="AI34" s="288" t="s">
        <v>449</v>
      </c>
      <c r="AL34" s="378"/>
      <c r="AM34" s="378"/>
      <c r="AN34" s="378"/>
      <c r="AO34" s="378"/>
      <c r="AP34" s="378"/>
      <c r="AQ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Q35" s="1165">
        <v>14</v>
      </c>
    </row>
    <row customHeight="1" ht="14.699999999999998">
      <c r="Q36" s="386"/>
      <c r="R36" s="386"/>
      <c r="S36" s="2137" t="s">
        <v>322</v>
      </c>
      <c r="T36" s="2137"/>
      <c r="U36" s="2137"/>
      <c r="V36" s="2137"/>
      <c r="W36" s="2137"/>
      <c r="X36" s="2137"/>
      <c r="Y36" s="2137"/>
      <c r="Z36" s="2137"/>
      <c r="AA36" s="2137"/>
      <c r="AB36" s="2137"/>
      <c r="AC36" s="2137"/>
      <c r="AD36" s="2137"/>
      <c r="AE36" s="2137"/>
      <c r="AF36" s="2137"/>
      <c r="AG36" s="2137"/>
      <c r="AH36" s="2137"/>
      <c r="AI36" s="2137"/>
      <c r="AJ36" s="2137"/>
      <c r="AK36" s="2137" t="s">
        <v>323</v>
      </c>
      <c r="AQ36" s="1165">
        <v>14</v>
      </c>
    </row>
    <row customHeight="1" ht="14.699999999999998">
      <c r="Q37" s="386"/>
      <c r="R37" s="386"/>
      <c r="S37" s="2283" t="s">
        <v>88</v>
      </c>
      <c r="T37" s="2219" t="s">
        <v>450</v>
      </c>
      <c r="U37" s="311"/>
      <c r="V37" s="2284" t="s">
        <v>451</v>
      </c>
      <c r="W37" s="2285"/>
      <c r="X37" s="2285"/>
      <c r="Y37" s="2285"/>
      <c r="Z37" s="2285"/>
      <c r="AA37" s="2286"/>
      <c r="AB37" s="2287" t="s">
        <v>452</v>
      </c>
      <c r="AC37" s="2284" t="s">
        <v>451</v>
      </c>
      <c r="AD37" s="2285"/>
      <c r="AE37" s="2285"/>
      <c r="AF37" s="2285"/>
      <c r="AG37" s="2285"/>
      <c r="AH37" s="2286"/>
      <c r="AI37" s="2287" t="s">
        <v>453</v>
      </c>
      <c r="AJ37" s="2290" t="s">
        <v>454</v>
      </c>
      <c r="AK37" s="2137"/>
      <c r="AQ37" s="1165">
        <v>14</v>
      </c>
    </row>
    <row customHeight="1" ht="35.699999999999996">
      <c r="Q38" s="386"/>
      <c r="R38" s="386"/>
      <c r="S38" s="2283"/>
      <c r="T38" s="2219"/>
      <c r="U38" s="1041"/>
      <c r="V38" s="1462" t="s">
        <v>511</v>
      </c>
      <c r="W38" s="2272" t="s">
        <v>457</v>
      </c>
      <c r="X38" s="2273"/>
      <c r="Y38" s="2272" t="s">
        <v>458</v>
      </c>
      <c r="Z38" s="2279"/>
      <c r="AA38" s="2273"/>
      <c r="AB38" s="2288"/>
      <c r="AC38" s="1462" t="s">
        <v>511</v>
      </c>
      <c r="AD38" s="2272" t="s">
        <v>457</v>
      </c>
      <c r="AE38" s="2273"/>
      <c r="AF38" s="2272" t="s">
        <v>458</v>
      </c>
      <c r="AG38" s="2279"/>
      <c r="AH38" s="2273"/>
      <c r="AI38" s="2288"/>
      <c r="AJ38" s="2291"/>
      <c r="AK38" s="2137"/>
      <c r="AQ38" s="1165">
        <v>34</v>
      </c>
    </row>
    <row customHeight="1" ht="35.699999999999996">
      <c r="A39" s="1380"/>
      <c r="B39" s="1380" t="s">
        <v>159</v>
      </c>
      <c r="C39" s="1380" t="s">
        <v>160</v>
      </c>
      <c r="D39" s="1380" t="s">
        <v>161</v>
      </c>
      <c r="E39" s="1374" t="s">
        <v>459</v>
      </c>
      <c r="F39" s="1374" t="s">
        <v>460</v>
      </c>
      <c r="G39" s="1374" t="s">
        <v>461</v>
      </c>
      <c r="H39" s="1374"/>
      <c r="I39" s="1374" t="s">
        <v>512</v>
      </c>
      <c r="J39" s="1374" t="s">
        <v>464</v>
      </c>
      <c r="K39" s="1374" t="s">
        <v>513</v>
      </c>
      <c r="L39" s="1374" t="s">
        <v>440</v>
      </c>
      <c r="Q39" s="386"/>
      <c r="R39" s="386"/>
      <c r="S39" s="2283"/>
      <c r="T39" s="2219"/>
      <c r="U39" s="312"/>
      <c r="V39" s="1462" t="s">
        <v>514</v>
      </c>
      <c r="W39" s="1232" t="s">
        <v>515</v>
      </c>
      <c r="X39" s="1232" t="s">
        <v>516</v>
      </c>
      <c r="Y39" s="1465" t="s">
        <v>468</v>
      </c>
      <c r="Z39" s="2280" t="s">
        <v>469</v>
      </c>
      <c r="AA39" s="2281"/>
      <c r="AB39" s="2289"/>
      <c r="AC39" s="1462" t="s">
        <v>514</v>
      </c>
      <c r="AD39" s="1232" t="s">
        <v>515</v>
      </c>
      <c r="AE39" s="1232" t="s">
        <v>516</v>
      </c>
      <c r="AF39" s="1465" t="s">
        <v>468</v>
      </c>
      <c r="AG39" s="2280" t="s">
        <v>469</v>
      </c>
      <c r="AH39" s="2281"/>
      <c r="AI39" s="2289"/>
      <c r="AJ39" s="2292"/>
      <c r="AK39" s="2137"/>
      <c r="AQ39" s="1165">
        <v>34</v>
      </c>
    </row>
    <row s="1651" customFormat="1" customHeight="1" ht="0">
      <c r="A40" s="1380"/>
      <c r="B40" s="1380"/>
      <c r="C40" s="1380"/>
      <c r="D40" s="1380"/>
      <c r="E40" s="1380"/>
      <c r="F40" s="1380"/>
      <c r="G40" s="1380"/>
      <c r="H40" s="1380"/>
      <c r="I40" s="1380"/>
      <c r="J40" s="1380"/>
      <c r="K40" s="1380"/>
      <c r="L40" s="1374"/>
      <c r="M40" s="1372"/>
      <c r="N40" s="1372"/>
      <c r="O40" s="1372"/>
      <c r="P40" s="1256"/>
      <c r="Q40" s="1257"/>
      <c r="R40" s="1264">
        <v>1</v>
      </c>
      <c r="S40" s="1287" t="s">
        <v>124</v>
      </c>
      <c r="T40" s="1265" t="s">
        <v>104</v>
      </c>
      <c r="U40" s="1255" t="str">
        <f>OFFSET(U40,0,-1)</f>
        <v>2</v>
      </c>
      <c r="V40" s="1461">
        <f>OFFSET(V40,0,-1)+1</f>
        <v>3</v>
      </c>
      <c r="W40" s="1461">
        <f>OFFSET(W40,0,-1)+1</f>
        <v>4</v>
      </c>
      <c r="X40" s="1461">
        <f>OFFSET(X40,0,-1)+1</f>
        <v>5</v>
      </c>
      <c r="Y40" s="1461">
        <f>OFFSET(Y40,0,-1)+1</f>
        <v>6</v>
      </c>
      <c r="Z40" s="2282">
        <f>OFFSET(Z40,0,-1)+1</f>
        <v>7</v>
      </c>
      <c r="AA40" s="2282"/>
      <c r="AB40" s="1461">
        <f>OFFSET(AB40,0,-2)+1</f>
        <v>8</v>
      </c>
      <c r="AC40" s="1461">
        <f>OFFSET(AC40,0,-1)+1</f>
        <v>9</v>
      </c>
      <c r="AD40" s="1461">
        <f>OFFSET(AD40,0,-1)+1</f>
        <v>10</v>
      </c>
      <c r="AE40" s="1461">
        <f>OFFSET(AE40,0,-1)+1</f>
        <v>11</v>
      </c>
      <c r="AF40" s="1461">
        <f>OFFSET(AF40,0,-1)+1</f>
        <v>12</v>
      </c>
      <c r="AG40" s="2282">
        <f>OFFSET(AG40,0,-1)+1</f>
        <v>13</v>
      </c>
      <c r="AH40" s="2282"/>
      <c r="AI40" s="1461">
        <f>OFFSET(AI40,0,-2)+1</f>
        <v>14</v>
      </c>
      <c r="AJ40" s="1255">
        <f>OFFSET(AJ40,0,-1)</f>
        <v>14</v>
      </c>
      <c r="AK40" s="1461">
        <f>OFFSET(AK40,0,-1)+1</f>
        <v>15</v>
      </c>
      <c r="AL40" s="521"/>
      <c r="AM40" s="521"/>
      <c r="AN40" s="521"/>
      <c r="AO40" s="521"/>
      <c r="AP40" s="521"/>
      <c r="AQ40" s="506">
        <v>0</v>
      </c>
    </row>
    <row customHeight="1" ht="24">
      <c r="A41" s="1373" t="s">
        <v>263</v>
      </c>
      <c r="B41" s="1373"/>
      <c r="C41" s="1373"/>
      <c r="D41" s="1373"/>
      <c r="E41" s="2268">
        <v>1</v>
      </c>
      <c r="F41" s="1373"/>
      <c r="G41" s="1373"/>
      <c r="H41" s="1373"/>
      <c r="I41" s="1373"/>
      <c r="J41" s="1373"/>
      <c r="K41" s="1373"/>
      <c r="L41" s="1374"/>
      <c r="M41" s="1375"/>
      <c r="N41" s="1375"/>
      <c r="O41" s="1375"/>
      <c r="P41" s="371"/>
      <c r="Q41" s="370"/>
      <c r="R41" s="365"/>
      <c r="S41" s="1467">
        <f>INDEX(PT_DIFFERENTIATION_NUM_NTAR,MATCH(A41,PT_DIFFERENTIATION_NTAR_ID,0))</f>
        <v>0</v>
      </c>
      <c r="T41" s="308" t="s">
        <v>147</v>
      </c>
      <c r="U41" s="310"/>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0"/>
      <c r="AN41" s="510" t="str">
        <f>IF(T41="","",T41)</f>
        <v>Наименование тарифа</v>
      </c>
      <c r="AO41" s="510"/>
      <c r="AP41" s="510"/>
      <c r="AQ41" s="1165">
        <v>23</v>
      </c>
    </row>
    <row customHeight="1" ht="24">
      <c r="A42" s="1373" t="s">
        <v>263</v>
      </c>
      <c r="B42" s="1373" t="s">
        <v>264</v>
      </c>
      <c r="C42" s="1373"/>
      <c r="D42" s="1373"/>
      <c r="E42" s="2269"/>
      <c r="F42" s="2268">
        <v>1</v>
      </c>
      <c r="G42" s="1373"/>
      <c r="H42" s="1373"/>
      <c r="I42" s="1373"/>
      <c r="J42" s="1373"/>
      <c r="K42" s="1373"/>
      <c r="L42" s="1374"/>
      <c r="M42" s="1375"/>
      <c r="N42" s="1375"/>
      <c r="O42" s="1375"/>
      <c r="P42" s="1463"/>
      <c r="Q42" s="362"/>
      <c r="R42" s="363"/>
      <c r="S42" s="1467" t="str">
        <f>INDEX(PT_DIFFERENTIATION_NUM_TER,MATCH(B42,PT_DIFFERENTIATION_TER_ID,0))</f>
        <v>.</v>
      </c>
      <c r="T42" s="318" t="s">
        <v>419</v>
      </c>
      <c r="U42" s="310"/>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268" t="s">
        <v>420</v>
      </c>
      <c r="AM42" s="510"/>
      <c r="AN42" s="510" t="str">
        <f>IF(T42="","",T42)</f>
        <v>Территория действия тарифа</v>
      </c>
      <c r="AO42" s="510"/>
      <c r="AP42" s="510"/>
      <c r="AQ42" s="1165">
        <v>23</v>
      </c>
    </row>
    <row customHeight="1" ht="24">
      <c r="A43" s="1373" t="s">
        <v>263</v>
      </c>
      <c r="B43" s="1373" t="s">
        <v>264</v>
      </c>
      <c r="C43" s="1373" t="s">
        <v>265</v>
      </c>
      <c r="D43" s="1373"/>
      <c r="E43" s="2269"/>
      <c r="F43" s="2269"/>
      <c r="G43" s="2268">
        <v>1</v>
      </c>
      <c r="H43" s="1373"/>
      <c r="I43" s="1373"/>
      <c r="J43" s="1373"/>
      <c r="K43" s="1373"/>
      <c r="L43" s="1374"/>
      <c r="M43" s="1375"/>
      <c r="N43" s="1375"/>
      <c r="O43" s="1375"/>
      <c r="P43" s="364"/>
      <c r="Q43" s="362"/>
      <c r="R43" s="363"/>
      <c r="S43" s="1467" t="str">
        <f>INDEX(PT_DIFFERENTIATION_NUM_CS,MATCH(C43,PT_DIFFERENTIATION_CS_ID,0))</f>
        <v>..</v>
      </c>
      <c r="T43" s="319" t="s">
        <v>503</v>
      </c>
      <c r="U43" s="310"/>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268" t="s">
        <v>504</v>
      </c>
      <c r="AM43" s="510"/>
      <c r="AN43" s="510" t="str">
        <f>IF(T43="","",T43)</f>
        <v>Наименование централизованной системы холодного водоснабжения</v>
      </c>
      <c r="AO43" s="510"/>
      <c r="AP43" s="510"/>
      <c r="AQ43" s="1165">
        <v>23</v>
      </c>
    </row>
    <row customHeight="1" ht="24">
      <c r="A44" s="1373" t="s">
        <v>263</v>
      </c>
      <c r="B44" s="1373" t="s">
        <v>264</v>
      </c>
      <c r="C44" s="1373" t="s">
        <v>265</v>
      </c>
      <c r="D44" s="1373" t="s">
        <v>520</v>
      </c>
      <c r="E44" s="2269"/>
      <c r="F44" s="2269"/>
      <c r="G44" s="2269"/>
      <c r="H44" s="2269"/>
      <c r="I44" s="2266" t="str">
        <f>S43&amp;".1"</f>
        <v>...1</v>
      </c>
      <c r="J44" s="1373"/>
      <c r="K44" s="1373"/>
      <c r="L44" s="1374"/>
      <c r="P44" s="2267">
        <v>1</v>
      </c>
      <c r="Q44" s="1460"/>
      <c r="R44" s="366"/>
      <c r="S44" s="1467" t="str">
        <f>$I44</f>
        <v>...1</v>
      </c>
      <c r="T44" s="295" t="s">
        <v>505</v>
      </c>
      <c r="U44" s="310"/>
      <c r="V44" s="2360"/>
      <c r="W44" s="2361"/>
      <c r="X44" s="2361"/>
      <c r="Y44" s="2361"/>
      <c r="Z44" s="2361"/>
      <c r="AA44" s="2361"/>
      <c r="AB44" s="2362"/>
      <c r="AC44" s="2363"/>
      <c r="AD44" s="2364"/>
      <c r="AE44" s="2364"/>
      <c r="AF44" s="2364"/>
      <c r="AG44" s="2364"/>
      <c r="AH44" s="2364"/>
      <c r="AI44" s="2364"/>
      <c r="AJ44" s="2365"/>
      <c r="AK44" s="1268" t="s">
        <v>506</v>
      </c>
      <c r="AM44" s="510"/>
      <c r="AN44" s="510" t="str">
        <f>IF(T44="","",T44)</f>
        <v>Наименование признака дифференциации</v>
      </c>
      <c r="AO44" s="510"/>
      <c r="AP44" s="510"/>
      <c r="AQ44" s="1165">
        <v>23</v>
      </c>
    </row>
    <row customHeight="1" ht="24">
      <c r="A45" s="1373" t="s">
        <v>263</v>
      </c>
      <c r="B45" s="1373" t="s">
        <v>264</v>
      </c>
      <c r="C45" s="1373" t="s">
        <v>265</v>
      </c>
      <c r="D45" s="1373" t="s">
        <v>520</v>
      </c>
      <c r="E45" s="2269"/>
      <c r="F45" s="2269"/>
      <c r="G45" s="2269"/>
      <c r="H45" s="2269"/>
      <c r="I45" s="2296"/>
      <c r="J45" s="2266" t="str">
        <f>I44&amp;".1"</f>
        <v>...1.1</v>
      </c>
      <c r="K45" s="1373"/>
      <c r="L45" s="1374" t="s">
        <v>428</v>
      </c>
      <c r="P45" s="2267"/>
      <c r="Q45" s="2267">
        <v>1</v>
      </c>
      <c r="R45" s="367"/>
      <c r="S45" s="1467" t="str">
        <f>$J45</f>
        <v>...1.1</v>
      </c>
      <c r="T45" s="296" t="s">
        <v>429</v>
      </c>
      <c r="U45" s="310"/>
      <c r="V45" s="2255"/>
      <c r="W45" s="2256"/>
      <c r="X45" s="2256"/>
      <c r="Y45" s="2256"/>
      <c r="Z45" s="2256"/>
      <c r="AA45" s="2256"/>
      <c r="AB45" s="2257"/>
      <c r="AC45" s="2255"/>
      <c r="AD45" s="2256"/>
      <c r="AE45" s="2256"/>
      <c r="AF45" s="2256"/>
      <c r="AG45" s="2256"/>
      <c r="AH45" s="2256"/>
      <c r="AI45" s="2256"/>
      <c r="AJ45" s="2257"/>
      <c r="AK45" s="1317" t="s">
        <v>507</v>
      </c>
      <c r="AM45" s="510"/>
      <c r="AN45" s="510" t="str">
        <f>IF(T45="","",T45)</f>
        <v>Группа потребителей</v>
      </c>
      <c r="AO45" s="510"/>
      <c r="AP45" s="510"/>
      <c r="AQ45" s="1165">
        <v>23</v>
      </c>
    </row>
    <row customHeight="1" ht="24">
      <c r="A46" s="1373" t="s">
        <v>263</v>
      </c>
      <c r="B46" s="1373" t="s">
        <v>264</v>
      </c>
      <c r="C46" s="1373" t="s">
        <v>265</v>
      </c>
      <c r="D46" s="1373" t="s">
        <v>520</v>
      </c>
      <c r="E46" s="2269"/>
      <c r="F46" s="2269"/>
      <c r="G46" s="2269"/>
      <c r="H46" s="2269"/>
      <c r="I46" s="2296"/>
      <c r="J46" s="2296"/>
      <c r="K46" s="2266" t="str">
        <f>J45&amp;".1"</f>
        <v>...1.1.1</v>
      </c>
      <c r="L46" s="1374"/>
      <c r="P46" s="2267"/>
      <c r="Q46" s="2267"/>
      <c r="R46" s="367">
        <v>1</v>
      </c>
      <c r="S46" s="1467" t="str">
        <f>$K46</f>
        <v>...1.1.1</v>
      </c>
      <c r="T46" s="1447"/>
      <c r="U46" s="310"/>
      <c r="V46" s="761"/>
      <c r="W46" s="761"/>
      <c r="X46" s="1267"/>
      <c r="Y46" s="2275"/>
      <c r="Z46" s="2117" t="s">
        <v>66</v>
      </c>
      <c r="AA46" s="2275"/>
      <c r="AB46" s="2117" t="s">
        <v>66</v>
      </c>
      <c r="AC46" s="761"/>
      <c r="AD46" s="761"/>
      <c r="AE46" s="1267"/>
      <c r="AF46" s="2275"/>
      <c r="AG46" s="2117" t="s">
        <v>66</v>
      </c>
      <c r="AH46" s="2297"/>
      <c r="AI46" s="2117" t="s">
        <v>66</v>
      </c>
      <c r="AJ46" s="1448"/>
      <c r="AK46"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1">
        <f>STRCHECKDATE(V47:AJ47)</f>
      </c>
      <c r="AM46" s="510"/>
      <c r="AN46" s="510" t="str">
        <f>IF(T46="","",T46)</f>
        <v/>
      </c>
      <c r="AO46" s="510"/>
      <c r="AP46" s="510"/>
      <c r="AQ46" s="1165">
        <v>23</v>
      </c>
    </row>
    <row customHeight="1" ht="0">
      <c r="A47" s="1373" t="s">
        <v>263</v>
      </c>
      <c r="B47" s="1373" t="s">
        <v>264</v>
      </c>
      <c r="C47" s="1373" t="s">
        <v>265</v>
      </c>
      <c r="D47" s="1373" t="s">
        <v>520</v>
      </c>
      <c r="E47" s="2269"/>
      <c r="F47" s="2269"/>
      <c r="G47" s="2269"/>
      <c r="H47" s="2269"/>
      <c r="I47" s="2296"/>
      <c r="J47" s="2296"/>
      <c r="K47" s="2266"/>
      <c r="L47" s="1374"/>
      <c r="P47" s="2267"/>
      <c r="Q47" s="2267"/>
      <c r="R47" s="367"/>
      <c r="S47" s="1466"/>
      <c r="T47" s="310"/>
      <c r="U47" s="310"/>
      <c r="V47" s="335"/>
      <c r="W47" s="335"/>
      <c r="X47" s="338" t="str">
        <f>Y46&amp;"-"&amp;AA46</f>
        <v>-</v>
      </c>
      <c r="Y47" s="2276"/>
      <c r="Z47" s="2117"/>
      <c r="AA47" s="2276"/>
      <c r="AB47" s="2117"/>
      <c r="AC47" s="335"/>
      <c r="AD47" s="335"/>
      <c r="AE47" s="338" t="str">
        <f>AF46&amp;"-"&amp;AH46</f>
        <v>-</v>
      </c>
      <c r="AF47" s="2276"/>
      <c r="AG47" s="2117"/>
      <c r="AH47" s="2298"/>
      <c r="AI47" s="2117"/>
      <c r="AJ47" s="1449"/>
      <c r="AK47" s="2359"/>
      <c r="AM47" s="510"/>
      <c r="AN47" s="510" t="str">
        <f>IF(T47="","",T47)</f>
        <v/>
      </c>
      <c r="AO47" s="510"/>
      <c r="AP47" s="510"/>
      <c r="AQ47" s="1165">
        <v>0</v>
      </c>
    </row>
    <row customHeight="1" ht="21">
      <c r="A48" s="1373" t="s">
        <v>263</v>
      </c>
      <c r="B48" s="1373" t="s">
        <v>264</v>
      </c>
      <c r="C48" s="1373" t="s">
        <v>265</v>
      </c>
      <c r="D48" s="1373" t="s">
        <v>520</v>
      </c>
      <c r="E48" s="2269"/>
      <c r="F48" s="2269"/>
      <c r="G48" s="2269"/>
      <c r="H48" s="2269"/>
      <c r="I48" s="2296"/>
      <c r="J48" s="2266"/>
      <c r="K48" s="1373"/>
      <c r="L48" s="1374"/>
      <c r="P48" s="2267"/>
      <c r="Q48" s="2267"/>
      <c r="R48" s="366"/>
      <c r="S48" s="1288"/>
      <c r="T48" s="297" t="s">
        <v>508</v>
      </c>
      <c r="U48" s="377"/>
      <c r="V48" s="377"/>
      <c r="W48" s="377"/>
      <c r="X48" s="377"/>
      <c r="Y48" s="377"/>
      <c r="Z48" s="377"/>
      <c r="AA48" s="377"/>
      <c r="AB48" s="377"/>
      <c r="AC48" s="377"/>
      <c r="AD48" s="377"/>
      <c r="AE48" s="377"/>
      <c r="AF48" s="377"/>
      <c r="AG48" s="377"/>
      <c r="AH48" s="377"/>
      <c r="AI48" s="377"/>
      <c r="AJ48" s="377"/>
      <c r="AK48" s="1268" t="s">
        <v>509</v>
      </c>
      <c r="AM48" s="510"/>
      <c r="AN48" s="510" t="str">
        <f>IF(T48="","",T48)</f>
        <v>Добавить значение признака дифференциации</v>
      </c>
      <c r="AO48" s="510"/>
      <c r="AP48" s="510"/>
      <c r="AQ48" s="1165">
        <v>20</v>
      </c>
    </row>
    <row customHeight="1" ht="22.049999999999997">
      <c r="A49" s="1373" t="s">
        <v>263</v>
      </c>
      <c r="B49" s="1373" t="s">
        <v>264</v>
      </c>
      <c r="C49" s="1373" t="s">
        <v>265</v>
      </c>
      <c r="D49" s="1373" t="s">
        <v>520</v>
      </c>
      <c r="E49" s="2269"/>
      <c r="F49" s="2269"/>
      <c r="G49" s="2269"/>
      <c r="H49" s="2269"/>
      <c r="I49" s="2266"/>
      <c r="J49" s="1373"/>
      <c r="K49" s="1373"/>
      <c r="L49" s="1374"/>
      <c r="P49" s="2267"/>
      <c r="Q49" s="1460"/>
      <c r="R49" s="366"/>
      <c r="S49" s="1288"/>
      <c r="T49" s="375" t="s">
        <v>434</v>
      </c>
      <c r="U49" s="377"/>
      <c r="V49" s="377"/>
      <c r="W49" s="377"/>
      <c r="X49" s="377"/>
      <c r="Y49" s="377"/>
      <c r="Z49" s="377"/>
      <c r="AA49" s="377"/>
      <c r="AB49" s="376"/>
      <c r="AC49" s="377"/>
      <c r="AD49" s="377"/>
      <c r="AE49" s="377"/>
      <c r="AF49" s="377"/>
      <c r="AG49" s="377"/>
      <c r="AH49" s="377"/>
      <c r="AI49" s="376"/>
      <c r="AJ49" s="377"/>
      <c r="AK49" s="1450"/>
      <c r="AM49" s="510"/>
      <c r="AN49" s="510" t="str">
        <f>IF(T49="","",T49)</f>
        <v>Добавить группу потребителей</v>
      </c>
      <c r="AO49" s="510"/>
      <c r="AP49" s="510"/>
      <c r="AQ49" s="1165">
        <v>21</v>
      </c>
    </row>
    <row customHeight="1" ht="22.049999999999997">
      <c r="A50" s="1373" t="s">
        <v>263</v>
      </c>
      <c r="B50" s="1373" t="s">
        <v>264</v>
      </c>
      <c r="C50" s="1373" t="s">
        <v>265</v>
      </c>
      <c r="D50" s="1373" t="s">
        <v>520</v>
      </c>
      <c r="E50" s="2269"/>
      <c r="F50" s="2269"/>
      <c r="G50" s="2269"/>
      <c r="H50" s="2268"/>
      <c r="I50" s="1373"/>
      <c r="J50" s="1373"/>
      <c r="K50" s="1373"/>
      <c r="L50" s="1374"/>
      <c r="M50" s="1375"/>
      <c r="N50" s="1375"/>
      <c r="O50" s="547"/>
      <c r="P50" s="370"/>
      <c r="Q50" s="385"/>
      <c r="R50" s="365"/>
      <c r="S50" s="1288"/>
      <c r="T50" s="382" t="s">
        <v>510</v>
      </c>
      <c r="U50" s="377"/>
      <c r="V50" s="377"/>
      <c r="W50" s="377"/>
      <c r="X50" s="377"/>
      <c r="Y50" s="377"/>
      <c r="Z50" s="377"/>
      <c r="AA50" s="377"/>
      <c r="AB50" s="376"/>
      <c r="AC50" s="377"/>
      <c r="AD50" s="377"/>
      <c r="AE50" s="377"/>
      <c r="AF50" s="377"/>
      <c r="AG50" s="377"/>
      <c r="AH50" s="377"/>
      <c r="AI50" s="376"/>
      <c r="AJ50" s="377"/>
      <c r="AK50" s="313"/>
      <c r="AM50" s="510"/>
      <c r="AN50" s="510" t="str">
        <f>IF(T50="","",T50)</f>
        <v>Добавить наименование признака дифференциации</v>
      </c>
      <c r="AO50" s="510"/>
      <c r="AP50" s="510"/>
      <c r="AQ50" s="1165">
        <v>21</v>
      </c>
    </row>
    <row s="1652" customFormat="1" customHeight="1" ht="0">
      <c r="A51" s="1353" t="s">
        <v>263</v>
      </c>
      <c r="B51" s="1353" t="s">
        <v>264</v>
      </c>
      <c r="C51" s="1324"/>
      <c r="D51" s="1324"/>
      <c r="E51" s="2269"/>
      <c r="F51" s="2268"/>
      <c r="G51" s="1324"/>
      <c r="H51" s="1324"/>
      <c r="I51" s="1324"/>
      <c r="J51" s="1324"/>
      <c r="K51" s="1324"/>
      <c r="L51" s="1468"/>
      <c r="M51" s="1331"/>
      <c r="N51" s="1331"/>
      <c r="P51" s="1326"/>
      <c r="Q51" s="1327"/>
      <c r="R51" s="1326"/>
      <c r="S51" s="1332"/>
      <c r="T51" s="1335" t="s">
        <v>437</v>
      </c>
      <c r="U51" s="1334"/>
      <c r="V51" s="1334"/>
      <c r="W51" s="1334"/>
      <c r="X51" s="1334"/>
      <c r="Y51" s="1334"/>
      <c r="Z51" s="1334"/>
      <c r="AA51" s="1334"/>
      <c r="AB51" s="1334"/>
      <c r="AC51" s="1334"/>
      <c r="AD51" s="1334"/>
      <c r="AE51" s="1334"/>
      <c r="AF51" s="1334"/>
      <c r="AG51" s="1334"/>
      <c r="AH51" s="1334"/>
      <c r="AI51" s="1334"/>
      <c r="AJ51" s="1334"/>
      <c r="AK51" s="1334"/>
      <c r="AM51" s="799"/>
      <c r="AN51" s="799" t="str">
        <f>IF(T51="","",T51)</f>
        <v>Добавить централизованную систему для дифференциации</v>
      </c>
      <c r="AO51" s="799"/>
      <c r="AP51" s="799"/>
      <c r="AQ51" s="528">
        <v>0</v>
      </c>
    </row>
    <row s="1652" customFormat="1" customHeight="1" ht="0">
      <c r="A52" s="1353" t="s">
        <v>263</v>
      </c>
      <c r="B52" s="1353"/>
      <c r="C52" s="1353"/>
      <c r="D52" s="1353"/>
      <c r="E52" s="2268"/>
      <c r="F52" s="1353"/>
      <c r="G52" s="1353"/>
      <c r="H52" s="1353"/>
      <c r="I52" s="1353"/>
      <c r="J52" s="1353"/>
      <c r="K52" s="1353"/>
      <c r="L52" s="1356"/>
      <c r="M52" s="1331"/>
      <c r="N52" s="1331"/>
      <c r="O52" s="528"/>
      <c r="P52" s="390"/>
      <c r="Q52" s="1354"/>
      <c r="R52" s="390"/>
      <c r="S52" s="1332"/>
      <c r="T52" s="1335" t="s">
        <v>438</v>
      </c>
      <c r="U52" s="1334"/>
      <c r="V52" s="1334"/>
      <c r="W52" s="1334"/>
      <c r="X52" s="1334"/>
      <c r="Y52" s="1334"/>
      <c r="Z52" s="1334"/>
      <c r="AA52" s="1334"/>
      <c r="AB52" s="1334"/>
      <c r="AC52" s="1334"/>
      <c r="AD52" s="1334"/>
      <c r="AE52" s="1334"/>
      <c r="AF52" s="1334"/>
      <c r="AG52" s="1334"/>
      <c r="AH52" s="1334"/>
      <c r="AI52" s="1334"/>
      <c r="AJ52" s="1334"/>
      <c r="AK52" s="1334"/>
      <c r="AM52" s="510"/>
      <c r="AN52" s="510" t="str">
        <f>IF(T52="","",T52)</f>
        <v>Добавить территорию для дифференциации</v>
      </c>
      <c r="AO52" s="510"/>
      <c r="AP52" s="510"/>
      <c r="AQ52" s="521">
        <v>0</v>
      </c>
    </row>
    <row s="1652" customFormat="1" customHeight="1" ht="0">
      <c r="A53" s="1324"/>
      <c r="B53" s="1324"/>
      <c r="C53" s="1324"/>
      <c r="D53" s="1324"/>
      <c r="E53" s="1353"/>
      <c r="F53" s="1324"/>
      <c r="G53" s="1324"/>
      <c r="H53" s="1324"/>
      <c r="I53" s="1324"/>
      <c r="J53" s="1324"/>
      <c r="K53" s="1324"/>
      <c r="L53" s="1468"/>
      <c r="M53" s="1331"/>
      <c r="N53" s="1331"/>
      <c r="P53" s="1326"/>
      <c r="Q53" s="1327"/>
      <c r="R53" s="1326"/>
      <c r="S53" s="1332"/>
      <c r="T53" s="1335" t="s">
        <v>470</v>
      </c>
      <c r="U53" s="1334"/>
      <c r="V53" s="1334"/>
      <c r="W53" s="1334"/>
      <c r="X53" s="1334"/>
      <c r="Y53" s="1334"/>
      <c r="Z53" s="1334"/>
      <c r="AA53" s="1334"/>
      <c r="AB53" s="1334"/>
      <c r="AC53" s="1334"/>
      <c r="AD53" s="1334"/>
      <c r="AE53" s="1334"/>
      <c r="AF53" s="1334"/>
      <c r="AG53" s="1334"/>
      <c r="AH53" s="1334"/>
      <c r="AI53" s="1334"/>
      <c r="AJ53" s="1334"/>
      <c r="AK53" s="1334"/>
      <c r="AM53" s="799"/>
      <c r="AN53" s="799" t="str">
        <f>IF(T53="","",T53)</f>
        <v>Добавить наименование тарифа</v>
      </c>
      <c r="AO53" s="799"/>
      <c r="AP53" s="799"/>
      <c r="AQ53" s="528">
        <v>0</v>
      </c>
    </row>
    <row customHeight="1" ht="11.549999999999999">
      <c r="M54" s="1170"/>
      <c r="N54" s="1170"/>
      <c r="O54" s="547"/>
      <c r="P54" s="1165"/>
      <c r="Q54" s="1165"/>
      <c r="R54" s="1165"/>
      <c r="S54" s="1165"/>
      <c r="AL54" s="1165"/>
      <c r="AM54" s="1165"/>
      <c r="AN54" s="1165"/>
      <c r="AO54" s="1165"/>
      <c r="AP54" s="1165"/>
      <c r="AQ54" s="1165">
        <v>11</v>
      </c>
    </row>
    <row customHeight="1" ht="14.699999999999998">
      <c r="O55" s="547"/>
      <c r="S55" s="1263"/>
      <c r="T55" s="2295"/>
      <c r="U55" s="2295"/>
      <c r="V55" s="2295"/>
      <c r="W55" s="2295"/>
      <c r="X55" s="2295"/>
      <c r="Y55" s="2295"/>
      <c r="Z55" s="2295"/>
      <c r="AA55" s="2295"/>
      <c r="AB55" s="2295"/>
      <c r="AC55" s="2295"/>
      <c r="AD55" s="2295"/>
      <c r="AE55" s="2295"/>
      <c r="AF55" s="2295"/>
      <c r="AG55" s="2295"/>
      <c r="AH55" s="2295"/>
      <c r="AI55" s="2295"/>
      <c r="AJ55" s="2295"/>
      <c r="AK55" s="2295"/>
      <c r="AQ55" s="1165">
        <v>14</v>
      </c>
    </row>
    <row customHeight="1" ht="14.699999999999998">
      <c r="O56" s="547"/>
      <c r="AQ56" s="1165">
        <v>14</v>
      </c>
    </row>
    <row customHeight="1" ht="14.699999999999998">
      <c r="O57" s="547"/>
      <c r="S57" s="1263"/>
      <c r="T57" s="2295"/>
      <c r="U57" s="2295"/>
      <c r="V57" s="2295"/>
      <c r="W57" s="2295"/>
      <c r="X57" s="2295"/>
      <c r="Y57" s="2295"/>
      <c r="Z57" s="2295"/>
      <c r="AA57" s="2295"/>
      <c r="AB57" s="2295"/>
      <c r="AC57" s="2295"/>
      <c r="AD57" s="2295"/>
      <c r="AE57" s="2295"/>
      <c r="AF57" s="2295"/>
      <c r="AG57" s="2295"/>
      <c r="AH57" s="2295"/>
      <c r="AI57" s="2295"/>
      <c r="AJ57" s="2295"/>
      <c r="AK57" s="2295"/>
      <c r="AQ57" s="1165">
        <v>14</v>
      </c>
    </row>
    <row customHeight="1" ht="22.5" hidden="1">
      <c r="A58" s="1170" t="s">
        <v>82</v>
      </c>
      <c r="B58" s="1170">
        <v>0</v>
      </c>
      <c r="C58" s="1170">
        <v>0</v>
      </c>
      <c r="D58" s="1170">
        <v>0</v>
      </c>
      <c r="E58" s="1170">
        <v>0</v>
      </c>
      <c r="F58" s="1170">
        <v>0</v>
      </c>
      <c r="G58" s="1170">
        <v>0</v>
      </c>
      <c r="H58" s="1170">
        <v>0</v>
      </c>
      <c r="I58" s="1170">
        <v>0</v>
      </c>
      <c r="J58" s="1170">
        <v>0</v>
      </c>
      <c r="K58" s="1170">
        <v>0</v>
      </c>
      <c r="L58" s="1457">
        <v>0</v>
      </c>
      <c r="M58" s="1372">
        <v>0</v>
      </c>
      <c r="N58" s="1372">
        <v>0</v>
      </c>
      <c r="O58" s="1372">
        <v>0</v>
      </c>
      <c r="P58" s="1456">
        <v>3</v>
      </c>
      <c r="Q58" s="354">
        <v>3</v>
      </c>
      <c r="R58" s="354">
        <v>3</v>
      </c>
      <c r="S58" s="591">
        <v>12</v>
      </c>
      <c r="T58" s="1165">
        <v>35</v>
      </c>
      <c r="U58" s="1165">
        <v>0</v>
      </c>
      <c r="V58" s="1165">
        <v>0</v>
      </c>
      <c r="W58" s="1165">
        <v>0</v>
      </c>
      <c r="X58" s="1165">
        <v>0</v>
      </c>
      <c r="Y58" s="1165">
        <v>0</v>
      </c>
      <c r="Z58" s="1165">
        <v>0</v>
      </c>
      <c r="AA58" s="1165">
        <v>0</v>
      </c>
      <c r="AB58" s="1165">
        <v>0</v>
      </c>
      <c r="AC58" s="1165">
        <v>24</v>
      </c>
      <c r="AD58" s="1165">
        <v>24</v>
      </c>
      <c r="AE58" s="1165">
        <v>24</v>
      </c>
      <c r="AF58" s="1165">
        <v>11</v>
      </c>
      <c r="AG58" s="1165">
        <v>3</v>
      </c>
      <c r="AH58" s="1165">
        <v>11</v>
      </c>
      <c r="AI58" s="1165">
        <v>0</v>
      </c>
      <c r="AJ58" s="1165">
        <v>4</v>
      </c>
      <c r="AK58" s="1165">
        <v>115</v>
      </c>
      <c r="AL58" s="521">
        <v>10</v>
      </c>
      <c r="AM58" s="521">
        <v>10</v>
      </c>
      <c r="AN58" s="521">
        <v>10</v>
      </c>
      <c r="AO58" s="521">
        <v>10</v>
      </c>
      <c r="AP58" s="521">
        <v>10</v>
      </c>
      <c r="AQ58" s="116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23CE5A-A92F-D947-8203-0.95EE5B19}"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45" width="10.140625" hidden="1" customWidth="1"/>
    <col min="4" max="4" style="1645" width="11.8515625" hidden="1" customWidth="1"/>
    <col min="5" max="11" style="1645" width="10.140625" hidden="1" customWidth="1"/>
    <col min="12" max="12" style="2135" width="10.140625" hidden="1" customWidth="1"/>
    <col min="13" max="15" style="2407" width="10.140625" hidden="1" customWidth="1"/>
    <col min="16" max="16" style="1786" width="3.00390625" customWidth="1"/>
    <col min="17" max="17" style="1381" width="3.00390625" customWidth="1"/>
    <col min="18" max="18" style="354" width="3.00390625" customWidth="1"/>
    <col min="19" max="19" style="2417" width="12.00390625" customWidth="1"/>
    <col min="20" max="20" style="1645" width="31.00390625" customWidth="1"/>
    <col min="21" max="21" style="1645" width="0.140625" customWidth="1"/>
    <col min="22" max="23" style="1645" width="21.7109375" hidden="1" customWidth="1"/>
    <col min="24" max="24" style="1645" width="11.7109375" hidden="1" customWidth="1"/>
    <col min="25" max="25" style="1645" width="3.7109375" hidden="1" customWidth="1"/>
    <col min="26" max="26" style="1645" width="11.7109375" hidden="1" customWidth="1"/>
    <col min="27" max="27" style="1645" width="8.57421875" hidden="1" customWidth="1"/>
    <col min="28" max="28" style="1645" width="27.00390625" customWidth="1"/>
    <col min="29" max="29" style="1645" width="24.57421875" customWidth="1"/>
    <col min="30" max="31" style="1645" width="21.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0.75" hidden="1">
      <c r="AQ1" s="1641" t="s">
        <v>14</v>
      </c>
    </row>
    <row customHeight="1" ht="21" hidden="1">
      <c r="A2" s="1277"/>
      <c r="B2" s="1277"/>
      <c r="C2" s="1277"/>
      <c r="D2" s="1277"/>
      <c r="E2" s="2299">
        <v>1</v>
      </c>
      <c r="F2" s="1277"/>
      <c r="G2" s="1277"/>
      <c r="H2" s="1277"/>
      <c r="I2" s="1277"/>
      <c r="J2" s="1277"/>
      <c r="K2" s="1277"/>
      <c r="L2" s="1320"/>
      <c r="M2" s="1620"/>
      <c r="N2" s="1620"/>
      <c r="O2" s="1620"/>
      <c r="P2" s="1419"/>
      <c r="Q2" s="883"/>
      <c r="R2" s="365"/>
      <c r="S2" s="1968">
        <f>INDEX(PT_DIFFERENTIATION_NUM_NTAR,MATCH(A2,PT_DIFFERENTIATION_NTAR_ID,0))</f>
      </c>
      <c r="T2" s="1535" t="s">
        <v>147</v>
      </c>
      <c r="U2" s="310"/>
      <c r="V2" s="2253"/>
      <c r="W2" s="2253"/>
      <c r="X2" s="2253"/>
      <c r="Y2" s="2253"/>
      <c r="Z2" s="2253"/>
      <c r="AA2" s="2254"/>
      <c r="AB2" s="1962"/>
      <c r="AC2" s="2253">
        <f>INDEX(PT_DIFFERENTIATION_NTAR,MATCH(A2,PT_DIFFERENTIATION_NTAR_ID,0))</f>
      </c>
      <c r="AD2" s="2253"/>
      <c r="AE2" s="2253"/>
      <c r="AF2" s="2253"/>
      <c r="AG2" s="2253"/>
      <c r="AH2" s="2253"/>
      <c r="AI2" s="2253"/>
      <c r="AJ2" s="2254"/>
      <c r="AK2" s="1268" t="s">
        <v>418</v>
      </c>
      <c r="AM2" s="1634"/>
      <c r="AN2" s="1634" t="str">
        <f>IF(T2="","",T2)</f>
        <v>Наименование тарифа</v>
      </c>
      <c r="AO2" s="1634"/>
      <c r="AP2" s="1634"/>
      <c r="AQ2" s="1641">
        <v>0</v>
      </c>
    </row>
    <row customHeight="1" ht="21" hidden="1">
      <c r="A3" s="1277"/>
      <c r="B3" s="1277"/>
      <c r="C3" s="1277"/>
      <c r="D3" s="1277"/>
      <c r="E3" s="2300"/>
      <c r="F3" s="2299">
        <v>1</v>
      </c>
      <c r="G3" s="1277"/>
      <c r="H3" s="1277"/>
      <c r="I3" s="1277"/>
      <c r="J3" s="1277"/>
      <c r="K3" s="1277"/>
      <c r="L3" s="1320"/>
      <c r="M3" s="1620"/>
      <c r="N3" s="1620"/>
      <c r="O3" s="1620"/>
      <c r="P3" s="1979"/>
      <c r="Q3" s="1421"/>
      <c r="R3" s="363"/>
      <c r="S3" s="1968">
        <f>INDEX(PT_DIFFERENTIATION_NUM_TER,MATCH(B3,PT_DIFFERENTIATION_TER_ID,0))</f>
      </c>
      <c r="T3" s="1532" t="s">
        <v>419</v>
      </c>
      <c r="U3" s="310"/>
      <c r="V3" s="2253"/>
      <c r="W3" s="2253"/>
      <c r="X3" s="2253"/>
      <c r="Y3" s="2253"/>
      <c r="Z3" s="2253"/>
      <c r="AA3" s="2254"/>
      <c r="AB3" s="1962"/>
      <c r="AC3" s="2253">
        <f>INDEX(PT_DIFFERENTIATION_TER,MATCH(B3,PT_DIFFERENTIATION_TER_ID,0))</f>
      </c>
      <c r="AD3" s="2253"/>
      <c r="AE3" s="2253"/>
      <c r="AF3" s="2253"/>
      <c r="AG3" s="2253"/>
      <c r="AH3" s="2253"/>
      <c r="AI3" s="2253"/>
      <c r="AJ3" s="2254"/>
      <c r="AK3" s="1268" t="s">
        <v>420</v>
      </c>
      <c r="AM3" s="1634"/>
      <c r="AN3" s="1634" t="str">
        <f>IF(T3="","",T3)</f>
        <v>Территория действия тарифа</v>
      </c>
      <c r="AO3" s="1634"/>
      <c r="AP3" s="1634"/>
      <c r="AQ3" s="1641">
        <v>0</v>
      </c>
    </row>
    <row customHeight="1" ht="22.5" hidden="1">
      <c r="A4" s="1277"/>
      <c r="B4" s="1277"/>
      <c r="C4" s="1277"/>
      <c r="D4" s="1277"/>
      <c r="E4" s="2300"/>
      <c r="F4" s="2300"/>
      <c r="G4" s="2299">
        <v>1</v>
      </c>
      <c r="H4" s="1277"/>
      <c r="I4" s="1277"/>
      <c r="J4" s="1277"/>
      <c r="K4" s="1277"/>
      <c r="L4" s="1320"/>
      <c r="M4" s="1620"/>
      <c r="N4" s="1620"/>
      <c r="O4" s="1620"/>
      <c r="P4" s="1422"/>
      <c r="Q4" s="1421"/>
      <c r="R4" s="363"/>
      <c r="S4" s="1968">
        <f>INDEX(PT_DIFFERENTIATION_NUM_CS,MATCH(C4,PT_DIFFERENTIATION_CS_ID,0))</f>
      </c>
      <c r="T4" s="319" t="s">
        <v>421</v>
      </c>
      <c r="U4" s="310"/>
      <c r="V4" s="2253"/>
      <c r="W4" s="2253"/>
      <c r="X4" s="2253"/>
      <c r="Y4" s="2253"/>
      <c r="Z4" s="2253"/>
      <c r="AA4" s="2254"/>
      <c r="AB4" s="1962"/>
      <c r="AC4" s="2253">
        <f>INDEX(PT_DIFFERENTIATION_CS,MATCH(C4,PT_DIFFERENTIATION_CS_ID,0))</f>
      </c>
      <c r="AD4" s="2253"/>
      <c r="AE4" s="2253"/>
      <c r="AF4" s="2253"/>
      <c r="AG4" s="2253"/>
      <c r="AH4" s="2253"/>
      <c r="AI4" s="2253"/>
      <c r="AJ4" s="2254"/>
      <c r="AK4" s="1268" t="s">
        <v>422</v>
      </c>
      <c r="AM4" s="1634"/>
      <c r="AN4" s="1634" t="str">
        <f>IF(T4="","",T4)</f>
        <v>Наименование системы теплоснабжения </v>
      </c>
      <c r="AO4" s="1634"/>
      <c r="AP4" s="1634"/>
      <c r="AQ4" s="1641">
        <v>0</v>
      </c>
    </row>
    <row customHeight="1" ht="21" hidden="1">
      <c r="A5" s="1277"/>
      <c r="B5" s="1277"/>
      <c r="C5" s="1277"/>
      <c r="D5" s="1277"/>
      <c r="E5" s="2300"/>
      <c r="F5" s="2300"/>
      <c r="G5" s="2300"/>
      <c r="H5" s="2299">
        <v>1</v>
      </c>
      <c r="I5" s="1277"/>
      <c r="J5" s="1277"/>
      <c r="K5" s="1277"/>
      <c r="L5" s="1320"/>
      <c r="M5" s="1620"/>
      <c r="N5" s="1620"/>
      <c r="O5" s="1620"/>
      <c r="P5" s="1422"/>
      <c r="Q5" s="1421"/>
      <c r="R5" s="363"/>
      <c r="S5" s="1968">
        <f>INDEX(PT_DIFFERENTIATION_NUM_IST_TE,MATCH(D5,PT_DIFFERENTIATION_IST_TE_ID,0))</f>
      </c>
      <c r="T5" s="320" t="s">
        <v>423</v>
      </c>
      <c r="U5" s="310"/>
      <c r="V5" s="2253"/>
      <c r="W5" s="2253"/>
      <c r="X5" s="2253"/>
      <c r="Y5" s="2253"/>
      <c r="Z5" s="2253"/>
      <c r="AA5" s="2254"/>
      <c r="AB5" s="1962"/>
      <c r="AC5" s="2253">
        <f>INDEX(PT_DIFFERENTIATION_IST_TE,MATCH(D5,PT_DIFFERENTIATION_IST_TE_ID,0))</f>
      </c>
      <c r="AD5" s="2253"/>
      <c r="AE5" s="2253"/>
      <c r="AF5" s="2253"/>
      <c r="AG5" s="2253"/>
      <c r="AH5" s="2253"/>
      <c r="AI5" s="2253"/>
      <c r="AJ5" s="2254"/>
      <c r="AK5" s="1268" t="s">
        <v>424</v>
      </c>
      <c r="AM5" s="1634"/>
      <c r="AN5" s="1634" t="str">
        <f>IF(T5="","",T5)</f>
        <v>Источник тепловой энергии  </v>
      </c>
      <c r="AO5" s="1634"/>
      <c r="AP5" s="1634"/>
      <c r="AQ5" s="1641">
        <v>0</v>
      </c>
    </row>
    <row s="1652" customFormat="1" customHeight="1" ht="0.75" hidden="1">
      <c r="A6" s="1385"/>
      <c r="B6" s="1385"/>
      <c r="C6" s="1385"/>
      <c r="D6" s="1385"/>
      <c r="E6" s="2300"/>
      <c r="F6" s="2300"/>
      <c r="G6" s="2300"/>
      <c r="H6" s="2300"/>
      <c r="I6" s="2137">
        <f>S5&amp;".1"</f>
      </c>
      <c r="J6" s="1385"/>
      <c r="K6" s="1385"/>
      <c r="L6" s="1391" t="s">
        <v>425</v>
      </c>
      <c r="M6" s="1256"/>
      <c r="N6" s="1256"/>
      <c r="O6" s="1256"/>
      <c r="P6" s="2267">
        <v>1</v>
      </c>
      <c r="Q6" s="1964"/>
      <c r="R6" s="366"/>
      <c r="S6" s="1052"/>
      <c r="T6" s="1393"/>
      <c r="U6" s="1394"/>
      <c r="V6" s="2307"/>
      <c r="W6" s="2307"/>
      <c r="X6" s="2307"/>
      <c r="Y6" s="2307"/>
      <c r="Z6" s="2307"/>
      <c r="AA6" s="2308"/>
      <c r="AB6" s="1970"/>
      <c r="AC6" s="2307"/>
      <c r="AD6" s="2307"/>
      <c r="AE6" s="2307"/>
      <c r="AF6" s="2307"/>
      <c r="AG6" s="2307"/>
      <c r="AH6" s="2307"/>
      <c r="AI6" s="2307"/>
      <c r="AJ6" s="2308"/>
      <c r="AK6" s="1395"/>
      <c r="AM6" s="1634"/>
      <c r="AN6" s="1634" t="str">
        <f>IF(T6="","",T6)</f>
        <v/>
      </c>
      <c r="AO6" s="1634"/>
      <c r="AP6" s="1634"/>
      <c r="AQ6" s="1646">
        <v>0</v>
      </c>
    </row>
    <row s="1652" customFormat="1" customHeight="1" ht="0.75" hidden="1">
      <c r="A7" s="1385"/>
      <c r="B7" s="1385"/>
      <c r="C7" s="1385"/>
      <c r="D7" s="1385"/>
      <c r="E7" s="2300"/>
      <c r="F7" s="2300"/>
      <c r="G7" s="2300"/>
      <c r="H7" s="2300"/>
      <c r="I7" s="2111"/>
      <c r="J7" s="2137">
        <f>S5&amp;".1"</f>
      </c>
      <c r="K7" s="1385"/>
      <c r="L7" s="1391"/>
      <c r="M7" s="1256"/>
      <c r="N7" s="1256"/>
      <c r="O7" s="1256"/>
      <c r="P7" s="2267"/>
      <c r="Q7" s="2267">
        <v>1</v>
      </c>
      <c r="R7" s="367"/>
      <c r="S7" s="1052"/>
      <c r="T7" s="1409"/>
      <c r="U7" s="1394"/>
      <c r="V7" s="2307"/>
      <c r="W7" s="2307"/>
      <c r="X7" s="2307"/>
      <c r="Y7" s="2307"/>
      <c r="Z7" s="2307"/>
      <c r="AA7" s="2308"/>
      <c r="AB7" s="1970"/>
      <c r="AC7" s="2307"/>
      <c r="AD7" s="2307"/>
      <c r="AE7" s="2307"/>
      <c r="AF7" s="2307"/>
      <c r="AG7" s="2307"/>
      <c r="AH7" s="2307"/>
      <c r="AI7" s="2307"/>
      <c r="AJ7" s="2308"/>
      <c r="AK7" s="1395"/>
      <c r="AM7" s="1634"/>
      <c r="AN7" s="1634" t="str">
        <f>IF(T7="","",T7)</f>
        <v/>
      </c>
      <c r="AO7" s="1634"/>
      <c r="AP7" s="1634"/>
      <c r="AQ7" s="1646">
        <v>0</v>
      </c>
    </row>
    <row customHeight="1" ht="21" hidden="1">
      <c r="A8" s="1277"/>
      <c r="B8" s="1277"/>
      <c r="C8" s="1277"/>
      <c r="D8" s="1277"/>
      <c r="E8" s="2300"/>
      <c r="F8" s="2300"/>
      <c r="G8" s="2300"/>
      <c r="H8" s="2300"/>
      <c r="I8" s="2111"/>
      <c r="J8" s="2111"/>
      <c r="K8" s="2001">
        <f>S5&amp;".1"</f>
      </c>
      <c r="L8" s="1320"/>
      <c r="P8" s="2267"/>
      <c r="Q8" s="2267"/>
      <c r="R8" s="2005">
        <v>1</v>
      </c>
      <c r="S8" s="2003">
        <f>$K8</f>
      </c>
      <c r="T8" s="2004"/>
      <c r="U8" s="310"/>
      <c r="V8" s="761"/>
      <c r="W8" s="1267"/>
      <c r="X8" s="2002"/>
      <c r="Y8" s="2000" t="s">
        <v>66</v>
      </c>
      <c r="Z8" s="2002"/>
      <c r="AA8" s="2000" t="s">
        <v>66</v>
      </c>
      <c r="AB8" s="2006"/>
      <c r="AC8" s="2007" t="s">
        <v>22</v>
      </c>
      <c r="AD8" s="761"/>
      <c r="AE8" s="1267"/>
      <c r="AF8" s="1965"/>
      <c r="AG8" s="1952" t="s">
        <v>66</v>
      </c>
      <c r="AH8" s="1965"/>
      <c r="AI8" s="1952" t="s">
        <v>66</v>
      </c>
      <c r="AJ8" s="1358"/>
      <c r="AK8" s="2263" t="s">
        <v>486</v>
      </c>
      <c r="AL8" s="1646">
        <f>STRCHECKDATE(#REF!)</f>
      </c>
      <c r="AM8" s="1634"/>
      <c r="AN8" s="1634" t="str">
        <f>IF(T8="","",T8)</f>
        <v/>
      </c>
      <c r="AO8" s="1634"/>
      <c r="AP8" s="1634"/>
      <c r="AQ8" s="1641">
        <v>0</v>
      </c>
    </row>
    <row customHeight="1" ht="11.25" hidden="1">
      <c r="A9" s="1277"/>
      <c r="B9" s="1277"/>
      <c r="C9" s="1277"/>
      <c r="D9" s="1277"/>
      <c r="E9" s="2300"/>
      <c r="F9" s="2300"/>
      <c r="G9" s="2300"/>
      <c r="H9" s="2300"/>
      <c r="I9" s="2111"/>
      <c r="J9" s="2137"/>
      <c r="K9" s="1277"/>
      <c r="L9" s="1320"/>
      <c r="P9" s="2267"/>
      <c r="Q9" s="2267"/>
      <c r="R9" s="366"/>
      <c r="S9" s="1288"/>
      <c r="T9" s="297" t="s">
        <v>490</v>
      </c>
      <c r="U9" s="610"/>
      <c r="V9" s="610"/>
      <c r="W9" s="610"/>
      <c r="X9" s="610"/>
      <c r="Y9" s="610"/>
      <c r="Z9" s="610"/>
      <c r="AA9" s="610"/>
      <c r="AB9" s="610"/>
      <c r="AC9" s="610"/>
      <c r="AD9" s="610"/>
      <c r="AE9" s="610"/>
      <c r="AF9" s="610"/>
      <c r="AG9" s="610"/>
      <c r="AH9" s="610"/>
      <c r="AI9" s="610"/>
      <c r="AJ9" s="334"/>
      <c r="AK9" s="2265"/>
      <c r="AM9" s="1634"/>
      <c r="AN9" s="1634" t="str">
        <f>IF(T9="","",T9)</f>
        <v>Добавить строку</v>
      </c>
      <c r="AO9" s="1634"/>
      <c r="AP9" s="1634"/>
      <c r="AQ9" s="1641">
        <v>0</v>
      </c>
    </row>
    <row s="1652" customFormat="1" customHeight="1" ht="0.75" hidden="1">
      <c r="A10" s="1385"/>
      <c r="B10" s="1385"/>
      <c r="C10" s="1385"/>
      <c r="D10" s="1385"/>
      <c r="E10" s="2300"/>
      <c r="F10" s="2300"/>
      <c r="G10" s="2300"/>
      <c r="H10" s="2300"/>
      <c r="I10" s="2137"/>
      <c r="J10" s="1385"/>
      <c r="K10" s="1385"/>
      <c r="L10" s="1391"/>
      <c r="M10" s="1256"/>
      <c r="N10" s="1256"/>
      <c r="O10" s="1256"/>
      <c r="P10" s="2267"/>
      <c r="Q10" s="1964"/>
      <c r="R10" s="366"/>
      <c r="S10" s="1396"/>
      <c r="T10" s="1397"/>
      <c r="U10" s="1398"/>
      <c r="V10" s="1398"/>
      <c r="W10" s="1398"/>
      <c r="X10" s="1398"/>
      <c r="Y10" s="1398"/>
      <c r="Z10" s="1398"/>
      <c r="AA10" s="1398"/>
      <c r="AB10" s="1398"/>
      <c r="AC10" s="1398"/>
      <c r="AD10" s="1398"/>
      <c r="AE10" s="1398"/>
      <c r="AF10" s="1398"/>
      <c r="AG10" s="1398"/>
      <c r="AH10" s="1398"/>
      <c r="AI10" s="1398"/>
      <c r="AJ10" s="1398"/>
      <c r="AK10" s="1399"/>
      <c r="AM10" s="1634"/>
      <c r="AN10" s="1634" t="str">
        <f>IF(T10="","",T10)</f>
        <v/>
      </c>
      <c r="AO10" s="1634"/>
      <c r="AP10" s="1634"/>
      <c r="AQ10" s="1646">
        <v>0</v>
      </c>
    </row>
    <row s="1652" customFormat="1" customHeight="1" ht="0.75" hidden="1">
      <c r="A11" s="1385"/>
      <c r="B11" s="1385"/>
      <c r="C11" s="1385"/>
      <c r="D11" s="1385"/>
      <c r="E11" s="2300"/>
      <c r="F11" s="2300"/>
      <c r="G11" s="2300"/>
      <c r="H11" s="2299"/>
      <c r="I11" s="1385"/>
      <c r="J11" s="1385"/>
      <c r="K11" s="1385"/>
      <c r="L11" s="1391"/>
      <c r="M11" s="1388"/>
      <c r="N11" s="1388"/>
      <c r="O11" s="361"/>
      <c r="P11" s="390"/>
      <c r="Q11" s="1354"/>
      <c r="R11" s="1411"/>
      <c r="S11" s="1396"/>
      <c r="T11" s="1397"/>
      <c r="U11" s="1398"/>
      <c r="V11" s="1398"/>
      <c r="W11" s="1398"/>
      <c r="X11" s="1398"/>
      <c r="Y11" s="1398"/>
      <c r="Z11" s="1398"/>
      <c r="AA11" s="1398"/>
      <c r="AB11" s="1398"/>
      <c r="AC11" s="1398"/>
      <c r="AD11" s="1398"/>
      <c r="AE11" s="1398"/>
      <c r="AF11" s="1398"/>
      <c r="AG11" s="1398"/>
      <c r="AH11" s="1398"/>
      <c r="AI11" s="1398"/>
      <c r="AJ11" s="1398"/>
      <c r="AK11" s="1399"/>
      <c r="AM11" s="1634"/>
      <c r="AN11" s="1634" t="str">
        <f>IF(T11="","",T11)</f>
        <v/>
      </c>
      <c r="AO11" s="1634"/>
      <c r="AP11" s="1634"/>
      <c r="AQ11" s="1646">
        <v>0</v>
      </c>
    </row>
    <row s="1652" customFormat="1" customHeight="1" ht="0.75" hidden="1">
      <c r="A12" s="1385"/>
      <c r="B12" s="1385"/>
      <c r="C12" s="1385"/>
      <c r="D12" s="1384"/>
      <c r="E12" s="2300"/>
      <c r="F12" s="2300"/>
      <c r="G12" s="2299"/>
      <c r="H12" s="1384"/>
      <c r="I12" s="1384"/>
      <c r="J12" s="1384"/>
      <c r="K12" s="1384"/>
      <c r="L12" s="1387"/>
      <c r="M12" s="1388"/>
      <c r="N12" s="1388"/>
      <c r="O12" s="361"/>
      <c r="P12" s="1326"/>
      <c r="Q12" s="1327"/>
      <c r="R12" s="1326"/>
      <c r="S12" s="1332"/>
      <c r="T12" s="1335" t="s">
        <v>436</v>
      </c>
      <c r="U12" s="1334"/>
      <c r="V12" s="1334"/>
      <c r="W12" s="1334"/>
      <c r="X12" s="1334"/>
      <c r="Y12" s="1334"/>
      <c r="Z12" s="1334"/>
      <c r="AA12" s="1334"/>
      <c r="AB12" s="1334"/>
      <c r="AC12" s="1334"/>
      <c r="AD12" s="1334"/>
      <c r="AE12" s="1334"/>
      <c r="AF12" s="1334"/>
      <c r="AG12" s="1334"/>
      <c r="AH12" s="1334"/>
      <c r="AI12" s="1334"/>
      <c r="AJ12" s="1334"/>
      <c r="AK12" s="1334"/>
      <c r="AM12" s="1261"/>
      <c r="AN12" s="1261" t="str">
        <f>IF(T12="","",T12)</f>
        <v>Добавить источник для дифференциации</v>
      </c>
      <c r="AO12" s="1261"/>
      <c r="AP12" s="1261"/>
      <c r="AQ12" s="1652">
        <v>0</v>
      </c>
    </row>
    <row s="1652" customFormat="1" customHeight="1" ht="0.75" hidden="1">
      <c r="A13" s="1385"/>
      <c r="B13" s="1385"/>
      <c r="C13" s="1384"/>
      <c r="D13" s="1384"/>
      <c r="E13" s="2300"/>
      <c r="F13" s="2299"/>
      <c r="G13" s="1384"/>
      <c r="H13" s="1384"/>
      <c r="I13" s="1384"/>
      <c r="J13" s="1384"/>
      <c r="K13" s="1384"/>
      <c r="L13" s="1387"/>
      <c r="M13" s="1389"/>
      <c r="N13" s="1389"/>
      <c r="O13" s="361"/>
      <c r="P13" s="1326"/>
      <c r="Q13" s="1327"/>
      <c r="R13" s="1326"/>
      <c r="S13" s="1332"/>
      <c r="T13" s="1335" t="s">
        <v>437</v>
      </c>
      <c r="U13" s="1334"/>
      <c r="V13" s="1334"/>
      <c r="W13" s="1334"/>
      <c r="X13" s="1334"/>
      <c r="Y13" s="1334"/>
      <c r="Z13" s="1334"/>
      <c r="AA13" s="1334"/>
      <c r="AB13" s="1334"/>
      <c r="AC13" s="1334"/>
      <c r="AD13" s="1334"/>
      <c r="AE13" s="1334"/>
      <c r="AF13" s="1334"/>
      <c r="AG13" s="1334"/>
      <c r="AH13" s="1334"/>
      <c r="AI13" s="1334"/>
      <c r="AJ13" s="1334"/>
      <c r="AK13" s="1334"/>
      <c r="AM13" s="1261"/>
      <c r="AN13" s="1261" t="str">
        <f>IF(T13="","",T13)</f>
        <v>Добавить централизованную систему для дифференциации</v>
      </c>
      <c r="AO13" s="1261"/>
      <c r="AP13" s="1261"/>
      <c r="AQ13" s="1652">
        <v>0</v>
      </c>
    </row>
    <row s="1652" customFormat="1" customHeight="1" ht="0.75" hidden="1">
      <c r="A14" s="1385"/>
      <c r="B14" s="1385"/>
      <c r="C14" s="1385"/>
      <c r="D14" s="1385"/>
      <c r="E14" s="2299"/>
      <c r="F14" s="1385"/>
      <c r="G14" s="1385"/>
      <c r="H14" s="1385"/>
      <c r="I14" s="1385"/>
      <c r="J14" s="1385"/>
      <c r="K14" s="1385"/>
      <c r="L14" s="1391"/>
      <c r="M14" s="1389"/>
      <c r="N14" s="1389"/>
      <c r="O14" s="361"/>
      <c r="P14" s="390"/>
      <c r="Q14" s="1354"/>
      <c r="R14" s="390"/>
      <c r="S14" s="1332"/>
      <c r="T14" s="1335" t="s">
        <v>438</v>
      </c>
      <c r="U14" s="1334"/>
      <c r="V14" s="1334"/>
      <c r="W14" s="1334"/>
      <c r="X14" s="1334"/>
      <c r="Y14" s="1334"/>
      <c r="Z14" s="1334"/>
      <c r="AA14" s="1334"/>
      <c r="AB14" s="1334"/>
      <c r="AC14" s="1334"/>
      <c r="AD14" s="1334"/>
      <c r="AE14" s="1334"/>
      <c r="AF14" s="1334"/>
      <c r="AG14" s="1334"/>
      <c r="AH14" s="1334"/>
      <c r="AI14" s="1334"/>
      <c r="AJ14" s="1334"/>
      <c r="AK14" s="1334"/>
      <c r="AM14" s="1634"/>
      <c r="AN14" s="1634" t="str">
        <f>IF(T14="","",T14)</f>
        <v>Добавить территорию для дифференциации</v>
      </c>
      <c r="AO14" s="1634"/>
      <c r="AP14" s="1634"/>
      <c r="AQ14" s="1646">
        <v>0</v>
      </c>
    </row>
    <row customHeight="1" ht="14.25" hidden="1">
      <c r="AQ15" s="1641">
        <v>0</v>
      </c>
    </row>
    <row customHeight="1" ht="14.25" hidden="1">
      <c r="AC16" s="1512"/>
      <c r="AD16" s="1413"/>
      <c r="AE16" s="1414"/>
      <c r="AF16" s="1746"/>
      <c r="AG16" s="1976" t="s">
        <v>66</v>
      </c>
      <c r="AH16" s="1746"/>
      <c r="AI16" s="1976" t="s">
        <v>66</v>
      </c>
      <c r="AQ16" s="1641">
        <v>0</v>
      </c>
    </row>
    <row customHeight="1" ht="14.25" hidden="1">
      <c r="AL17" s="1651"/>
      <c r="AM17" s="1651"/>
      <c r="AN17" s="1651"/>
      <c r="AO17" s="1651"/>
      <c r="AP17" s="1651"/>
      <c r="AQ17" s="1641">
        <v>0</v>
      </c>
    </row>
    <row customHeight="1" ht="14.25" hidden="1">
      <c r="O18" s="1355" t="s">
        <v>439</v>
      </c>
      <c r="X18" s="1355"/>
      <c r="Z18" s="1355"/>
      <c r="AF18" s="1355"/>
      <c r="AH18" s="1355"/>
      <c r="AL18" s="1651"/>
      <c r="AM18" s="1651"/>
      <c r="AN18" s="1651"/>
      <c r="AO18" s="1651"/>
      <c r="AP18" s="1651"/>
      <c r="AQ18" s="1641">
        <v>0</v>
      </c>
    </row>
    <row customHeight="1" ht="14.25" hidden="1">
      <c r="AL19" s="1651"/>
      <c r="AM19" s="1651"/>
      <c r="AN19" s="1651"/>
      <c r="AO19" s="1651"/>
      <c r="AP19" s="1651"/>
      <c r="AQ19" s="1641">
        <v>0</v>
      </c>
    </row>
    <row s="1519" customFormat="1" customHeight="1" ht="14.25" hidden="1">
      <c r="A20" s="1981"/>
      <c r="B20" s="1981"/>
      <c r="C20" s="1981"/>
      <c r="D20" s="1981"/>
      <c r="E20" s="1981"/>
      <c r="F20" s="1981"/>
      <c r="G20" s="1981"/>
      <c r="H20" s="1981"/>
      <c r="I20" s="1981"/>
      <c r="J20" s="1981"/>
      <c r="K20" s="1981"/>
      <c r="L20" s="1981"/>
      <c r="M20" s="1982"/>
      <c r="N20" s="1982"/>
      <c r="O20" s="1983" t="s">
        <v>440</v>
      </c>
      <c r="P20" s="1518"/>
      <c r="Q20" s="1520"/>
      <c r="R20" s="1520"/>
      <c r="Y20" s="1517" t="s">
        <v>442</v>
      </c>
      <c r="AA20" s="1517" t="s">
        <v>443</v>
      </c>
      <c r="AC20" s="1517" t="s">
        <v>492</v>
      </c>
      <c r="AG20" s="1517" t="s">
        <v>442</v>
      </c>
      <c r="AI20" s="1517" t="s">
        <v>443</v>
      </c>
      <c r="AL20" s="1521"/>
      <c r="AM20" s="1521"/>
      <c r="AN20" s="1521"/>
      <c r="AO20" s="1521"/>
      <c r="AP20" s="1521"/>
      <c r="AQ20" s="1517">
        <v>0</v>
      </c>
    </row>
    <row customHeight="1" ht="14.25" hidden="1">
      <c r="O21" s="1320"/>
      <c r="AL21" s="1651"/>
      <c r="AM21" s="1651"/>
      <c r="AN21" s="1651"/>
      <c r="AO21" s="1651"/>
      <c r="AP21" s="1651"/>
      <c r="AQ21" s="1641">
        <v>0</v>
      </c>
    </row>
    <row customHeight="1" ht="14.25" hidden="1">
      <c r="O22" s="1320"/>
      <c r="AL22" s="1651"/>
      <c r="AM22" s="1651"/>
      <c r="AN22" s="1651"/>
      <c r="AO22" s="1651"/>
      <c r="AP22" s="1651"/>
      <c r="AQ22" s="1641">
        <v>0</v>
      </c>
    </row>
    <row customHeight="1" ht="14.699999999999998">
      <c r="Q23" s="301"/>
      <c r="R23" s="386"/>
      <c r="S23" s="1285"/>
      <c r="T23" s="467"/>
      <c r="U23" s="467"/>
      <c r="V23" s="1645"/>
      <c r="W23" s="1645"/>
      <c r="X23" s="1645"/>
      <c r="Y23" s="1645"/>
      <c r="Z23" s="1645"/>
      <c r="AA23" s="1645"/>
      <c r="AB23" s="1645"/>
      <c r="AC23" s="1645"/>
      <c r="AD23" s="1645"/>
      <c r="AE23" s="1645"/>
      <c r="AF23" s="1645"/>
      <c r="AG23" s="1645"/>
      <c r="AH23" s="1645"/>
      <c r="AI23" s="1645"/>
      <c r="AQ23" s="1641">
        <v>14</v>
      </c>
    </row>
    <row customHeight="1" ht="39.75">
      <c r="Q24" s="301"/>
      <c r="R24" s="386"/>
      <c r="S24" s="225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8"/>
      <c r="U24" s="2258"/>
      <c r="V24" s="2258"/>
      <c r="W24" s="2258"/>
      <c r="X24" s="2258"/>
      <c r="Y24" s="2258"/>
      <c r="Z24" s="2258"/>
      <c r="AA24" s="2258"/>
      <c r="AB24" s="2258"/>
      <c r="AC24" s="2258"/>
      <c r="AD24" s="2258"/>
      <c r="AE24" s="2258"/>
      <c r="AF24" s="2258"/>
      <c r="AG24" s="2258"/>
      <c r="AH24" s="2258"/>
      <c r="AI24" s="1253"/>
      <c r="AQ24" s="1641">
        <v>38</v>
      </c>
    </row>
    <row customHeight="1" ht="14.699999999999998">
      <c r="Q25" s="301"/>
      <c r="R25" s="386"/>
      <c r="S25" s="2259" t="str">
        <f>IF(org=0,"Не определено",org)</f>
        <v>АО «ДГК» СП «Нерюнгринская ГРЭС»</v>
      </c>
      <c r="T25" s="2259"/>
      <c r="U25" s="2259"/>
      <c r="V25" s="2259"/>
      <c r="W25" s="2259"/>
      <c r="X25" s="2259"/>
      <c r="Y25" s="2259"/>
      <c r="Z25" s="2259"/>
      <c r="AA25" s="2259"/>
      <c r="AB25" s="2259"/>
      <c r="AC25" s="2259"/>
      <c r="AD25" s="2259"/>
      <c r="AE25" s="2259"/>
      <c r="AF25" s="2259"/>
      <c r="AG25" s="2259"/>
      <c r="AH25" s="2259"/>
      <c r="AI25" s="1253"/>
      <c r="AQ25" s="1641">
        <v>14</v>
      </c>
    </row>
    <row customHeight="1" ht="14.25" hidden="1">
      <c r="Q26" s="301"/>
      <c r="R26" s="386"/>
      <c r="S26" s="1285"/>
      <c r="T26" s="467"/>
      <c r="U26" s="467"/>
      <c r="V26" s="332"/>
      <c r="W26" s="332"/>
      <c r="X26" s="332"/>
      <c r="Y26" s="332"/>
      <c r="Z26" s="332"/>
      <c r="AA26" s="332"/>
      <c r="AB26" s="332"/>
      <c r="AC26" s="332"/>
      <c r="AD26" s="332"/>
      <c r="AE26" s="332"/>
      <c r="AF26" s="332"/>
      <c r="AG26" s="332"/>
      <c r="AH26" s="332"/>
      <c r="AI26" s="332"/>
      <c r="AJ26" s="1645"/>
      <c r="AQ26" s="1641">
        <v>0</v>
      </c>
    </row>
    <row s="1863" customFormat="1" customHeight="1" ht="25.5" hidden="1">
      <c r="A27" s="1258"/>
      <c r="B27" s="1258"/>
      <c r="C27" s="1258"/>
      <c r="D27" s="1258"/>
      <c r="E27" s="1258"/>
      <c r="F27" s="1258"/>
      <c r="G27" s="1258"/>
      <c r="H27" s="1258"/>
      <c r="I27" s="1258"/>
      <c r="J27" s="1258"/>
      <c r="K27" s="1258"/>
      <c r="L27" s="1390"/>
      <c r="M27" s="1258"/>
      <c r="N27" s="1258"/>
      <c r="O27" s="1258"/>
      <c r="P27" s="1378"/>
      <c r="Q27" s="1378"/>
      <c r="S27" s="2260" t="s">
        <v>42</v>
      </c>
      <c r="T27" s="2260"/>
      <c r="U27" s="1382"/>
      <c r="V27" s="2261" t="str">
        <f>IF(TITLE_NAME_OR_PR_CHANGE="",IF(TITLE_NAME_OR_PR="","",TITLE_NAME_OR_PR),TITLE_NAME_OR_PR_CHANGE)</f>
        <v/>
      </c>
      <c r="W27" s="2261"/>
      <c r="X27" s="2261"/>
      <c r="Y27" s="2261"/>
      <c r="Z27" s="2261"/>
      <c r="AA27" s="1645"/>
      <c r="AB27" s="1645"/>
      <c r="AC27" s="2261"/>
      <c r="AD27" s="2261"/>
      <c r="AE27" s="2261"/>
      <c r="AF27" s="2261"/>
      <c r="AG27" s="2261"/>
      <c r="AH27" s="2261"/>
      <c r="AI27" s="1645"/>
      <c r="AJ27" s="1645"/>
      <c r="AK27" s="290"/>
      <c r="AL27" s="378"/>
      <c r="AM27" s="378"/>
      <c r="AN27" s="378"/>
      <c r="AO27" s="378"/>
      <c r="AP27" s="378"/>
      <c r="AQ27" s="428">
        <v>0</v>
      </c>
    </row>
    <row s="1863" customFormat="1" customHeight="1" ht="18.75" hidden="1">
      <c r="A28" s="1258"/>
      <c r="B28" s="1258"/>
      <c r="C28" s="1258"/>
      <c r="D28" s="1258"/>
      <c r="E28" s="1258"/>
      <c r="F28" s="1258"/>
      <c r="G28" s="1258"/>
      <c r="H28" s="1258"/>
      <c r="I28" s="1258"/>
      <c r="J28" s="1258"/>
      <c r="K28" s="1258"/>
      <c r="L28" s="1390"/>
      <c r="M28" s="1258"/>
      <c r="N28" s="1258"/>
      <c r="O28" s="1258"/>
      <c r="P28" s="1378"/>
      <c r="Q28" s="1378"/>
      <c r="S28" s="2260" t="s">
        <v>445</v>
      </c>
      <c r="T28" s="2260"/>
      <c r="U28" s="1382"/>
      <c r="V28" s="2274" t="str">
        <f>IF(TITLE_DATE_PR_CHANGE="",IF(TITLE_DATE_PR="","",TITLE_DATE_PR),TITLE_DATE_PR_CHANGE)</f>
        <v/>
      </c>
      <c r="W28" s="2274"/>
      <c r="X28" s="2274"/>
      <c r="Y28" s="2274"/>
      <c r="Z28" s="2274"/>
      <c r="AA28" s="1645"/>
      <c r="AB28" s="1645"/>
      <c r="AC28" s="2274"/>
      <c r="AD28" s="2274"/>
      <c r="AE28" s="2274"/>
      <c r="AF28" s="2274"/>
      <c r="AG28" s="2274"/>
      <c r="AH28" s="2274"/>
      <c r="AI28" s="1645"/>
      <c r="AJ28" s="1645"/>
      <c r="AK28" s="290"/>
      <c r="AL28" s="378"/>
      <c r="AM28" s="378"/>
      <c r="AN28" s="378"/>
      <c r="AO28" s="378"/>
      <c r="AP28" s="378"/>
      <c r="AQ28" s="428">
        <v>0</v>
      </c>
    </row>
    <row s="1863" customFormat="1" customHeight="1" ht="18.75" hidden="1">
      <c r="A29" s="1258"/>
      <c r="B29" s="1258"/>
      <c r="C29" s="1258"/>
      <c r="D29" s="1258"/>
      <c r="E29" s="1258"/>
      <c r="F29" s="1258"/>
      <c r="G29" s="1258"/>
      <c r="H29" s="1258"/>
      <c r="I29" s="1258"/>
      <c r="J29" s="1258"/>
      <c r="K29" s="1258"/>
      <c r="L29" s="1390"/>
      <c r="M29" s="1258"/>
      <c r="N29" s="1258"/>
      <c r="O29" s="1258"/>
      <c r="P29" s="1378"/>
      <c r="Q29" s="1378"/>
      <c r="S29" s="2260" t="s">
        <v>446</v>
      </c>
      <c r="T29" s="2260"/>
      <c r="U29" s="1382"/>
      <c r="V29" s="2261" t="str">
        <f>IF(TITLE_NUMBER_PR_CHANGE="",IF(TITLE_NUMBER_PR="","",TITLE_NUMBER_PR),TITLE_NUMBER_PR_CHANGE)</f>
        <v/>
      </c>
      <c r="W29" s="2261"/>
      <c r="X29" s="2261"/>
      <c r="Y29" s="2261"/>
      <c r="Z29" s="2261"/>
      <c r="AA29" s="1645"/>
      <c r="AB29" s="1645"/>
      <c r="AC29" s="2261"/>
      <c r="AD29" s="2261"/>
      <c r="AE29" s="2261"/>
      <c r="AF29" s="2261"/>
      <c r="AG29" s="2261"/>
      <c r="AH29" s="2261"/>
      <c r="AI29" s="1645"/>
      <c r="AJ29" s="1645"/>
      <c r="AK29" s="290"/>
      <c r="AL29" s="378"/>
      <c r="AM29" s="378"/>
      <c r="AN29" s="378"/>
      <c r="AO29" s="378"/>
      <c r="AP29" s="378"/>
      <c r="AQ29" s="428">
        <v>0</v>
      </c>
    </row>
    <row s="1863" customFormat="1" customHeight="1" ht="18.75" hidden="1">
      <c r="A30" s="1258"/>
      <c r="B30" s="1258"/>
      <c r="C30" s="1258"/>
      <c r="D30" s="1258"/>
      <c r="E30" s="1258"/>
      <c r="F30" s="1258"/>
      <c r="G30" s="1258"/>
      <c r="H30" s="1258"/>
      <c r="I30" s="1258"/>
      <c r="J30" s="1258"/>
      <c r="K30" s="1258"/>
      <c r="L30" s="1390"/>
      <c r="M30" s="1258"/>
      <c r="N30" s="1258"/>
      <c r="O30" s="1258"/>
      <c r="P30" s="1378"/>
      <c r="Q30" s="1378"/>
      <c r="S30" s="2260" t="s">
        <v>43</v>
      </c>
      <c r="T30" s="2260"/>
      <c r="U30" s="1382"/>
      <c r="V30" s="2261" t="str">
        <f>IF(TITLE_IST_PUB_CHANGE="",IF(TITLE_IST_PUB="","",TITLE_IST_PUB),TITLE_IST_PUB_CHANGE)</f>
        <v/>
      </c>
      <c r="W30" s="2261"/>
      <c r="X30" s="2261"/>
      <c r="Y30" s="2261"/>
      <c r="Z30" s="2261"/>
      <c r="AA30" s="1645"/>
      <c r="AB30" s="1645"/>
      <c r="AC30" s="2261"/>
      <c r="AD30" s="2261"/>
      <c r="AE30" s="2261"/>
      <c r="AF30" s="2261"/>
      <c r="AG30" s="2261"/>
      <c r="AH30" s="2261"/>
      <c r="AI30" s="1645"/>
      <c r="AJ30" s="1645"/>
      <c r="AK30" s="290"/>
      <c r="AL30" s="378"/>
      <c r="AM30" s="378"/>
      <c r="AN30" s="378"/>
      <c r="AO30" s="378"/>
      <c r="AP30" s="378"/>
      <c r="AQ30" s="428">
        <v>0</v>
      </c>
    </row>
    <row customHeight="1" ht="14.25" hidden="1">
      <c r="Q31" s="301"/>
      <c r="R31" s="386"/>
      <c r="S31" s="1285"/>
      <c r="T31" s="467"/>
      <c r="U31" s="467"/>
      <c r="V31" s="332"/>
      <c r="W31" s="332"/>
      <c r="X31" s="332"/>
      <c r="Y31" s="332"/>
      <c r="Z31" s="332"/>
      <c r="AA31" s="332"/>
      <c r="AB31" s="332"/>
      <c r="AC31" s="332"/>
      <c r="AD31" s="332"/>
      <c r="AE31" s="332"/>
      <c r="AF31" s="332"/>
      <c r="AG31" s="332"/>
      <c r="AH31" s="332"/>
      <c r="AI31" s="332"/>
      <c r="AJ31" s="1645"/>
      <c r="AQ31" s="1641">
        <v>0</v>
      </c>
    </row>
    <row s="1863" customFormat="1" customHeight="1" ht="18.75" hidden="1">
      <c r="A32" s="1258"/>
      <c r="B32" s="1258"/>
      <c r="C32" s="1258"/>
      <c r="D32" s="1258"/>
      <c r="E32" s="1258"/>
      <c r="F32" s="1258"/>
      <c r="G32" s="1258"/>
      <c r="H32" s="1258"/>
      <c r="I32" s="1258"/>
      <c r="J32" s="1258"/>
      <c r="K32" s="1258"/>
      <c r="L32" s="1390"/>
      <c r="M32" s="1258"/>
      <c r="N32" s="1258"/>
      <c r="O32" s="1258"/>
      <c r="P32" s="1378"/>
      <c r="Q32" s="1378"/>
      <c r="S32" s="2260" t="s">
        <v>445</v>
      </c>
      <c r="T32" s="2260"/>
      <c r="U32" s="1382"/>
      <c r="V32" s="2274" t="str">
        <f>IF(TITLE_DATE_PR_CHANGE="",IF(TITLE_DATE_PR="","",TITLE_DATE_PR),TITLE_DATE_PR_CHANGE)</f>
        <v/>
      </c>
      <c r="W32" s="2274"/>
      <c r="X32" s="2274"/>
      <c r="Y32" s="2274"/>
      <c r="Z32" s="2274"/>
      <c r="AA32" s="1645"/>
      <c r="AB32" s="1645"/>
      <c r="AC32" s="2274"/>
      <c r="AD32" s="2274"/>
      <c r="AE32" s="2274"/>
      <c r="AF32" s="2274"/>
      <c r="AG32" s="2274"/>
      <c r="AH32" s="2274"/>
      <c r="AI32" s="1645"/>
      <c r="AJ32" s="1645"/>
      <c r="AK32" s="290"/>
      <c r="AL32" s="378"/>
      <c r="AM32" s="378"/>
      <c r="AN32" s="378"/>
      <c r="AO32" s="378"/>
      <c r="AP32" s="378"/>
      <c r="AQ32" s="428">
        <v>0</v>
      </c>
    </row>
    <row s="1863" customFormat="1" customHeight="1" ht="18" hidden="1">
      <c r="A33" s="1258"/>
      <c r="B33" s="1258"/>
      <c r="C33" s="1258"/>
      <c r="D33" s="1258"/>
      <c r="E33" s="1258"/>
      <c r="F33" s="1258"/>
      <c r="G33" s="1258"/>
      <c r="H33" s="1258"/>
      <c r="I33" s="1258"/>
      <c r="J33" s="1258"/>
      <c r="K33" s="1258"/>
      <c r="L33" s="1390"/>
      <c r="M33" s="1258"/>
      <c r="N33" s="1258"/>
      <c r="O33" s="1258"/>
      <c r="P33" s="1378"/>
      <c r="Q33" s="1378"/>
      <c r="S33" s="2260" t="s">
        <v>446</v>
      </c>
      <c r="T33" s="2260"/>
      <c r="U33" s="1382"/>
      <c r="V33" s="2261" t="str">
        <f>IF(TITLE_NUMBER_PR_CHANGE="",IF(TITLE_NUMBER_PR="","",TITLE_NUMBER_PR),TITLE_NUMBER_PR_CHANGE)</f>
        <v/>
      </c>
      <c r="W33" s="2261"/>
      <c r="X33" s="2261"/>
      <c r="Y33" s="2261"/>
      <c r="Z33" s="2261"/>
      <c r="AA33" s="1645"/>
      <c r="AB33" s="1645"/>
      <c r="AC33" s="2261"/>
      <c r="AD33" s="2261"/>
      <c r="AE33" s="2261"/>
      <c r="AF33" s="2261"/>
      <c r="AG33" s="2261"/>
      <c r="AH33" s="2261"/>
      <c r="AI33" s="1645"/>
      <c r="AJ33" s="1645"/>
      <c r="AK33" s="290"/>
      <c r="AL33" s="378"/>
      <c r="AM33" s="378"/>
      <c r="AN33" s="378"/>
      <c r="AO33" s="378"/>
      <c r="AP33" s="378"/>
      <c r="AQ33" s="428">
        <v>0</v>
      </c>
    </row>
    <row s="1863" customFormat="1" customHeight="1" ht="1.05">
      <c r="A34" s="1258"/>
      <c r="B34" s="1258"/>
      <c r="C34" s="1258"/>
      <c r="D34" s="1258"/>
      <c r="E34" s="1258"/>
      <c r="F34" s="1258"/>
      <c r="G34" s="1258"/>
      <c r="H34" s="1258"/>
      <c r="I34" s="1258"/>
      <c r="J34" s="1258"/>
      <c r="K34" s="1258"/>
      <c r="L34" s="1390"/>
      <c r="M34" s="1258"/>
      <c r="N34" s="1258"/>
      <c r="O34" s="1258"/>
      <c r="P34" s="1378"/>
      <c r="Q34" s="1378"/>
      <c r="S34" s="1645"/>
      <c r="T34" s="1645"/>
      <c r="U34" s="1980"/>
      <c r="V34" s="1645"/>
      <c r="W34" s="1645"/>
      <c r="X34" s="1645"/>
      <c r="Y34" s="1645"/>
      <c r="Z34" s="1645"/>
      <c r="AA34" s="1652" t="s">
        <v>449</v>
      </c>
      <c r="AB34" s="1652"/>
      <c r="AC34" s="1645"/>
      <c r="AD34" s="1645"/>
      <c r="AE34" s="1645"/>
      <c r="AF34" s="1645"/>
      <c r="AG34" s="1645"/>
      <c r="AH34" s="1645"/>
      <c r="AI34" s="1652" t="s">
        <v>449</v>
      </c>
      <c r="AL34" s="378"/>
      <c r="AM34" s="378"/>
      <c r="AN34" s="378"/>
      <c r="AO34" s="378"/>
      <c r="AP34" s="378"/>
      <c r="AQ34" s="428">
        <v>1</v>
      </c>
    </row>
    <row customHeight="1" ht="14.699999999999998">
      <c r="Q35" s="301"/>
      <c r="R35" s="386"/>
      <c r="S35" s="1285"/>
      <c r="T35" s="467"/>
      <c r="U35" s="1254"/>
      <c r="V35" s="2262"/>
      <c r="W35" s="2262"/>
      <c r="X35" s="2262"/>
      <c r="Y35" s="2262"/>
      <c r="Z35" s="2262"/>
      <c r="AA35" s="2262"/>
      <c r="AB35" s="1967"/>
      <c r="AC35" s="2262"/>
      <c r="AD35" s="2262"/>
      <c r="AE35" s="2262"/>
      <c r="AF35" s="2262"/>
      <c r="AG35" s="2262"/>
      <c r="AH35" s="2262"/>
      <c r="AI35" s="2262"/>
      <c r="AQ35" s="1641">
        <v>14</v>
      </c>
    </row>
    <row customHeight="1" ht="14.699999999999998">
      <c r="Q36" s="301"/>
      <c r="R36" s="386"/>
      <c r="S36" s="2137" t="s">
        <v>322</v>
      </c>
      <c r="T36" s="2137"/>
      <c r="U36" s="2137"/>
      <c r="V36" s="2137"/>
      <c r="W36" s="2137"/>
      <c r="X36" s="2137"/>
      <c r="Y36" s="2137"/>
      <c r="Z36" s="2137"/>
      <c r="AA36" s="2185"/>
      <c r="AB36" s="2185"/>
      <c r="AC36" s="2185"/>
      <c r="AD36" s="2137"/>
      <c r="AE36" s="2137"/>
      <c r="AF36" s="2137"/>
      <c r="AG36" s="2137"/>
      <c r="AH36" s="2137"/>
      <c r="AI36" s="2137"/>
      <c r="AJ36" s="2137"/>
      <c r="AK36" s="2137" t="s">
        <v>323</v>
      </c>
      <c r="AQ36" s="1641">
        <v>14</v>
      </c>
    </row>
    <row customHeight="1" ht="14.699999999999998">
      <c r="Q37" s="301"/>
      <c r="R37" s="386"/>
      <c r="S37" s="2283" t="s">
        <v>88</v>
      </c>
      <c r="T37" s="2219" t="s">
        <v>521</v>
      </c>
      <c r="U37" s="347"/>
      <c r="V37" s="2285"/>
      <c r="W37" s="2285"/>
      <c r="X37" s="2285"/>
      <c r="Y37" s="2285"/>
      <c r="Z37" s="2285"/>
      <c r="AA37" s="2219" t="s">
        <v>452</v>
      </c>
      <c r="AB37" s="2218" t="s">
        <v>522</v>
      </c>
      <c r="AC37" s="2218" t="s">
        <v>496</v>
      </c>
      <c r="AD37" s="2301" t="s">
        <v>451</v>
      </c>
      <c r="AE37" s="2301"/>
      <c r="AF37" s="2285"/>
      <c r="AG37" s="2285"/>
      <c r="AH37" s="2286"/>
      <c r="AI37" s="2287" t="s">
        <v>452</v>
      </c>
      <c r="AJ37" s="2290" t="s">
        <v>454</v>
      </c>
      <c r="AK37" s="2137"/>
      <c r="AQ37" s="1641">
        <v>14</v>
      </c>
    </row>
    <row customHeight="1" ht="35.699999999999996">
      <c r="Q38" s="301"/>
      <c r="R38" s="386"/>
      <c r="S38" s="2283"/>
      <c r="T38" s="2219"/>
      <c r="U38" s="1041"/>
      <c r="V38" s="2113" t="s">
        <v>499</v>
      </c>
      <c r="W38" s="2137"/>
      <c r="X38" s="2304" t="s">
        <v>458</v>
      </c>
      <c r="Y38" s="2323"/>
      <c r="Z38" s="2323"/>
      <c r="AA38" s="2219"/>
      <c r="AB38" s="2218"/>
      <c r="AC38" s="2218"/>
      <c r="AD38" s="2113" t="s">
        <v>499</v>
      </c>
      <c r="AE38" s="2137"/>
      <c r="AF38" s="2323" t="s">
        <v>458</v>
      </c>
      <c r="AG38" s="2323"/>
      <c r="AH38" s="2324"/>
      <c r="AI38" s="2288"/>
      <c r="AJ38" s="2291"/>
      <c r="AK38" s="2137"/>
      <c r="AQ38" s="1641">
        <v>34</v>
      </c>
    </row>
    <row customHeight="1" ht="14.699999999999998">
      <c r="Q39" s="301"/>
      <c r="R39" s="386"/>
      <c r="S39" s="2283"/>
      <c r="T39" s="2219"/>
      <c r="U39" s="1041"/>
      <c r="V39" s="2350" t="str">
        <f>IF($AD$39&lt;&gt;"",$AD$39,"")</f>
        <v/>
      </c>
      <c r="W39" s="2350"/>
      <c r="X39" s="2305"/>
      <c r="Y39" s="2325"/>
      <c r="Z39" s="2325"/>
      <c r="AA39" s="2219"/>
      <c r="AB39" s="2218"/>
      <c r="AC39" s="2218"/>
      <c r="AD39" s="2366"/>
      <c r="AE39" s="2349"/>
      <c r="AF39" s="2325"/>
      <c r="AG39" s="2325"/>
      <c r="AH39" s="2326"/>
      <c r="AI39" s="2288"/>
      <c r="AJ39" s="2291"/>
      <c r="AK39" s="2137"/>
      <c r="AQ39" s="1641">
        <v>14</v>
      </c>
    </row>
    <row customHeight="1" ht="14.699999999999998">
      <c r="A40" s="1276"/>
      <c r="B40" s="1276" t="s">
        <v>159</v>
      </c>
      <c r="C40" s="1276" t="s">
        <v>160</v>
      </c>
      <c r="D40" s="1276" t="s">
        <v>161</v>
      </c>
      <c r="E40" s="1320" t="s">
        <v>459</v>
      </c>
      <c r="F40" s="1320" t="s">
        <v>460</v>
      </c>
      <c r="G40" s="1320" t="s">
        <v>461</v>
      </c>
      <c r="H40" s="1320" t="s">
        <v>462</v>
      </c>
      <c r="I40" s="1320" t="s">
        <v>463</v>
      </c>
      <c r="J40" s="1320" t="s">
        <v>464</v>
      </c>
      <c r="K40" s="1320" t="s">
        <v>465</v>
      </c>
      <c r="L40" s="1320" t="s">
        <v>440</v>
      </c>
      <c r="Q40" s="301"/>
      <c r="R40" s="386"/>
      <c r="S40" s="2283"/>
      <c r="T40" s="2219"/>
      <c r="U40" s="312"/>
      <c r="V40" s="1960" t="s">
        <v>500</v>
      </c>
      <c r="W40" s="1960" t="s">
        <v>501</v>
      </c>
      <c r="X40" s="1948" t="s">
        <v>468</v>
      </c>
      <c r="Y40" s="2280" t="s">
        <v>469</v>
      </c>
      <c r="Z40" s="2330"/>
      <c r="AA40" s="2219"/>
      <c r="AB40" s="2218"/>
      <c r="AC40" s="2218"/>
      <c r="AD40" s="1978" t="s">
        <v>500</v>
      </c>
      <c r="AE40" s="1969" t="s">
        <v>501</v>
      </c>
      <c r="AF40" s="1948" t="s">
        <v>468</v>
      </c>
      <c r="AG40" s="2280" t="s">
        <v>469</v>
      </c>
      <c r="AH40" s="2281"/>
      <c r="AI40" s="2289"/>
      <c r="AJ40" s="2292"/>
      <c r="AK40" s="2137"/>
      <c r="AQ40" s="1641">
        <v>14</v>
      </c>
    </row>
    <row s="1651" customFormat="1" customHeight="1" ht="11.25" hidden="1">
      <c r="A41" s="1276"/>
      <c r="B41" s="1276"/>
      <c r="C41" s="1276"/>
      <c r="D41" s="1276"/>
      <c r="E41" s="1276"/>
      <c r="F41" s="1276"/>
      <c r="G41" s="1276"/>
      <c r="H41" s="1276"/>
      <c r="I41" s="1276"/>
      <c r="J41" s="1276"/>
      <c r="K41" s="1276"/>
      <c r="L41" s="1320"/>
      <c r="M41" s="1975"/>
      <c r="N41" s="1975"/>
      <c r="O41" s="1975"/>
      <c r="P41" s="520"/>
      <c r="Q41" s="1264"/>
      <c r="R41" s="1264">
        <v>1</v>
      </c>
      <c r="S41" s="1287" t="s">
        <v>124</v>
      </c>
      <c r="T41" s="1265" t="s">
        <v>104</v>
      </c>
      <c r="U41" s="1255" t="str">
        <f>OFFSET(U41,0,-1)</f>
        <v>2</v>
      </c>
      <c r="V41" s="1966">
        <f>OFFSET(V41,0,-1)+1</f>
        <v>3</v>
      </c>
      <c r="W41" s="1966">
        <f>OFFSET(W41,0,-1)+1</f>
        <v>4</v>
      </c>
      <c r="X41" s="1966">
        <f>OFFSET(X41,0,-1)+1</f>
        <v>5</v>
      </c>
      <c r="Y41" s="2282">
        <f>OFFSET(Y41,0,-1)+1</f>
        <v>6</v>
      </c>
      <c r="Z41" s="2282"/>
      <c r="AA41" s="1351">
        <f>OFFSET(AA41,0,-2)+1</f>
        <v>7</v>
      </c>
      <c r="AB41" s="1351"/>
      <c r="AC41" s="1351"/>
      <c r="AD41" s="1966">
        <f>OFFSET(AD41,0,-1)+1</f>
        <v>1</v>
      </c>
      <c r="AE41" s="1966">
        <f>OFFSET(AE41,0,-1)+1</f>
        <v>2</v>
      </c>
      <c r="AF41" s="1966">
        <f>OFFSET(AF41,0,-1)+1</f>
        <v>3</v>
      </c>
      <c r="AG41" s="2282">
        <f>OFFSET(AG41,0,-1)+1</f>
        <v>4</v>
      </c>
      <c r="AH41" s="2282"/>
      <c r="AI41" s="1966">
        <f>OFFSET(AI41,0,-2)+1</f>
        <v>5</v>
      </c>
      <c r="AJ41" s="1255">
        <f>OFFSET(AJ41,0,-1)</f>
        <v>5</v>
      </c>
      <c r="AK41" s="1966">
        <f>OFFSET(AK41,0,-1)+1</f>
        <v>6</v>
      </c>
      <c r="AL41" s="1646"/>
      <c r="AM41" s="1646"/>
      <c r="AN41" s="1646"/>
      <c r="AO41" s="1646"/>
      <c r="AP41" s="1646"/>
      <c r="AQ41" s="1651">
        <v>0</v>
      </c>
    </row>
    <row customHeight="1" ht="107.25">
      <c r="A42" s="1277" t="s">
        <v>228</v>
      </c>
      <c r="B42" s="1277"/>
      <c r="C42" s="1277"/>
      <c r="D42" s="1277"/>
      <c r="E42" s="2299">
        <v>1</v>
      </c>
      <c r="F42" s="1277"/>
      <c r="G42" s="1277"/>
      <c r="H42" s="1277"/>
      <c r="I42" s="1277"/>
      <c r="J42" s="1277"/>
      <c r="K42" s="1277"/>
      <c r="L42" s="1320"/>
      <c r="M42" s="1620"/>
      <c r="N42" s="1620"/>
      <c r="O42" s="1620"/>
      <c r="P42" s="1419"/>
      <c r="Q42" s="883"/>
      <c r="R42" s="365"/>
      <c r="S42" s="1968">
        <f>INDEX(PT_DIFFERENTIATION_NUM_NTAR,MATCH(A42,PT_DIFFERENTIATION_NTAR_ID,0))</f>
        <v>0</v>
      </c>
      <c r="T42" s="1535" t="s">
        <v>147</v>
      </c>
      <c r="U42" s="310"/>
      <c r="V42" s="2253"/>
      <c r="W42" s="2253"/>
      <c r="X42" s="2253"/>
      <c r="Y42" s="2253"/>
      <c r="Z42" s="2253"/>
      <c r="AA42" s="2254"/>
      <c r="AB42" s="1962"/>
      <c r="AC42" s="2253" t="str">
        <f>INDEX(PT_DIFFERENTIATION_NTAR,MATCH(A42,PT_DIFFERENTIATION_NTAR_ID,0))</f>
        <v/>
      </c>
      <c r="AD42" s="2253"/>
      <c r="AE42" s="2253"/>
      <c r="AF42" s="2253"/>
      <c r="AG42" s="2253"/>
      <c r="AH42" s="2253"/>
      <c r="AI42" s="2253"/>
      <c r="AJ42" s="2254"/>
      <c r="AK42" s="126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34"/>
      <c r="AN42" s="1634" t="str">
        <f>IF(T42="","",T42)</f>
        <v>Наименование тарифа</v>
      </c>
      <c r="AO42" s="1634"/>
      <c r="AP42" s="1634"/>
      <c r="AQ42" s="1641">
        <v>102</v>
      </c>
    </row>
    <row customHeight="1" ht="22.049999999999997">
      <c r="A43" s="1277" t="s">
        <v>228</v>
      </c>
      <c r="B43" s="1277" t="s">
        <v>229</v>
      </c>
      <c r="C43" s="1277"/>
      <c r="D43" s="1277"/>
      <c r="E43" s="2300"/>
      <c r="F43" s="2299">
        <v>1</v>
      </c>
      <c r="G43" s="1277"/>
      <c r="H43" s="1277"/>
      <c r="I43" s="1277"/>
      <c r="J43" s="1277"/>
      <c r="K43" s="1277"/>
      <c r="L43" s="1320"/>
      <c r="M43" s="1620"/>
      <c r="N43" s="1620"/>
      <c r="O43" s="1620"/>
      <c r="P43" s="1979"/>
      <c r="Q43" s="1421"/>
      <c r="R43" s="363"/>
      <c r="S43" s="1968" t="str">
        <f>INDEX(PT_DIFFERENTIATION_NUM_TER,MATCH(B43,PT_DIFFERENTIATION_TER_ID,0))</f>
        <v>.</v>
      </c>
      <c r="T43" s="1532" t="s">
        <v>419</v>
      </c>
      <c r="U43" s="310"/>
      <c r="V43" s="2253"/>
      <c r="W43" s="2253"/>
      <c r="X43" s="2253"/>
      <c r="Y43" s="2253"/>
      <c r="Z43" s="2253"/>
      <c r="AA43" s="2254"/>
      <c r="AB43" s="1962"/>
      <c r="AC43" s="2253" t="str">
        <f>INDEX(PT_DIFFERENTIATION_TER,MATCH(B43,PT_DIFFERENTIATION_TER_ID,0))</f>
        <v/>
      </c>
      <c r="AD43" s="2253"/>
      <c r="AE43" s="2253"/>
      <c r="AF43" s="2253"/>
      <c r="AG43" s="2253"/>
      <c r="AH43" s="2253"/>
      <c r="AI43" s="2253"/>
      <c r="AJ43" s="2254"/>
      <c r="AK43" s="1268" t="s">
        <v>420</v>
      </c>
      <c r="AM43" s="1634"/>
      <c r="AN43" s="1634" t="str">
        <f>IF(T43="","",T43)</f>
        <v>Территория действия тарифа</v>
      </c>
      <c r="AO43" s="1634"/>
      <c r="AP43" s="1634"/>
      <c r="AQ43" s="1641">
        <v>21</v>
      </c>
    </row>
    <row customHeight="1" ht="24">
      <c r="A44" s="1277" t="s">
        <v>228</v>
      </c>
      <c r="B44" s="1277" t="s">
        <v>229</v>
      </c>
      <c r="C44" s="1277" t="s">
        <v>230</v>
      </c>
      <c r="D44" s="1277"/>
      <c r="E44" s="2300"/>
      <c r="F44" s="2300"/>
      <c r="G44" s="2299">
        <v>1</v>
      </c>
      <c r="H44" s="1277"/>
      <c r="I44" s="1277"/>
      <c r="J44" s="1277"/>
      <c r="K44" s="1277"/>
      <c r="L44" s="1320"/>
      <c r="M44" s="1620"/>
      <c r="N44" s="1620"/>
      <c r="O44" s="1620"/>
      <c r="P44" s="1422"/>
      <c r="Q44" s="1421"/>
      <c r="R44" s="363"/>
      <c r="S44" s="1968" t="str">
        <f>INDEX(PT_DIFFERENTIATION_NUM_CS,MATCH(C44,PT_DIFFERENTIATION_CS_ID,0))</f>
        <v>..</v>
      </c>
      <c r="T44" s="319" t="s">
        <v>421</v>
      </c>
      <c r="U44" s="310"/>
      <c r="V44" s="2253"/>
      <c r="W44" s="2253"/>
      <c r="X44" s="2253"/>
      <c r="Y44" s="2253"/>
      <c r="Z44" s="2253"/>
      <c r="AA44" s="2254"/>
      <c r="AB44" s="1962"/>
      <c r="AC44" s="2253" t="str">
        <f>INDEX(PT_DIFFERENTIATION_CS,MATCH(C44,PT_DIFFERENTIATION_CS_ID,0))</f>
        <v/>
      </c>
      <c r="AD44" s="2253"/>
      <c r="AE44" s="2253"/>
      <c r="AF44" s="2253"/>
      <c r="AG44" s="2253"/>
      <c r="AH44" s="2253"/>
      <c r="AI44" s="2253"/>
      <c r="AJ44" s="2254"/>
      <c r="AK44" s="1268" t="s">
        <v>422</v>
      </c>
      <c r="AM44" s="1634"/>
      <c r="AN44" s="1634" t="str">
        <f>IF(T44="","",T44)</f>
        <v>Наименование системы теплоснабжения </v>
      </c>
      <c r="AO44" s="1634"/>
      <c r="AP44" s="1634"/>
      <c r="AQ44" s="1641">
        <v>23</v>
      </c>
    </row>
    <row customHeight="1" ht="22.049999999999997">
      <c r="A45" s="1277" t="s">
        <v>228</v>
      </c>
      <c r="B45" s="1277" t="s">
        <v>229</v>
      </c>
      <c r="C45" s="1277" t="s">
        <v>230</v>
      </c>
      <c r="D45" s="1277" t="s">
        <v>231</v>
      </c>
      <c r="E45" s="2300"/>
      <c r="F45" s="2300"/>
      <c r="G45" s="2300"/>
      <c r="H45" s="2299">
        <v>1</v>
      </c>
      <c r="I45" s="1277"/>
      <c r="J45" s="1277"/>
      <c r="K45" s="1277"/>
      <c r="L45" s="1320"/>
      <c r="M45" s="1620"/>
      <c r="N45" s="1620"/>
      <c r="O45" s="1620"/>
      <c r="P45" s="1422"/>
      <c r="Q45" s="1421"/>
      <c r="R45" s="363"/>
      <c r="S45" s="1968" t="str">
        <f>INDEX(PT_DIFFERENTIATION_NUM_IST_TE,MATCH(D45,PT_DIFFERENTIATION_IST_TE_ID,0))</f>
        <v>...</v>
      </c>
      <c r="T45" s="320" t="s">
        <v>423</v>
      </c>
      <c r="U45" s="310"/>
      <c r="V45" s="2253"/>
      <c r="W45" s="2253"/>
      <c r="X45" s="2253"/>
      <c r="Y45" s="2253"/>
      <c r="Z45" s="2253"/>
      <c r="AA45" s="2254"/>
      <c r="AB45" s="1962"/>
      <c r="AC45" s="2253" t="str">
        <f>INDEX(PT_DIFFERENTIATION_IST_TE,MATCH(D45,PT_DIFFERENTIATION_IST_TE_ID,0))</f>
        <v/>
      </c>
      <c r="AD45" s="2253"/>
      <c r="AE45" s="2253"/>
      <c r="AF45" s="2253"/>
      <c r="AG45" s="2253"/>
      <c r="AH45" s="2253"/>
      <c r="AI45" s="2253"/>
      <c r="AJ45" s="2254"/>
      <c r="AK45" s="1268" t="s">
        <v>424</v>
      </c>
      <c r="AM45" s="1634"/>
      <c r="AN45" s="1634" t="str">
        <f>IF(T45="","",T45)</f>
        <v>Источник тепловой энергии  </v>
      </c>
      <c r="AO45" s="1634"/>
      <c r="AP45" s="1634"/>
      <c r="AQ45" s="1641">
        <v>21</v>
      </c>
    </row>
    <row s="1652" customFormat="1" customHeight="1" ht="0">
      <c r="A46" s="1385" t="s">
        <v>228</v>
      </c>
      <c r="B46" s="1385" t="s">
        <v>229</v>
      </c>
      <c r="C46" s="1385" t="s">
        <v>230</v>
      </c>
      <c r="D46" s="1385" t="s">
        <v>231</v>
      </c>
      <c r="E46" s="2300"/>
      <c r="F46" s="2300"/>
      <c r="G46" s="2300"/>
      <c r="H46" s="2300"/>
      <c r="I46" s="2137" t="str">
        <f>S45&amp;".1"</f>
        <v>....1</v>
      </c>
      <c r="J46" s="1385"/>
      <c r="K46" s="1385"/>
      <c r="L46" s="1391" t="s">
        <v>425</v>
      </c>
      <c r="M46" s="1256"/>
      <c r="N46" s="1256"/>
      <c r="O46" s="1256"/>
      <c r="P46" s="2267">
        <v>1</v>
      </c>
      <c r="Q46" s="1964"/>
      <c r="R46" s="366"/>
      <c r="S46" s="1052"/>
      <c r="T46" s="1393"/>
      <c r="U46" s="1394"/>
      <c r="V46" s="2307"/>
      <c r="W46" s="2307"/>
      <c r="X46" s="2307"/>
      <c r="Y46" s="2307"/>
      <c r="Z46" s="2307"/>
      <c r="AA46" s="2308"/>
      <c r="AB46" s="1970"/>
      <c r="AC46" s="2307"/>
      <c r="AD46" s="2307"/>
      <c r="AE46" s="2307"/>
      <c r="AF46" s="2307"/>
      <c r="AG46" s="2307"/>
      <c r="AH46" s="2307"/>
      <c r="AI46" s="2307"/>
      <c r="AJ46" s="2308"/>
      <c r="AK46" s="1395"/>
      <c r="AM46" s="1634"/>
      <c r="AN46" s="1634" t="str">
        <f>IF(T46="","",T46)</f>
        <v/>
      </c>
      <c r="AO46" s="1634"/>
      <c r="AP46" s="1634"/>
      <c r="AQ46" s="1646">
        <v>0</v>
      </c>
    </row>
    <row s="1652" customFormat="1" customHeight="1" ht="0">
      <c r="A47" s="1385" t="s">
        <v>228</v>
      </c>
      <c r="B47" s="1385" t="s">
        <v>229</v>
      </c>
      <c r="C47" s="1385" t="s">
        <v>230</v>
      </c>
      <c r="D47" s="1385" t="s">
        <v>231</v>
      </c>
      <c r="E47" s="2300"/>
      <c r="F47" s="2300"/>
      <c r="G47" s="2300"/>
      <c r="H47" s="2300"/>
      <c r="I47" s="2111"/>
      <c r="J47" s="2137" t="str">
        <f>S45&amp;".1"</f>
        <v>....1</v>
      </c>
      <c r="K47" s="1385"/>
      <c r="L47" s="1391"/>
      <c r="M47" s="1256"/>
      <c r="N47" s="1256"/>
      <c r="O47" s="1256"/>
      <c r="P47" s="2267"/>
      <c r="Q47" s="2267">
        <v>1</v>
      </c>
      <c r="R47" s="367"/>
      <c r="S47" s="1052"/>
      <c r="T47" s="1409"/>
      <c r="U47" s="1394"/>
      <c r="V47" s="2307"/>
      <c r="W47" s="2307"/>
      <c r="X47" s="2307"/>
      <c r="Y47" s="2307"/>
      <c r="Z47" s="2307"/>
      <c r="AA47" s="2308"/>
      <c r="AB47" s="1970"/>
      <c r="AC47" s="2307"/>
      <c r="AD47" s="2307"/>
      <c r="AE47" s="2307"/>
      <c r="AF47" s="2307"/>
      <c r="AG47" s="2307"/>
      <c r="AH47" s="2307"/>
      <c r="AI47" s="2307"/>
      <c r="AJ47" s="2308"/>
      <c r="AK47" s="1395"/>
      <c r="AM47" s="1634"/>
      <c r="AN47" s="1634" t="str">
        <f>IF(T47="","",T47)</f>
        <v/>
      </c>
      <c r="AO47" s="1634"/>
      <c r="AP47" s="1634"/>
      <c r="AQ47" s="1646">
        <v>0</v>
      </c>
    </row>
    <row customHeight="1" ht="22.049999999999997">
      <c r="A48" s="1277" t="s">
        <v>228</v>
      </c>
      <c r="B48" s="1277" t="s">
        <v>229</v>
      </c>
      <c r="C48" s="1277" t="s">
        <v>230</v>
      </c>
      <c r="D48" s="1277" t="s">
        <v>231</v>
      </c>
      <c r="E48" s="2300"/>
      <c r="F48" s="2300"/>
      <c r="G48" s="2300"/>
      <c r="H48" s="2300"/>
      <c r="I48" s="2111"/>
      <c r="J48" s="2111"/>
      <c r="K48" s="1951" t="str">
        <f>S45&amp;".1"</f>
        <v>....1</v>
      </c>
      <c r="L48" s="1320"/>
      <c r="P48" s="2267"/>
      <c r="Q48" s="2267"/>
      <c r="R48" s="367">
        <v>1</v>
      </c>
      <c r="S48" s="1972" t="str">
        <f>$K48</f>
        <v>....1</v>
      </c>
      <c r="T48" s="1971"/>
      <c r="U48" s="310"/>
      <c r="V48" s="761"/>
      <c r="W48" s="1267"/>
      <c r="X48" s="1965"/>
      <c r="Y48" s="1952" t="s">
        <v>66</v>
      </c>
      <c r="Z48" s="1965"/>
      <c r="AA48" s="1952" t="s">
        <v>66</v>
      </c>
      <c r="AB48" s="1974"/>
      <c r="AC48" s="1973" t="s">
        <v>22</v>
      </c>
      <c r="AD48" s="761"/>
      <c r="AE48" s="1267"/>
      <c r="AF48" s="1965"/>
      <c r="AG48" s="1952" t="s">
        <v>66</v>
      </c>
      <c r="AH48" s="1965"/>
      <c r="AI48" s="1952" t="s">
        <v>66</v>
      </c>
      <c r="AJ48" s="1358"/>
      <c r="AK48" s="2263" t="s">
        <v>502</v>
      </c>
      <c r="AL48" s="1646">
        <f>STRCHECKDATE(#REF!)</f>
      </c>
      <c r="AM48" s="1634"/>
      <c r="AN48" s="1634" t="str">
        <f>IF(T48="","",T48)</f>
        <v/>
      </c>
      <c r="AO48" s="1634"/>
      <c r="AP48" s="1634"/>
      <c r="AQ48" s="1641">
        <v>21</v>
      </c>
    </row>
    <row customHeight="1" ht="11.549999999999999">
      <c r="A49" s="1277" t="s">
        <v>228</v>
      </c>
      <c r="B49" s="1277" t="s">
        <v>229</v>
      </c>
      <c r="C49" s="1277" t="s">
        <v>230</v>
      </c>
      <c r="D49" s="1277" t="s">
        <v>231</v>
      </c>
      <c r="E49" s="2300"/>
      <c r="F49" s="2300"/>
      <c r="G49" s="2300"/>
      <c r="H49" s="2300"/>
      <c r="I49" s="2111"/>
      <c r="J49" s="2137"/>
      <c r="K49" s="1277"/>
      <c r="L49" s="1320"/>
      <c r="P49" s="2267"/>
      <c r="Q49" s="2267"/>
      <c r="R49" s="366"/>
      <c r="S49" s="1288"/>
      <c r="T49" s="297" t="s">
        <v>490</v>
      </c>
      <c r="U49" s="610"/>
      <c r="V49" s="610"/>
      <c r="W49" s="610"/>
      <c r="X49" s="610"/>
      <c r="Y49" s="610"/>
      <c r="Z49" s="610"/>
      <c r="AA49" s="334"/>
      <c r="AB49" s="610"/>
      <c r="AC49" s="610"/>
      <c r="AD49" s="610"/>
      <c r="AE49" s="610"/>
      <c r="AF49" s="610"/>
      <c r="AG49" s="610"/>
      <c r="AH49" s="610"/>
      <c r="AI49" s="610"/>
      <c r="AJ49" s="334"/>
      <c r="AK49" s="2265"/>
      <c r="AM49" s="1634"/>
      <c r="AN49" s="1634" t="str">
        <f>IF(T49="","",T49)</f>
        <v>Добавить строку</v>
      </c>
      <c r="AO49" s="1634"/>
      <c r="AP49" s="1634"/>
      <c r="AQ49" s="1641">
        <v>11</v>
      </c>
    </row>
    <row s="1652" customFormat="1" customHeight="1" ht="1.05">
      <c r="A50" s="1385" t="s">
        <v>228</v>
      </c>
      <c r="B50" s="1385" t="s">
        <v>229</v>
      </c>
      <c r="C50" s="1385" t="s">
        <v>230</v>
      </c>
      <c r="D50" s="1385" t="s">
        <v>231</v>
      </c>
      <c r="E50" s="2300"/>
      <c r="F50" s="2300"/>
      <c r="G50" s="2300"/>
      <c r="H50" s="2300"/>
      <c r="I50" s="2137"/>
      <c r="J50" s="1385"/>
      <c r="K50" s="1385"/>
      <c r="L50" s="1391"/>
      <c r="M50" s="1256"/>
      <c r="N50" s="1256"/>
      <c r="O50" s="1256"/>
      <c r="P50" s="2267"/>
      <c r="Q50" s="1964"/>
      <c r="R50" s="366"/>
      <c r="S50" s="1396"/>
      <c r="T50" s="1397" t="s">
        <v>434</v>
      </c>
      <c r="U50" s="1398"/>
      <c r="V50" s="1398"/>
      <c r="W50" s="1398"/>
      <c r="X50" s="1398"/>
      <c r="Y50" s="1398"/>
      <c r="Z50" s="1398"/>
      <c r="AA50" s="1398"/>
      <c r="AB50" s="1398"/>
      <c r="AC50" s="1398"/>
      <c r="AD50" s="1398"/>
      <c r="AE50" s="1398"/>
      <c r="AF50" s="1398"/>
      <c r="AG50" s="1398"/>
      <c r="AH50" s="1398"/>
      <c r="AI50" s="1398"/>
      <c r="AJ50" s="1398"/>
      <c r="AK50" s="1399"/>
      <c r="AM50" s="1634"/>
      <c r="AN50" s="1634" t="str">
        <f>IF(T50="","",T50)</f>
        <v>Добавить группу потребителей</v>
      </c>
      <c r="AO50" s="1634"/>
      <c r="AP50" s="1634"/>
      <c r="AQ50" s="1646">
        <v>1</v>
      </c>
    </row>
    <row s="1651" customFormat="1" customHeight="1" ht="1.05">
      <c r="A51" s="1385" t="s">
        <v>228</v>
      </c>
      <c r="B51" s="1385" t="s">
        <v>229</v>
      </c>
      <c r="C51" s="1385" t="s">
        <v>230</v>
      </c>
      <c r="D51" s="1385" t="s">
        <v>231</v>
      </c>
      <c r="E51" s="2300"/>
      <c r="F51" s="2300"/>
      <c r="G51" s="2300"/>
      <c r="H51" s="2299"/>
      <c r="I51" s="1385"/>
      <c r="J51" s="1385"/>
      <c r="K51" s="1385"/>
      <c r="L51" s="1391"/>
      <c r="M51" s="1388"/>
      <c r="N51" s="1388"/>
      <c r="O51" s="361"/>
      <c r="P51" s="390"/>
      <c r="Q51" s="1354"/>
      <c r="R51" s="1410"/>
      <c r="S51" s="1396"/>
      <c r="T51" s="1397"/>
      <c r="U51" s="1398"/>
      <c r="V51" s="1398"/>
      <c r="W51" s="1398"/>
      <c r="X51" s="1398"/>
      <c r="Y51" s="1398"/>
      <c r="Z51" s="1398"/>
      <c r="AA51" s="1398"/>
      <c r="AB51" s="1398"/>
      <c r="AC51" s="1398"/>
      <c r="AD51" s="1398"/>
      <c r="AE51" s="1398"/>
      <c r="AF51" s="1398"/>
      <c r="AG51" s="1398"/>
      <c r="AH51" s="1398"/>
      <c r="AI51" s="1398"/>
      <c r="AJ51" s="1398"/>
      <c r="AK51" s="1399"/>
      <c r="AL51" s="1646"/>
      <c r="AM51" s="1634"/>
      <c r="AN51" s="1634" t="str">
        <f>IF(T51="","",T51)</f>
        <v/>
      </c>
      <c r="AO51" s="1634"/>
      <c r="AP51" s="1634"/>
      <c r="AQ51" s="1651">
        <v>1</v>
      </c>
    </row>
    <row s="1652" customFormat="1" customHeight="1" ht="1.05">
      <c r="A52" s="1385" t="s">
        <v>228</v>
      </c>
      <c r="B52" s="1385" t="s">
        <v>229</v>
      </c>
      <c r="C52" s="1385" t="s">
        <v>230</v>
      </c>
      <c r="D52" s="1384"/>
      <c r="E52" s="2300"/>
      <c r="F52" s="2300"/>
      <c r="G52" s="2299"/>
      <c r="H52" s="1384"/>
      <c r="I52" s="1384"/>
      <c r="J52" s="1384"/>
      <c r="K52" s="1384"/>
      <c r="L52" s="1387"/>
      <c r="M52" s="1388"/>
      <c r="N52" s="1388"/>
      <c r="O52" s="361"/>
      <c r="P52" s="1326"/>
      <c r="Q52" s="1327"/>
      <c r="R52" s="1326"/>
      <c r="S52" s="1332"/>
      <c r="T52" s="1335" t="s">
        <v>436</v>
      </c>
      <c r="U52" s="1334"/>
      <c r="V52" s="1334"/>
      <c r="W52" s="1334"/>
      <c r="X52" s="1334"/>
      <c r="Y52" s="1334"/>
      <c r="Z52" s="1334"/>
      <c r="AA52" s="1334"/>
      <c r="AB52" s="1334"/>
      <c r="AC52" s="1334"/>
      <c r="AD52" s="1334"/>
      <c r="AE52" s="1334"/>
      <c r="AF52" s="1334"/>
      <c r="AG52" s="1334"/>
      <c r="AH52" s="1334"/>
      <c r="AI52" s="1334"/>
      <c r="AJ52" s="1334"/>
      <c r="AK52" s="1334"/>
      <c r="AM52" s="1261"/>
      <c r="AN52" s="1261" t="str">
        <f>IF(T52="","",T52)</f>
        <v>Добавить источник для дифференциации</v>
      </c>
      <c r="AO52" s="1261"/>
      <c r="AP52" s="1261"/>
      <c r="AQ52" s="1652">
        <v>1</v>
      </c>
    </row>
    <row s="1652" customFormat="1" customHeight="1" ht="1.05">
      <c r="A53" s="1385" t="s">
        <v>228</v>
      </c>
      <c r="B53" s="1385" t="s">
        <v>229</v>
      </c>
      <c r="C53" s="1384"/>
      <c r="D53" s="1384"/>
      <c r="E53" s="2300"/>
      <c r="F53" s="2299"/>
      <c r="G53" s="1384"/>
      <c r="H53" s="1384"/>
      <c r="I53" s="1384"/>
      <c r="J53" s="1384"/>
      <c r="K53" s="1384"/>
      <c r="L53" s="1387"/>
      <c r="M53" s="1389"/>
      <c r="N53" s="1389"/>
      <c r="O53" s="361"/>
      <c r="P53" s="1326"/>
      <c r="Q53" s="1327"/>
      <c r="R53" s="1326"/>
      <c r="S53" s="1332"/>
      <c r="T53" s="1335" t="s">
        <v>437</v>
      </c>
      <c r="U53" s="1334"/>
      <c r="V53" s="1334"/>
      <c r="W53" s="1334"/>
      <c r="X53" s="1334"/>
      <c r="Y53" s="1334"/>
      <c r="Z53" s="1334"/>
      <c r="AA53" s="1334"/>
      <c r="AB53" s="1334"/>
      <c r="AC53" s="1334"/>
      <c r="AD53" s="1334"/>
      <c r="AE53" s="1334"/>
      <c r="AF53" s="1334"/>
      <c r="AG53" s="1334"/>
      <c r="AH53" s="1334"/>
      <c r="AI53" s="1334"/>
      <c r="AJ53" s="1334"/>
      <c r="AK53" s="1334"/>
      <c r="AM53" s="1261"/>
      <c r="AN53" s="1261" t="str">
        <f>IF(T53="","",T53)</f>
        <v>Добавить централизованную систему для дифференциации</v>
      </c>
      <c r="AO53" s="1261"/>
      <c r="AP53" s="1261"/>
      <c r="AQ53" s="1652">
        <v>1</v>
      </c>
    </row>
    <row s="1652" customFormat="1" customHeight="1" ht="1.05">
      <c r="A54" s="1385" t="s">
        <v>228</v>
      </c>
      <c r="B54" s="1385"/>
      <c r="C54" s="1385"/>
      <c r="D54" s="1385"/>
      <c r="E54" s="2300"/>
      <c r="F54" s="1385"/>
      <c r="G54" s="1385"/>
      <c r="H54" s="1385"/>
      <c r="I54" s="1385"/>
      <c r="J54" s="1385"/>
      <c r="K54" s="1385"/>
      <c r="L54" s="1391"/>
      <c r="M54" s="1389"/>
      <c r="N54" s="1389"/>
      <c r="O54" s="361"/>
      <c r="P54" s="390"/>
      <c r="Q54" s="1354"/>
      <c r="R54" s="390"/>
      <c r="S54" s="1332"/>
      <c r="T54" s="1335" t="s">
        <v>438</v>
      </c>
      <c r="U54" s="1334"/>
      <c r="V54" s="1334"/>
      <c r="W54" s="1334"/>
      <c r="X54" s="1334"/>
      <c r="Y54" s="1334"/>
      <c r="Z54" s="1334"/>
      <c r="AA54" s="1334"/>
      <c r="AB54" s="1334"/>
      <c r="AC54" s="1334"/>
      <c r="AD54" s="1334"/>
      <c r="AE54" s="1334"/>
      <c r="AF54" s="1334"/>
      <c r="AG54" s="1334"/>
      <c r="AH54" s="1334"/>
      <c r="AI54" s="1334"/>
      <c r="AJ54" s="1334"/>
      <c r="AK54" s="1334"/>
      <c r="AM54" s="1634"/>
      <c r="AN54" s="1634" t="str">
        <f>IF(T54="","",T54)</f>
        <v>Добавить территорию для дифференциации</v>
      </c>
      <c r="AO54" s="1634"/>
      <c r="AP54" s="1634"/>
      <c r="AQ54" s="1646">
        <v>1</v>
      </c>
    </row>
    <row s="1652" customFormat="1" customHeight="1" ht="1.05">
      <c r="A55" s="1385" t="s">
        <v>228</v>
      </c>
      <c r="B55" s="1385"/>
      <c r="C55" s="1385"/>
      <c r="D55" s="1385"/>
      <c r="E55" s="2299"/>
      <c r="F55" s="1385"/>
      <c r="G55" s="1385"/>
      <c r="H55" s="1385"/>
      <c r="I55" s="1385"/>
      <c r="J55" s="1385"/>
      <c r="K55" s="1385"/>
      <c r="L55" s="1391"/>
      <c r="M55" s="1389"/>
      <c r="N55" s="1389"/>
      <c r="O55" s="361"/>
      <c r="P55" s="390"/>
      <c r="Q55" s="1354"/>
      <c r="R55" s="390"/>
      <c r="S55" s="1332"/>
      <c r="T55" s="1335" t="s">
        <v>438</v>
      </c>
      <c r="U55" s="1334"/>
      <c r="V55" s="1334"/>
      <c r="W55" s="1334"/>
      <c r="X55" s="1334"/>
      <c r="Y55" s="1334"/>
      <c r="Z55" s="1334"/>
      <c r="AA55" s="1334"/>
      <c r="AB55" s="1334"/>
      <c r="AC55" s="1334"/>
      <c r="AD55" s="1334"/>
      <c r="AE55" s="1334"/>
      <c r="AF55" s="1334"/>
      <c r="AG55" s="1334"/>
      <c r="AH55" s="1334"/>
      <c r="AI55" s="1334"/>
      <c r="AJ55" s="1334"/>
      <c r="AK55" s="1334"/>
      <c r="AM55" s="1634"/>
      <c r="AN55" s="1634" t="str">
        <f>IF(T55="","",T55)</f>
        <v>Добавить территорию для дифференциации</v>
      </c>
      <c r="AO55" s="1634"/>
      <c r="AP55" s="1634"/>
      <c r="AQ55" s="1646">
        <v>1</v>
      </c>
    </row>
    <row s="1652" customFormat="1" customHeight="1" ht="1.05">
      <c r="A56" s="1384"/>
      <c r="B56" s="1384"/>
      <c r="C56" s="1384"/>
      <c r="D56" s="1384"/>
      <c r="E56" s="1385"/>
      <c r="F56" s="1384"/>
      <c r="G56" s="1384"/>
      <c r="H56" s="1384"/>
      <c r="I56" s="1384"/>
      <c r="J56" s="1384"/>
      <c r="K56" s="1384"/>
      <c r="L56" s="1387"/>
      <c r="M56" s="1389"/>
      <c r="N56" s="1389"/>
      <c r="O56" s="361"/>
      <c r="P56" s="1326"/>
      <c r="Q56" s="1327"/>
      <c r="R56" s="1326"/>
      <c r="S56" s="1332"/>
      <c r="T56" s="1335" t="s">
        <v>470</v>
      </c>
      <c r="U56" s="1334"/>
      <c r="V56" s="1334"/>
      <c r="W56" s="1334"/>
      <c r="X56" s="1334"/>
      <c r="Y56" s="1334"/>
      <c r="Z56" s="1334"/>
      <c r="AA56" s="1334"/>
      <c r="AB56" s="1334"/>
      <c r="AC56" s="1334"/>
      <c r="AD56" s="1334"/>
      <c r="AE56" s="1334"/>
      <c r="AF56" s="1334"/>
      <c r="AG56" s="1334"/>
      <c r="AH56" s="1334"/>
      <c r="AI56" s="1334"/>
      <c r="AJ56" s="1334"/>
      <c r="AK56" s="1334"/>
      <c r="AM56" s="1261"/>
      <c r="AN56" s="1261" t="str">
        <f>IF(T56="","",T56)</f>
        <v>Добавить наименование тарифа</v>
      </c>
      <c r="AO56" s="1261"/>
      <c r="AP56" s="1261"/>
      <c r="AQ56" s="1652">
        <v>1</v>
      </c>
    </row>
    <row customHeight="1" ht="11.549999999999999">
      <c r="M57" s="1641"/>
      <c r="N57" s="1641"/>
      <c r="O57" s="1645"/>
      <c r="P57" s="1376"/>
      <c r="Q57" s="1376"/>
      <c r="R57" s="1641"/>
      <c r="S57" s="1641"/>
      <c r="AL57" s="1641"/>
      <c r="AM57" s="1641"/>
      <c r="AN57" s="1641"/>
      <c r="AO57" s="1641"/>
      <c r="AP57" s="1641"/>
      <c r="AQ57" s="1641">
        <v>11</v>
      </c>
    </row>
    <row customHeight="1" ht="19.95">
      <c r="O58" s="1645"/>
      <c r="S58" s="1263"/>
      <c r="T58" s="2295"/>
      <c r="U58" s="2295"/>
      <c r="V58" s="2295"/>
      <c r="W58" s="2295"/>
      <c r="X58" s="2295"/>
      <c r="Y58" s="2295"/>
      <c r="Z58" s="2295"/>
      <c r="AA58" s="2295"/>
      <c r="AB58" s="2295"/>
      <c r="AC58" s="2295"/>
      <c r="AD58" s="2295"/>
      <c r="AE58" s="2295"/>
      <c r="AF58" s="2295"/>
      <c r="AG58" s="2295"/>
      <c r="AH58" s="2295"/>
      <c r="AI58" s="2295"/>
      <c r="AJ58" s="2295"/>
      <c r="AK58" s="2295"/>
      <c r="AQ58" s="1641">
        <v>19</v>
      </c>
    </row>
    <row customHeight="1" ht="21">
      <c r="O59" s="1645"/>
      <c r="T59" s="2295"/>
      <c r="U59" s="2295"/>
      <c r="V59" s="2295"/>
      <c r="W59" s="2295"/>
      <c r="X59" s="2295"/>
      <c r="Y59" s="2295"/>
      <c r="Z59" s="2295"/>
      <c r="AA59" s="2295"/>
      <c r="AB59" s="2295"/>
      <c r="AC59" s="2295"/>
      <c r="AD59" s="2295"/>
      <c r="AE59" s="2295"/>
      <c r="AF59" s="2295"/>
      <c r="AG59" s="2295"/>
      <c r="AH59" s="2295"/>
      <c r="AI59" s="2295"/>
      <c r="AJ59" s="2295"/>
      <c r="AK59" s="2295"/>
      <c r="AQ59" s="1641">
        <v>20</v>
      </c>
    </row>
    <row customHeight="1" ht="14.699999999999998">
      <c r="O60" s="1645"/>
      <c r="T60" s="1963"/>
      <c r="U60" s="1963"/>
      <c r="V60" s="1963"/>
      <c r="W60" s="1963"/>
      <c r="X60" s="1963"/>
      <c r="Y60" s="1963"/>
      <c r="Z60" s="1963"/>
      <c r="AA60" s="1963"/>
      <c r="AB60" s="1963"/>
      <c r="AC60" s="1963"/>
      <c r="AD60" s="1963"/>
      <c r="AE60" s="1963"/>
      <c r="AF60" s="1963"/>
      <c r="AG60" s="1963"/>
      <c r="AH60" s="1963"/>
      <c r="AI60" s="1963"/>
      <c r="AJ60" s="1963"/>
      <c r="AK60" s="1963"/>
      <c r="AQ60" s="1641">
        <v>14</v>
      </c>
    </row>
    <row customHeight="1" ht="19.95">
      <c r="O61" s="1645"/>
      <c r="T61" s="2295"/>
      <c r="U61" s="2295"/>
      <c r="V61" s="2295"/>
      <c r="W61" s="2295"/>
      <c r="X61" s="2295"/>
      <c r="Y61" s="2295"/>
      <c r="Z61" s="2295"/>
      <c r="AA61" s="2295"/>
      <c r="AB61" s="2295"/>
      <c r="AC61" s="2295"/>
      <c r="AD61" s="2295"/>
      <c r="AE61" s="2295"/>
      <c r="AF61" s="2295"/>
      <c r="AG61" s="2295"/>
      <c r="AH61" s="2295"/>
      <c r="AI61" s="2295"/>
      <c r="AJ61" s="2295"/>
      <c r="AK61" s="2295"/>
      <c r="AQ61" s="1641">
        <v>19</v>
      </c>
    </row>
    <row customHeight="1" ht="16.8">
      <c r="O62" s="1645"/>
      <c r="T62" s="2295"/>
      <c r="U62" s="2295"/>
      <c r="V62" s="2295"/>
      <c r="W62" s="2295"/>
      <c r="X62" s="2295"/>
      <c r="Y62" s="2295"/>
      <c r="Z62" s="2295"/>
      <c r="AA62" s="2295"/>
      <c r="AB62" s="2295"/>
      <c r="AC62" s="2295"/>
      <c r="AD62" s="2295"/>
      <c r="AE62" s="2295"/>
      <c r="AF62" s="2295"/>
      <c r="AG62" s="2295"/>
      <c r="AH62" s="2295"/>
      <c r="AI62" s="2295"/>
      <c r="AJ62" s="2295"/>
      <c r="AK62" s="2295"/>
      <c r="AQ62" s="1641">
        <v>16</v>
      </c>
    </row>
    <row customHeight="1" ht="14.699999999999998">
      <c r="O63" s="1645"/>
      <c r="AQ63" s="1641">
        <v>14</v>
      </c>
    </row>
    <row customHeight="1" ht="22.5" hidden="1">
      <c r="A64" s="1641" t="s">
        <v>82</v>
      </c>
      <c r="B64" s="1641">
        <v>0</v>
      </c>
      <c r="C64" s="1641">
        <v>0</v>
      </c>
      <c r="D64" s="1641">
        <v>0</v>
      </c>
      <c r="E64" s="1641">
        <v>0</v>
      </c>
      <c r="F64" s="1641">
        <v>0</v>
      </c>
      <c r="G64" s="1641">
        <v>0</v>
      </c>
      <c r="H64" s="1641">
        <v>0</v>
      </c>
      <c r="I64" s="1641">
        <v>0</v>
      </c>
      <c r="J64" s="1641">
        <v>0</v>
      </c>
      <c r="K64" s="1641">
        <v>0</v>
      </c>
      <c r="L64" s="1949">
        <v>0</v>
      </c>
      <c r="M64" s="1975">
        <v>0</v>
      </c>
      <c r="N64" s="1975">
        <v>0</v>
      </c>
      <c r="O64" s="1975">
        <v>0</v>
      </c>
      <c r="P64" s="1372">
        <v>3</v>
      </c>
      <c r="Q64" s="1381">
        <v>3</v>
      </c>
      <c r="R64" s="354">
        <v>3</v>
      </c>
      <c r="S64" s="591">
        <v>12</v>
      </c>
      <c r="T64" s="1641">
        <v>31</v>
      </c>
      <c r="U64" s="1641">
        <v>0</v>
      </c>
      <c r="V64" s="1641">
        <v>0</v>
      </c>
      <c r="W64" s="1641">
        <v>0</v>
      </c>
      <c r="X64" s="1641">
        <v>0</v>
      </c>
      <c r="Y64" s="1641">
        <v>0</v>
      </c>
      <c r="Z64" s="1641">
        <v>0</v>
      </c>
      <c r="AA64" s="1641">
        <v>0</v>
      </c>
      <c r="AB64" s="1641">
        <v>27</v>
      </c>
      <c r="AC64" s="1641">
        <v>24</v>
      </c>
      <c r="AD64" s="1641">
        <v>21</v>
      </c>
      <c r="AE64" s="1641">
        <v>21</v>
      </c>
      <c r="AF64" s="1641">
        <v>11</v>
      </c>
      <c r="AG64" s="1641">
        <v>3</v>
      </c>
      <c r="AH64" s="1641">
        <v>11</v>
      </c>
      <c r="AI64" s="1641">
        <v>8</v>
      </c>
      <c r="AJ64" s="1641">
        <v>4</v>
      </c>
      <c r="AK64" s="1641">
        <v>115</v>
      </c>
      <c r="AL64" s="1646">
        <v>10</v>
      </c>
      <c r="AM64" s="1646">
        <v>10</v>
      </c>
      <c r="AN64" s="1646">
        <v>10</v>
      </c>
      <c r="AO64" s="1646">
        <v>10</v>
      </c>
      <c r="AP64" s="1646">
        <v>10</v>
      </c>
      <c r="AQ64" s="1641">
        <v>23</v>
      </c>
    </row>
  </sheetData>
  <sheetProtection sheet="1" sort="1" autoFilter="0" insertRows="1" insertColumns="1" deleteRows="1" deleteColumns="1"/>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2E6DED-8DC9-482E-C713-0.15E25B15}"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6" width="11.57421875" hidden="1" customWidth="1"/>
    <col min="2" max="2" style="1376" width="11.00390625" hidden="1" customWidth="1"/>
    <col min="3" max="3" style="1376" width="10.57421875" hidden="1"/>
    <col min="4" max="4" style="1376" width="12.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1786" width="3.7109375" hidden="1" customWidth="1"/>
    <col min="17" max="17" style="1381" width="3.7109375" hidden="1" customWidth="1"/>
    <col min="18" max="18" style="354" width="3.00390625" customWidth="1"/>
    <col min="19" max="19" style="2417" width="12.00390625" customWidth="1"/>
    <col min="20" max="20" style="1645" width="31.00390625" customWidth="1"/>
    <col min="21" max="21" style="1645" width="0.140625" customWidth="1"/>
    <col min="22" max="25" style="1645" width="21.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3.7109375" customWidth="1"/>
    <col min="31" max="32" style="1645" width="3.00390625" customWidth="1"/>
    <col min="33" max="33" style="1645" width="24.00390625" customWidth="1"/>
    <col min="34" max="34" style="1645" width="3.7109375" customWidth="1"/>
    <col min="35" max="36" style="1645" width="3.00390625" customWidth="1"/>
    <col min="37" max="37" style="1645" width="24.00390625" customWidth="1"/>
    <col min="38" max="38" style="1645" width="3.7109375" customWidth="1"/>
    <col min="39" max="40" style="1645" width="3.00390625" customWidth="1"/>
    <col min="41" max="41" style="1645" width="18.00390625" customWidth="1"/>
    <col min="42" max="42" style="1645" width="3.7109375" customWidth="1"/>
    <col min="43" max="44" style="1645" width="3.00390625" customWidth="1"/>
    <col min="45" max="45" style="1645" width="18.00390625" customWidth="1"/>
    <col min="46" max="49" style="1645" width="21.00390625" customWidth="1"/>
    <col min="50" max="50" style="1645" width="11.00390625" customWidth="1"/>
    <col min="51" max="51" style="1645" width="3.7109375" customWidth="1"/>
    <col min="52" max="52" style="1645" width="11.00390625" customWidth="1"/>
    <col min="53" max="53" style="1645" width="8.57421875" hidden="1" customWidth="1"/>
    <col min="54" max="54" style="1645" width="4.00390625" customWidth="1"/>
    <col min="55" max="55" style="1645" width="115.00390625" customWidth="1"/>
    <col min="56" max="60" style="1652" width="10.00390625" customWidth="1"/>
    <col min="61" max="61" style="1645" width="10.57421875" hidden="1"/>
  </cols>
  <sheetData>
    <row customHeight="1" ht="22.5" hidden="1">
      <c r="W1" s="337"/>
      <c r="Y1" s="337"/>
      <c r="Z1" s="337"/>
      <c r="AW1" s="337"/>
      <c r="AX1" s="337"/>
      <c r="BI1" s="1165" t="s">
        <v>14</v>
      </c>
    </row>
    <row customHeight="1" ht="21" hidden="1">
      <c r="A2" s="1373"/>
      <c r="B2" s="1373"/>
      <c r="C2" s="1373"/>
      <c r="D2" s="1373"/>
      <c r="E2" s="2268">
        <v>1</v>
      </c>
      <c r="F2" s="1373"/>
      <c r="G2" s="1373"/>
      <c r="H2" s="1373"/>
      <c r="I2" s="1373"/>
      <c r="J2" s="1373"/>
      <c r="K2" s="1373"/>
      <c r="L2" s="1374"/>
      <c r="M2" s="1375"/>
      <c r="N2" s="1375"/>
      <c r="O2" s="1375"/>
      <c r="P2" s="1419"/>
      <c r="Q2" s="883"/>
      <c r="R2" s="365"/>
      <c r="S2" s="1475">
        <f>INDEX(PT_DIFFERENTIATION_NUM_NTAR,MATCH(A2,PT_DIFFERENTIATION_NTAR_ID,0))</f>
      </c>
      <c r="T2" s="308" t="s">
        <v>147</v>
      </c>
      <c r="U2" s="310"/>
      <c r="V2" s="2253"/>
      <c r="W2" s="2253"/>
      <c r="X2" s="2253"/>
      <c r="Y2" s="2253"/>
      <c r="Z2" s="2253"/>
      <c r="AA2" s="2253"/>
      <c r="AB2" s="2253"/>
      <c r="AC2" s="2254"/>
      <c r="AD2" s="2252">
        <f>INDEX(PT_DIFFERENTIATION_NTAR,MATCH(A2,PT_DIFFERENTIATION_NTAR_ID,0))</f>
      </c>
      <c r="AE2" s="2253"/>
      <c r="AF2" s="2253"/>
      <c r="AG2" s="2253"/>
      <c r="AH2" s="2253"/>
      <c r="AI2" s="2253"/>
      <c r="AJ2" s="2253"/>
      <c r="AK2" s="2253"/>
      <c r="AL2" s="2253"/>
      <c r="AM2" s="2253"/>
      <c r="AN2" s="2253"/>
      <c r="AO2" s="2253"/>
      <c r="AP2" s="2253"/>
      <c r="AQ2" s="2253"/>
      <c r="AR2" s="2253"/>
      <c r="AS2" s="2253"/>
      <c r="AT2" s="2253"/>
      <c r="AU2" s="2253"/>
      <c r="AV2" s="2253"/>
      <c r="AW2" s="2253"/>
      <c r="AX2" s="2253"/>
      <c r="AY2" s="2253"/>
      <c r="AZ2" s="2253"/>
      <c r="BA2" s="2253"/>
      <c r="BB2" s="2254"/>
      <c r="BC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10"/>
      <c r="BF2" s="510" t="str">
        <f>IF(T2="","",T2)</f>
        <v>Наименование тарифа</v>
      </c>
      <c r="BG2" s="510"/>
      <c r="BH2" s="510"/>
      <c r="BI2" s="1165">
        <v>0</v>
      </c>
    </row>
    <row customHeight="1" ht="21" hidden="1">
      <c r="A3" s="1373"/>
      <c r="B3" s="1373"/>
      <c r="C3" s="1373"/>
      <c r="D3" s="1373"/>
      <c r="E3" s="2269"/>
      <c r="F3" s="2268">
        <v>1</v>
      </c>
      <c r="G3" s="1373"/>
      <c r="H3" s="1373"/>
      <c r="I3" s="1373"/>
      <c r="J3" s="1373"/>
      <c r="K3" s="1373"/>
      <c r="L3" s="1374"/>
      <c r="M3" s="1375"/>
      <c r="N3" s="1375"/>
      <c r="O3" s="1375"/>
      <c r="P3" s="1420"/>
      <c r="Q3" s="1421"/>
      <c r="R3" s="363"/>
      <c r="S3" s="1475">
        <f>INDEX(PT_DIFFERENTIATION_NUM_TER,MATCH(B3,PT_DIFFERENTIATION_TER_ID,0))</f>
      </c>
      <c r="T3" s="318" t="s">
        <v>419</v>
      </c>
      <c r="U3" s="310"/>
      <c r="V3" s="2253"/>
      <c r="W3" s="2253"/>
      <c r="X3" s="2253"/>
      <c r="Y3" s="2253"/>
      <c r="Z3" s="2253"/>
      <c r="AA3" s="2253"/>
      <c r="AB3" s="2253"/>
      <c r="AC3" s="2254"/>
      <c r="AD3" s="2252">
        <f>INDEX(PT_DIFFERENTIATION_TER,MATCH(B3,PT_DIFFERENTIATION_TER_ID,0))</f>
      </c>
      <c r="AE3" s="2253"/>
      <c r="AF3" s="2253"/>
      <c r="AG3" s="2253"/>
      <c r="AH3" s="2253"/>
      <c r="AI3" s="2253"/>
      <c r="AJ3" s="2253"/>
      <c r="AK3" s="2253"/>
      <c r="AL3" s="2253"/>
      <c r="AM3" s="2253"/>
      <c r="AN3" s="2253"/>
      <c r="AO3" s="2253"/>
      <c r="AP3" s="2253"/>
      <c r="AQ3" s="2253"/>
      <c r="AR3" s="2253"/>
      <c r="AS3" s="2253"/>
      <c r="AT3" s="2253"/>
      <c r="AU3" s="2253"/>
      <c r="AV3" s="2253"/>
      <c r="AW3" s="2253"/>
      <c r="AX3" s="2253"/>
      <c r="AY3" s="2253"/>
      <c r="AZ3" s="2253"/>
      <c r="BA3" s="2253"/>
      <c r="BB3" s="2254"/>
      <c r="BC3" s="1268" t="s">
        <v>420</v>
      </c>
      <c r="BE3" s="510"/>
      <c r="BF3" s="510" t="str">
        <f>IF(T3="","",T3)</f>
        <v>Территория действия тарифа</v>
      </c>
      <c r="BG3" s="510"/>
      <c r="BH3" s="510"/>
      <c r="BI3" s="1165">
        <v>0</v>
      </c>
    </row>
    <row customHeight="1" ht="42" hidden="1">
      <c r="A4" s="1373"/>
      <c r="B4" s="1373"/>
      <c r="C4" s="1373"/>
      <c r="D4" s="1373"/>
      <c r="E4" s="2269"/>
      <c r="F4" s="2269"/>
      <c r="G4" s="2268">
        <v>1</v>
      </c>
      <c r="H4" s="1373"/>
      <c r="I4" s="1373"/>
      <c r="J4" s="1373"/>
      <c r="K4" s="1373"/>
      <c r="L4" s="1374"/>
      <c r="M4" s="1375"/>
      <c r="N4" s="1375"/>
      <c r="O4" s="1375"/>
      <c r="P4" s="1422"/>
      <c r="Q4" s="1421"/>
      <c r="R4" s="363"/>
      <c r="S4" s="1475">
        <f>INDEX(PT_DIFFERENTIATION_NUM_CS,MATCH(C4,PT_DIFFERENTIATION_CS_ID,0))</f>
      </c>
      <c r="T4" s="319" t="s">
        <v>503</v>
      </c>
      <c r="U4" s="310"/>
      <c r="V4" s="2253"/>
      <c r="W4" s="2253"/>
      <c r="X4" s="2253"/>
      <c r="Y4" s="2253"/>
      <c r="Z4" s="2253"/>
      <c r="AA4" s="2253"/>
      <c r="AB4" s="2253"/>
      <c r="AC4" s="2254"/>
      <c r="AD4" s="2252">
        <f>INDEX(PT_DIFFERENTIATION_CS,MATCH(C4,PT_DIFFERENTIATION_CS_ID,0))</f>
      </c>
      <c r="AE4" s="2253"/>
      <c r="AF4" s="2253"/>
      <c r="AG4" s="2253"/>
      <c r="AH4" s="2253"/>
      <c r="AI4" s="2253"/>
      <c r="AJ4" s="2253"/>
      <c r="AK4" s="2253"/>
      <c r="AL4" s="2253"/>
      <c r="AM4" s="2253"/>
      <c r="AN4" s="2253"/>
      <c r="AO4" s="2253"/>
      <c r="AP4" s="2253"/>
      <c r="AQ4" s="2253"/>
      <c r="AR4" s="2253"/>
      <c r="AS4" s="2253"/>
      <c r="AT4" s="2253"/>
      <c r="AU4" s="2253"/>
      <c r="AV4" s="2253"/>
      <c r="AW4" s="2253"/>
      <c r="AX4" s="2253"/>
      <c r="AY4" s="2253"/>
      <c r="AZ4" s="2253"/>
      <c r="BA4" s="2253"/>
      <c r="BB4" s="2254"/>
      <c r="BC4" s="1268" t="s">
        <v>504</v>
      </c>
      <c r="BE4" s="510"/>
      <c r="BF4" s="510" t="str">
        <f>IF(T4="","",T4)</f>
        <v>Наименование централизованной системы холодного водоснабжения</v>
      </c>
      <c r="BG4" s="510"/>
      <c r="BH4" s="510"/>
      <c r="BI4" s="1165">
        <v>0</v>
      </c>
    </row>
    <row s="1652" customFormat="1" customHeight="1" ht="14.25" hidden="1">
      <c r="A5" s="1353"/>
      <c r="B5" s="1353"/>
      <c r="C5" s="1353"/>
      <c r="D5" s="1353"/>
      <c r="E5" s="2269"/>
      <c r="F5" s="2269"/>
      <c r="G5" s="2269"/>
      <c r="H5" s="2268">
        <v>1</v>
      </c>
      <c r="I5" s="1353"/>
      <c r="J5" s="1353"/>
      <c r="K5" s="1353"/>
      <c r="L5" s="1356"/>
      <c r="M5" s="1325"/>
      <c r="N5" s="1325"/>
      <c r="O5" s="1325"/>
      <c r="P5" s="1507"/>
      <c r="Q5" s="1508"/>
      <c r="R5" s="367"/>
      <c r="S5" s="1052"/>
      <c r="T5" s="1509"/>
      <c r="U5" s="1394"/>
      <c r="V5" s="2307"/>
      <c r="W5" s="2307"/>
      <c r="X5" s="2307"/>
      <c r="Y5" s="2307"/>
      <c r="Z5" s="2307"/>
      <c r="AA5" s="2307"/>
      <c r="AB5" s="2307"/>
      <c r="AC5" s="2308"/>
      <c r="AD5" s="2306"/>
      <c r="AE5" s="2307"/>
      <c r="AF5" s="2307"/>
      <c r="AG5" s="2307"/>
      <c r="AH5" s="2307"/>
      <c r="AI5" s="2307"/>
      <c r="AJ5" s="2307"/>
      <c r="AK5" s="2307"/>
      <c r="AL5" s="2307"/>
      <c r="AM5" s="2307"/>
      <c r="AN5" s="2307"/>
      <c r="AO5" s="2307"/>
      <c r="AP5" s="2307"/>
      <c r="AQ5" s="2307"/>
      <c r="AR5" s="2307"/>
      <c r="AS5" s="2307"/>
      <c r="AT5" s="2307"/>
      <c r="AU5" s="2307"/>
      <c r="AV5" s="2307"/>
      <c r="AW5" s="2307"/>
      <c r="AX5" s="2307"/>
      <c r="AY5" s="2307"/>
      <c r="AZ5" s="2307"/>
      <c r="BA5" s="2307"/>
      <c r="BB5" s="2308"/>
      <c r="BC5" s="1395" t="s">
        <v>424</v>
      </c>
      <c r="BE5" s="510"/>
      <c r="BF5" s="510" t="str">
        <f>IF(T5="","",T5)</f>
        <v/>
      </c>
      <c r="BG5" s="510"/>
      <c r="BH5" s="510"/>
      <c r="BI5" s="521">
        <v>0</v>
      </c>
    </row>
    <row s="1652" customFormat="1" customHeight="1" ht="14.25" hidden="1">
      <c r="A6" s="1353"/>
      <c r="B6" s="1353"/>
      <c r="C6" s="1353"/>
      <c r="D6" s="1353"/>
      <c r="E6" s="2269"/>
      <c r="F6" s="2269"/>
      <c r="G6" s="2269"/>
      <c r="H6" s="2269"/>
      <c r="I6" s="2266" t="str">
        <f>S5&amp;".1"</f>
        <v>.1</v>
      </c>
      <c r="J6" s="1353"/>
      <c r="K6" s="1353"/>
      <c r="L6" s="1356" t="s">
        <v>425</v>
      </c>
      <c r="M6" s="520"/>
      <c r="N6" s="520"/>
      <c r="O6" s="520"/>
      <c r="P6" s="2267">
        <v>1</v>
      </c>
      <c r="Q6" s="1472"/>
      <c r="R6" s="366"/>
      <c r="S6" s="1052"/>
      <c r="T6" s="1393"/>
      <c r="U6" s="1394"/>
      <c r="V6" s="2307"/>
      <c r="W6" s="2307"/>
      <c r="X6" s="2307"/>
      <c r="Y6" s="2307"/>
      <c r="Z6" s="2307"/>
      <c r="AA6" s="2307"/>
      <c r="AB6" s="2307"/>
      <c r="AC6" s="2308"/>
      <c r="AD6" s="2306"/>
      <c r="AE6" s="2307"/>
      <c r="AF6" s="2307"/>
      <c r="AG6" s="2307"/>
      <c r="AH6" s="2307"/>
      <c r="AI6" s="2307"/>
      <c r="AJ6" s="2307"/>
      <c r="AK6" s="2307"/>
      <c r="AL6" s="2307"/>
      <c r="AM6" s="2307"/>
      <c r="AN6" s="2307"/>
      <c r="AO6" s="2307"/>
      <c r="AP6" s="2307"/>
      <c r="AQ6" s="2307"/>
      <c r="AR6" s="2307"/>
      <c r="AS6" s="2307"/>
      <c r="AT6" s="2307"/>
      <c r="AU6" s="2307"/>
      <c r="AV6" s="2307"/>
      <c r="AW6" s="2307"/>
      <c r="AX6" s="2307"/>
      <c r="AY6" s="2307"/>
      <c r="AZ6" s="2307"/>
      <c r="BA6" s="2307"/>
      <c r="BB6" s="2308"/>
      <c r="BC6" s="1395"/>
      <c r="BE6" s="510"/>
      <c r="BF6" s="510" t="str">
        <f>IF(T6="","",T6)</f>
        <v/>
      </c>
      <c r="BG6" s="510"/>
      <c r="BH6" s="510"/>
      <c r="BI6" s="521">
        <v>0</v>
      </c>
    </row>
    <row s="1652" customFormat="1" customHeight="1" ht="14.25" hidden="1">
      <c r="A7" s="1353"/>
      <c r="B7" s="1353"/>
      <c r="C7" s="1353"/>
      <c r="D7" s="1353"/>
      <c r="E7" s="2269"/>
      <c r="F7" s="2269"/>
      <c r="G7" s="2269"/>
      <c r="H7" s="2269"/>
      <c r="I7" s="2296"/>
      <c r="J7" s="2266" t="str">
        <f>S5&amp;".1"</f>
        <v>.1</v>
      </c>
      <c r="K7" s="1353"/>
      <c r="L7" s="1356"/>
      <c r="M7" s="520"/>
      <c r="N7" s="520"/>
      <c r="O7" s="520"/>
      <c r="P7" s="2267"/>
      <c r="Q7" s="2267">
        <v>1</v>
      </c>
      <c r="R7" s="367"/>
      <c r="S7" s="1052"/>
      <c r="T7" s="1409"/>
      <c r="U7" s="1394"/>
      <c r="V7" s="2307"/>
      <c r="W7" s="2307"/>
      <c r="X7" s="2307"/>
      <c r="Y7" s="2307"/>
      <c r="Z7" s="2307"/>
      <c r="AA7" s="2307"/>
      <c r="AB7" s="2307"/>
      <c r="AC7" s="2308"/>
      <c r="AD7" s="2306"/>
      <c r="AE7" s="2307"/>
      <c r="AF7" s="2307"/>
      <c r="AG7" s="2307"/>
      <c r="AH7" s="2307"/>
      <c r="AI7" s="2307"/>
      <c r="AJ7" s="2307"/>
      <c r="AK7" s="2307"/>
      <c r="AL7" s="2307"/>
      <c r="AM7" s="2307"/>
      <c r="AN7" s="2307"/>
      <c r="AO7" s="2307"/>
      <c r="AP7" s="2307"/>
      <c r="AQ7" s="2307"/>
      <c r="AR7" s="2307"/>
      <c r="AS7" s="2307"/>
      <c r="AT7" s="2307"/>
      <c r="AU7" s="2307"/>
      <c r="AV7" s="2307"/>
      <c r="AW7" s="2307"/>
      <c r="AX7" s="2307"/>
      <c r="AY7" s="2307"/>
      <c r="AZ7" s="2307"/>
      <c r="BA7" s="2307"/>
      <c r="BB7" s="2308"/>
      <c r="BC7" s="1395"/>
      <c r="BE7" s="510"/>
      <c r="BF7" s="510" t="str">
        <f>IF(T7="","",T7)</f>
        <v/>
      </c>
      <c r="BG7" s="510"/>
      <c r="BH7" s="510"/>
      <c r="BI7" s="521">
        <v>0</v>
      </c>
    </row>
    <row customHeight="1" ht="11.25" hidden="1">
      <c r="A8" s="1373"/>
      <c r="B8" s="1373"/>
      <c r="C8" s="1373"/>
      <c r="D8" s="1373"/>
      <c r="E8" s="2269"/>
      <c r="F8" s="2269"/>
      <c r="G8" s="2269"/>
      <c r="H8" s="2269"/>
      <c r="I8" s="2296"/>
      <c r="J8" s="2296"/>
      <c r="K8" s="2266">
        <f>S4&amp;".1"</f>
      </c>
      <c r="L8" s="1374"/>
      <c r="P8" s="2267"/>
      <c r="Q8" s="2267"/>
      <c r="R8" s="2357">
        <v>1</v>
      </c>
      <c r="S8" s="2351">
        <f>$K8</f>
      </c>
      <c r="T8" s="2370"/>
      <c r="U8" s="310"/>
      <c r="V8" s="761"/>
      <c r="W8" s="1267"/>
      <c r="X8" s="761"/>
      <c r="Y8" s="1267"/>
      <c r="Z8" s="1744"/>
      <c r="AA8" s="1469" t="s">
        <v>66</v>
      </c>
      <c r="AB8" s="1744"/>
      <c r="AC8" s="1469" t="s">
        <v>66</v>
      </c>
      <c r="AD8" s="2195" t="s">
        <v>66</v>
      </c>
      <c r="AE8" s="2336"/>
      <c r="AF8" s="2215">
        <v>1</v>
      </c>
      <c r="AG8" s="2373"/>
      <c r="AH8" s="2117" t="s">
        <v>66</v>
      </c>
      <c r="AI8" s="2336"/>
      <c r="AJ8" s="2215">
        <v>1</v>
      </c>
      <c r="AK8" s="2337" t="s">
        <v>22</v>
      </c>
      <c r="AL8" s="2117" t="s">
        <v>66</v>
      </c>
      <c r="AM8" s="2202"/>
      <c r="AN8" s="2215">
        <v>1</v>
      </c>
      <c r="AO8" s="2367"/>
      <c r="AP8" s="2368" t="s">
        <v>66</v>
      </c>
      <c r="AQ8" s="321"/>
      <c r="AR8" s="1473">
        <v>1</v>
      </c>
      <c r="AS8" s="1476" t="s">
        <v>22</v>
      </c>
      <c r="AT8" s="761"/>
      <c r="AU8" s="1267"/>
      <c r="AV8" s="761"/>
      <c r="AW8" s="1267"/>
      <c r="AX8" s="1744"/>
      <c r="AY8" s="1469" t="s">
        <v>66</v>
      </c>
      <c r="AZ8" s="1744"/>
      <c r="BA8" s="1469" t="s">
        <v>66</v>
      </c>
      <c r="BB8" s="1358"/>
      <c r="BC8" s="2263" t="s">
        <v>523</v>
      </c>
      <c r="BE8" s="510"/>
      <c r="BF8" s="510" t="str">
        <f>IF(T8="","",T8)</f>
        <v/>
      </c>
      <c r="BG8" s="510"/>
      <c r="BH8" s="510"/>
      <c r="BI8" s="1165">
        <v>0</v>
      </c>
    </row>
    <row customHeight="1" ht="11.25" hidden="1">
      <c r="A9" s="1373"/>
      <c r="B9" s="1373"/>
      <c r="C9" s="1373"/>
      <c r="D9" s="1373"/>
      <c r="E9" s="2269"/>
      <c r="F9" s="2269"/>
      <c r="G9" s="2269"/>
      <c r="H9" s="2269"/>
      <c r="I9" s="2296"/>
      <c r="J9" s="2296"/>
      <c r="K9" s="2266"/>
      <c r="L9" s="1374"/>
      <c r="P9" s="2267"/>
      <c r="Q9" s="2267"/>
      <c r="R9" s="2357"/>
      <c r="S9" s="2352"/>
      <c r="T9" s="2371"/>
      <c r="U9" s="310"/>
      <c r="V9" s="1403"/>
      <c r="W9" s="1506"/>
      <c r="X9" s="1403"/>
      <c r="Y9" s="1506"/>
      <c r="Z9" s="1403"/>
      <c r="AA9" s="1403"/>
      <c r="AB9" s="1403"/>
      <c r="AC9" s="1403"/>
      <c r="AD9" s="2196"/>
      <c r="AE9" s="2336"/>
      <c r="AF9" s="2215"/>
      <c r="AG9" s="2373"/>
      <c r="AH9" s="2117"/>
      <c r="AI9" s="2336"/>
      <c r="AJ9" s="2215"/>
      <c r="AK9" s="2337"/>
      <c r="AL9" s="2117"/>
      <c r="AM9" s="2210"/>
      <c r="AN9" s="2215"/>
      <c r="AO9" s="2367"/>
      <c r="AP9" s="2369"/>
      <c r="AQ9" s="326"/>
      <c r="AR9" s="426"/>
      <c r="AS9" s="426" t="s">
        <v>524</v>
      </c>
      <c r="AT9" s="1403"/>
      <c r="AU9" s="1506"/>
      <c r="AV9" s="1403"/>
      <c r="AW9" s="1506"/>
      <c r="AX9" s="1403"/>
      <c r="AY9" s="1403"/>
      <c r="AZ9" s="1403"/>
      <c r="BA9" s="1403"/>
      <c r="BB9" s="1407"/>
      <c r="BC9" s="2264"/>
      <c r="BE9" s="510"/>
      <c r="BF9" s="510"/>
      <c r="BG9" s="510"/>
      <c r="BH9" s="510"/>
      <c r="BI9" s="1165">
        <v>0</v>
      </c>
    </row>
    <row customHeight="1" ht="11.25" hidden="1">
      <c r="A10" s="1373"/>
      <c r="B10" s="1373"/>
      <c r="C10" s="1373"/>
      <c r="D10" s="1373"/>
      <c r="E10" s="2269"/>
      <c r="F10" s="2269"/>
      <c r="G10" s="2269"/>
      <c r="H10" s="2269"/>
      <c r="I10" s="2296"/>
      <c r="J10" s="2296"/>
      <c r="K10" s="2266"/>
      <c r="L10" s="1374"/>
      <c r="P10" s="2267"/>
      <c r="Q10" s="2267"/>
      <c r="R10" s="2357"/>
      <c r="S10" s="2352"/>
      <c r="T10" s="2371"/>
      <c r="U10" s="310"/>
      <c r="V10" s="1403"/>
      <c r="W10" s="1506"/>
      <c r="X10" s="1403"/>
      <c r="Y10" s="1506"/>
      <c r="Z10" s="1403"/>
      <c r="AA10" s="1403"/>
      <c r="AB10" s="1403"/>
      <c r="AC10" s="1403"/>
      <c r="AD10" s="2196"/>
      <c r="AE10" s="2336"/>
      <c r="AF10" s="2215"/>
      <c r="AG10" s="2373"/>
      <c r="AH10" s="2117"/>
      <c r="AI10" s="2336"/>
      <c r="AJ10" s="2215"/>
      <c r="AK10" s="2337"/>
      <c r="AL10" s="2117"/>
      <c r="AM10" s="326"/>
      <c r="AN10" s="1510"/>
      <c r="AO10" s="1510" t="s">
        <v>525</v>
      </c>
      <c r="AP10" s="426"/>
      <c r="AQ10" s="426"/>
      <c r="AR10" s="426"/>
      <c r="AS10" s="1403"/>
      <c r="AT10" s="1403"/>
      <c r="AU10" s="1506"/>
      <c r="AV10" s="1403"/>
      <c r="AW10" s="1506"/>
      <c r="AX10" s="1403"/>
      <c r="AY10" s="1403"/>
      <c r="AZ10" s="1403"/>
      <c r="BA10" s="1403"/>
      <c r="BB10" s="1407"/>
      <c r="BC10" s="2264"/>
      <c r="BE10" s="510"/>
      <c r="BF10" s="510"/>
      <c r="BG10" s="510"/>
      <c r="BH10" s="510"/>
      <c r="BI10" s="1165">
        <v>0</v>
      </c>
    </row>
    <row customHeight="1" ht="11.25" hidden="1">
      <c r="A11" s="1373"/>
      <c r="B11" s="1373"/>
      <c r="C11" s="1373"/>
      <c r="D11" s="1373"/>
      <c r="E11" s="2269"/>
      <c r="F11" s="2269"/>
      <c r="G11" s="2269"/>
      <c r="H11" s="2269"/>
      <c r="I11" s="2296"/>
      <c r="J11" s="2296"/>
      <c r="K11" s="2266"/>
      <c r="L11" s="1374"/>
      <c r="P11" s="2267"/>
      <c r="Q11" s="2267"/>
      <c r="R11" s="2357"/>
      <c r="S11" s="2352"/>
      <c r="T11" s="2371"/>
      <c r="U11" s="310"/>
      <c r="V11" s="1403"/>
      <c r="W11" s="1506"/>
      <c r="X11" s="1403"/>
      <c r="Y11" s="1506"/>
      <c r="Z11" s="1403"/>
      <c r="AA11" s="1403"/>
      <c r="AB11" s="1403"/>
      <c r="AC11" s="1403"/>
      <c r="AD11" s="2196"/>
      <c r="AE11" s="2336"/>
      <c r="AF11" s="2215"/>
      <c r="AG11" s="2373"/>
      <c r="AH11" s="2117"/>
      <c r="AI11" s="304"/>
      <c r="AJ11" s="425"/>
      <c r="AK11" s="323" t="s">
        <v>526</v>
      </c>
      <c r="AL11" s="1403"/>
      <c r="AM11" s="1403"/>
      <c r="AN11" s="1403"/>
      <c r="AO11" s="1403"/>
      <c r="AP11" s="1403"/>
      <c r="AQ11" s="1403"/>
      <c r="AR11" s="1403"/>
      <c r="AS11" s="1403"/>
      <c r="AT11" s="1403"/>
      <c r="AU11" s="1506"/>
      <c r="AV11" s="1403"/>
      <c r="AW11" s="1506"/>
      <c r="AX11" s="1403"/>
      <c r="AY11" s="1403"/>
      <c r="AZ11" s="1403"/>
      <c r="BA11" s="1403"/>
      <c r="BB11" s="1407"/>
      <c r="BC11" s="2264"/>
      <c r="BE11" s="510"/>
      <c r="BF11" s="510"/>
      <c r="BG11" s="510"/>
      <c r="BH11" s="510"/>
      <c r="BI11" s="1165">
        <v>0</v>
      </c>
    </row>
    <row customHeight="1" ht="11.25" hidden="1">
      <c r="A12" s="1373"/>
      <c r="B12" s="1373"/>
      <c r="C12" s="1373"/>
      <c r="D12" s="1373"/>
      <c r="E12" s="2269"/>
      <c r="F12" s="2269"/>
      <c r="G12" s="2269"/>
      <c r="H12" s="2269"/>
      <c r="I12" s="2296"/>
      <c r="J12" s="2296"/>
      <c r="K12" s="2266"/>
      <c r="L12" s="1374"/>
      <c r="P12" s="2267"/>
      <c r="Q12" s="2267"/>
      <c r="R12" s="2357"/>
      <c r="S12" s="2353"/>
      <c r="T12" s="2372"/>
      <c r="U12" s="310"/>
      <c r="V12" s="1403"/>
      <c r="W12" s="1404" t="str">
        <f>Z8&amp;"-"&amp;AB8</f>
        <v>-</v>
      </c>
      <c r="X12" s="1403"/>
      <c r="Y12" s="1404" t="str">
        <f>AB8&amp;"-"&amp;AD8</f>
        <v>-да</v>
      </c>
      <c r="Z12" s="1403"/>
      <c r="AA12" s="1403"/>
      <c r="AB12" s="1403"/>
      <c r="AC12" s="1403"/>
      <c r="AD12" s="2122"/>
      <c r="AE12" s="322"/>
      <c r="AF12" s="324"/>
      <c r="AG12" s="426" t="s">
        <v>527</v>
      </c>
      <c r="AH12" s="1403"/>
      <c r="AI12" s="1403"/>
      <c r="AJ12" s="1403"/>
      <c r="AK12" s="1403"/>
      <c r="AL12" s="1403"/>
      <c r="AM12" s="1403"/>
      <c r="AN12" s="1403"/>
      <c r="AO12" s="1403"/>
      <c r="AP12" s="1403"/>
      <c r="AQ12" s="1403"/>
      <c r="AR12" s="1403"/>
      <c r="AS12" s="1403"/>
      <c r="AT12" s="1403"/>
      <c r="AU12" s="1404" t="str">
        <f>AX8&amp;"-"&amp;AZ8</f>
        <v>-</v>
      </c>
      <c r="AV12" s="1403"/>
      <c r="AW12" s="1404" t="str">
        <f>AZ8&amp;"-"&amp;BB8</f>
        <v>-</v>
      </c>
      <c r="AX12" s="1403"/>
      <c r="AY12" s="1403"/>
      <c r="AZ12" s="1403"/>
      <c r="BA12" s="1403"/>
      <c r="BB12" s="1406" t="str">
        <f>BE8&amp;"-"&amp;BG8</f>
        <v>-</v>
      </c>
      <c r="BC12" s="2264"/>
      <c r="BE12" s="510"/>
      <c r="BF12" s="510" t="str">
        <f>IF(T12="","",T12)</f>
        <v/>
      </c>
      <c r="BG12" s="510"/>
      <c r="BH12" s="510"/>
      <c r="BI12" s="1165">
        <v>0</v>
      </c>
    </row>
    <row customHeight="1" ht="11.25" hidden="1">
      <c r="A13" s="1373"/>
      <c r="B13" s="1373"/>
      <c r="C13" s="1373"/>
      <c r="D13" s="1373"/>
      <c r="E13" s="2269"/>
      <c r="F13" s="2269"/>
      <c r="G13" s="2269"/>
      <c r="H13" s="2269"/>
      <c r="I13" s="2296"/>
      <c r="J13" s="2266"/>
      <c r="K13" s="1373"/>
      <c r="L13" s="1374"/>
      <c r="P13" s="2267"/>
      <c r="Q13" s="2267"/>
      <c r="R13" s="366"/>
      <c r="S13" s="1288"/>
      <c r="T13" s="297" t="s">
        <v>490</v>
      </c>
      <c r="U13" s="377"/>
      <c r="V13" s="377"/>
      <c r="W13" s="377"/>
      <c r="X13" s="377"/>
      <c r="Y13" s="377"/>
      <c r="Z13" s="377"/>
      <c r="AA13" s="377"/>
      <c r="AB13" s="377"/>
      <c r="AC13" s="377"/>
      <c r="AD13" s="1515"/>
      <c r="AE13" s="377"/>
      <c r="AF13" s="377"/>
      <c r="AG13" s="377"/>
      <c r="AH13" s="377"/>
      <c r="AI13" s="377"/>
      <c r="AJ13" s="377"/>
      <c r="AK13" s="377"/>
      <c r="AL13" s="377"/>
      <c r="AM13" s="377"/>
      <c r="AN13" s="377"/>
      <c r="AO13" s="377"/>
      <c r="AP13" s="377"/>
      <c r="AQ13" s="377"/>
      <c r="AR13" s="377"/>
      <c r="AS13" s="377"/>
      <c r="AT13" s="377"/>
      <c r="AU13" s="377"/>
      <c r="AV13" s="377"/>
      <c r="AW13" s="377"/>
      <c r="AX13" s="377"/>
      <c r="AY13" s="377"/>
      <c r="AZ13" s="377"/>
      <c r="BA13" s="377"/>
      <c r="BB13" s="334"/>
      <c r="BC13" s="2265"/>
      <c r="BE13" s="510"/>
      <c r="BF13" s="510" t="str">
        <f>IF(T13="","",T13)</f>
        <v>Добавить строку</v>
      </c>
      <c r="BG13" s="510"/>
      <c r="BH13" s="510"/>
      <c r="BI13" s="1165">
        <v>0</v>
      </c>
    </row>
    <row s="1652" customFormat="1" customHeight="1" ht="14.25" hidden="1">
      <c r="A14" s="1353"/>
      <c r="B14" s="1353"/>
      <c r="C14" s="1353"/>
      <c r="D14" s="1353"/>
      <c r="E14" s="2269"/>
      <c r="F14" s="2269"/>
      <c r="G14" s="2269"/>
      <c r="H14" s="2269"/>
      <c r="I14" s="2266"/>
      <c r="J14" s="1353"/>
      <c r="K14" s="1353"/>
      <c r="L14" s="1356"/>
      <c r="M14" s="520"/>
      <c r="N14" s="520"/>
      <c r="O14" s="520"/>
      <c r="P14" s="2267"/>
      <c r="Q14" s="1472"/>
      <c r="R14" s="366"/>
      <c r="S14" s="1396"/>
      <c r="T14" s="1397"/>
      <c r="U14" s="1398"/>
      <c r="V14" s="1398"/>
      <c r="W14" s="1398"/>
      <c r="X14" s="1398"/>
      <c r="Y14" s="1398"/>
      <c r="Z14" s="1398"/>
      <c r="AA14" s="1398"/>
      <c r="AB14" s="1398"/>
      <c r="AC14" s="1398"/>
      <c r="AD14" s="1398"/>
      <c r="AE14" s="1398"/>
      <c r="AF14" s="1398"/>
      <c r="AG14" s="1398"/>
      <c r="AH14" s="1398"/>
      <c r="AI14" s="1398"/>
      <c r="AJ14" s="1398"/>
      <c r="AK14" s="1398"/>
      <c r="AL14" s="1398"/>
      <c r="AM14" s="1398"/>
      <c r="AN14" s="1398"/>
      <c r="AO14" s="1398"/>
      <c r="AP14" s="1398"/>
      <c r="AQ14" s="1398"/>
      <c r="AR14" s="1398"/>
      <c r="AS14" s="1398"/>
      <c r="AT14" s="1398"/>
      <c r="AU14" s="1398"/>
      <c r="AV14" s="1398"/>
      <c r="AW14" s="1398"/>
      <c r="AX14" s="1398"/>
      <c r="AY14" s="1398"/>
      <c r="AZ14" s="1398"/>
      <c r="BA14" s="1398"/>
      <c r="BB14" s="1398"/>
      <c r="BC14" s="1399"/>
      <c r="BE14" s="510"/>
      <c r="BF14" s="510" t="str">
        <f>IF(T14="","",T14)</f>
        <v/>
      </c>
      <c r="BG14" s="510"/>
      <c r="BH14" s="510"/>
      <c r="BI14" s="521">
        <v>0</v>
      </c>
    </row>
    <row s="1652" customFormat="1" customHeight="1" ht="14.25" hidden="1">
      <c r="A15" s="1353"/>
      <c r="B15" s="1353"/>
      <c r="C15" s="1353"/>
      <c r="D15" s="1353"/>
      <c r="E15" s="2269"/>
      <c r="F15" s="2269"/>
      <c r="G15" s="2269"/>
      <c r="H15" s="2268"/>
      <c r="I15" s="1353"/>
      <c r="J15" s="1353"/>
      <c r="K15" s="1353"/>
      <c r="L15" s="1356"/>
      <c r="M15" s="1325"/>
      <c r="N15" s="1325"/>
      <c r="O15" s="528"/>
      <c r="P15" s="390"/>
      <c r="Q15" s="1354"/>
      <c r="R15" s="1411"/>
      <c r="S15" s="1396"/>
      <c r="T15" s="1397"/>
      <c r="U15" s="1398"/>
      <c r="V15" s="1398"/>
      <c r="W15" s="1398"/>
      <c r="X15" s="1398"/>
      <c r="Y15" s="1398"/>
      <c r="Z15" s="1398"/>
      <c r="AA15" s="1398"/>
      <c r="AB15" s="1398"/>
      <c r="AC15" s="1398"/>
      <c r="AD15" s="1398"/>
      <c r="AE15" s="1398"/>
      <c r="AF15" s="1398"/>
      <c r="AG15" s="1398"/>
      <c r="AH15" s="1398"/>
      <c r="AI15" s="1398"/>
      <c r="AJ15" s="1398"/>
      <c r="AK15" s="1398"/>
      <c r="AL15" s="1398"/>
      <c r="AM15" s="1398"/>
      <c r="AN15" s="1398"/>
      <c r="AO15" s="1398"/>
      <c r="AP15" s="1398"/>
      <c r="AQ15" s="1398"/>
      <c r="AR15" s="1398"/>
      <c r="AS15" s="1398"/>
      <c r="AT15" s="1398"/>
      <c r="AU15" s="1398"/>
      <c r="AV15" s="1398"/>
      <c r="AW15" s="1398"/>
      <c r="AX15" s="1398"/>
      <c r="AY15" s="1398"/>
      <c r="AZ15" s="1398"/>
      <c r="BA15" s="1398"/>
      <c r="BB15" s="1398"/>
      <c r="BC15" s="1399"/>
      <c r="BE15" s="510"/>
      <c r="BF15" s="510" t="str">
        <f>IF(T15="","",T15)</f>
        <v/>
      </c>
      <c r="BG15" s="510"/>
      <c r="BH15" s="510"/>
      <c r="BI15" s="521">
        <v>0</v>
      </c>
    </row>
    <row s="1652" customFormat="1" customHeight="1" ht="14.25" hidden="1">
      <c r="A16" s="1353"/>
      <c r="B16" s="1353"/>
      <c r="C16" s="1353"/>
      <c r="D16" s="1324"/>
      <c r="E16" s="2269"/>
      <c r="F16" s="2269"/>
      <c r="G16" s="2268"/>
      <c r="H16" s="1324"/>
      <c r="I16" s="1324"/>
      <c r="J16" s="1324"/>
      <c r="K16" s="1324"/>
      <c r="L16" s="1474"/>
      <c r="M16" s="1325"/>
      <c r="N16" s="1325"/>
      <c r="P16" s="1326"/>
      <c r="Q16" s="1327"/>
      <c r="R16" s="1326"/>
      <c r="S16" s="1332"/>
      <c r="T16" s="1335"/>
      <c r="U16" s="1334"/>
      <c r="V16" s="1334"/>
      <c r="W16" s="1334"/>
      <c r="X16" s="1334"/>
      <c r="Y16" s="1334"/>
      <c r="Z16" s="1334"/>
      <c r="AA16" s="1334"/>
      <c r="AB16" s="1334"/>
      <c r="AC16" s="1334"/>
      <c r="AD16" s="1334"/>
      <c r="AE16" s="1334"/>
      <c r="AF16" s="1334"/>
      <c r="AG16" s="1334"/>
      <c r="AH16" s="1334"/>
      <c r="AI16" s="1334"/>
      <c r="AJ16" s="1334"/>
      <c r="AK16" s="1334"/>
      <c r="AL16" s="1334"/>
      <c r="AM16" s="1334"/>
      <c r="AN16" s="1334"/>
      <c r="AO16" s="1334"/>
      <c r="AP16" s="1334"/>
      <c r="AQ16" s="1334"/>
      <c r="AR16" s="1334"/>
      <c r="AS16" s="1334"/>
      <c r="AT16" s="1334"/>
      <c r="AU16" s="1334"/>
      <c r="AV16" s="1334"/>
      <c r="AW16" s="1334"/>
      <c r="AX16" s="1334"/>
      <c r="AY16" s="1334"/>
      <c r="AZ16" s="1334"/>
      <c r="BA16" s="1334"/>
      <c r="BB16" s="1334"/>
      <c r="BC16" s="1334"/>
      <c r="BE16" s="799"/>
      <c r="BF16" s="799" t="str">
        <f>IF(T16="","",T16)</f>
        <v/>
      </c>
      <c r="BG16" s="799"/>
      <c r="BH16" s="799"/>
      <c r="BI16" s="528">
        <v>0</v>
      </c>
    </row>
    <row s="1652" customFormat="1" customHeight="1" ht="14.25" hidden="1">
      <c r="A17" s="1353"/>
      <c r="B17" s="1353"/>
      <c r="C17" s="1324"/>
      <c r="D17" s="1324"/>
      <c r="E17" s="2269"/>
      <c r="F17" s="2268"/>
      <c r="G17" s="1324"/>
      <c r="H17" s="1324"/>
      <c r="I17" s="1324"/>
      <c r="J17" s="1324"/>
      <c r="K17" s="1324"/>
      <c r="L17" s="1474"/>
      <c r="M17" s="1331"/>
      <c r="N17" s="1331"/>
      <c r="P17" s="1326"/>
      <c r="Q17" s="1327"/>
      <c r="R17" s="1326"/>
      <c r="S17" s="1332"/>
      <c r="T17" s="1335" t="s">
        <v>437</v>
      </c>
      <c r="U17" s="1334"/>
      <c r="V17" s="1334"/>
      <c r="W17" s="1334"/>
      <c r="X17" s="1334"/>
      <c r="Y17" s="1334"/>
      <c r="Z17" s="1334"/>
      <c r="AA17" s="1334"/>
      <c r="AB17" s="1334"/>
      <c r="AC17" s="1334"/>
      <c r="AD17" s="1334"/>
      <c r="AE17" s="1334"/>
      <c r="AF17" s="1334"/>
      <c r="AG17" s="1334"/>
      <c r="AH17" s="1334"/>
      <c r="AI17" s="1334"/>
      <c r="AJ17" s="1334"/>
      <c r="AK17" s="1334"/>
      <c r="AL17" s="1334"/>
      <c r="AM17" s="1334"/>
      <c r="AN17" s="1334"/>
      <c r="AO17" s="1334"/>
      <c r="AP17" s="1334"/>
      <c r="AQ17" s="1334"/>
      <c r="AR17" s="1334"/>
      <c r="AS17" s="1334"/>
      <c r="AT17" s="1334"/>
      <c r="AU17" s="1334"/>
      <c r="AV17" s="1334"/>
      <c r="AW17" s="1334"/>
      <c r="AX17" s="1334"/>
      <c r="AY17" s="1334"/>
      <c r="AZ17" s="1334"/>
      <c r="BA17" s="1334"/>
      <c r="BB17" s="1334"/>
      <c r="BC17" s="1334"/>
      <c r="BE17" s="799"/>
      <c r="BF17" s="799" t="str">
        <f>IF(T17="","",T17)</f>
        <v>Добавить централизованную систему для дифференциации</v>
      </c>
      <c r="BG17" s="799"/>
      <c r="BH17" s="799"/>
      <c r="BI17" s="528">
        <v>0</v>
      </c>
    </row>
    <row s="1652" customFormat="1" customHeight="1" ht="14.25" hidden="1">
      <c r="A18" s="1353"/>
      <c r="B18" s="1353"/>
      <c r="C18" s="1353"/>
      <c r="D18" s="1353"/>
      <c r="E18" s="2268"/>
      <c r="F18" s="1353"/>
      <c r="G18" s="1353"/>
      <c r="H18" s="1353"/>
      <c r="I18" s="1353"/>
      <c r="J18" s="1353"/>
      <c r="K18" s="1353"/>
      <c r="L18" s="1356"/>
      <c r="M18" s="1331"/>
      <c r="N18" s="1331"/>
      <c r="O18" s="528"/>
      <c r="P18" s="390"/>
      <c r="Q18" s="1354"/>
      <c r="R18" s="390"/>
      <c r="S18" s="1332"/>
      <c r="T18" s="1335" t="s">
        <v>438</v>
      </c>
      <c r="U18" s="1334"/>
      <c r="V18" s="1334"/>
      <c r="W18" s="1334"/>
      <c r="X18" s="1334"/>
      <c r="Y18" s="1334"/>
      <c r="Z18" s="1334"/>
      <c r="AA18" s="1334"/>
      <c r="AB18" s="1334"/>
      <c r="AC18" s="1334"/>
      <c r="AD18" s="1334"/>
      <c r="AE18" s="1334"/>
      <c r="AF18" s="1334"/>
      <c r="AG18" s="1334"/>
      <c r="AH18" s="1334"/>
      <c r="AI18" s="1334"/>
      <c r="AJ18" s="1334"/>
      <c r="AK18" s="1334"/>
      <c r="AL18" s="1334"/>
      <c r="AM18" s="1334"/>
      <c r="AN18" s="1334"/>
      <c r="AO18" s="1334"/>
      <c r="AP18" s="1334"/>
      <c r="AQ18" s="1334"/>
      <c r="AR18" s="1334"/>
      <c r="AS18" s="1334"/>
      <c r="AT18" s="1334"/>
      <c r="AU18" s="1334"/>
      <c r="AV18" s="1334"/>
      <c r="AW18" s="1334"/>
      <c r="AX18" s="1334"/>
      <c r="AY18" s="1334"/>
      <c r="AZ18" s="1334"/>
      <c r="BA18" s="1334"/>
      <c r="BB18" s="1334"/>
      <c r="BC18" s="1334"/>
      <c r="BE18" s="510"/>
      <c r="BF18" s="510" t="str">
        <f>IF(T18="","",T18)</f>
        <v>Добавить территорию для дифференциации</v>
      </c>
      <c r="BG18" s="510"/>
      <c r="BH18" s="510"/>
      <c r="BI18" s="521">
        <v>0</v>
      </c>
    </row>
    <row customHeight="1" ht="14.25" hidden="1">
      <c r="AC19" s="337"/>
      <c r="BA19" s="337"/>
      <c r="BI19" s="1165">
        <v>0</v>
      </c>
    </row>
    <row customHeight="1" ht="14.25" hidden="1">
      <c r="AD20" s="1334" t="s">
        <v>19</v>
      </c>
      <c r="AE20" s="1511"/>
      <c r="AF20" s="558">
        <v>1</v>
      </c>
      <c r="AG20" s="1512"/>
      <c r="AH20" s="1334" t="s">
        <v>19</v>
      </c>
      <c r="AI20" s="1511"/>
      <c r="AJ20" s="558">
        <v>1</v>
      </c>
      <c r="AK20" s="1512"/>
      <c r="AL20" s="1334" t="s">
        <v>19</v>
      </c>
      <c r="AM20" s="1513"/>
      <c r="AN20" s="558">
        <v>1</v>
      </c>
      <c r="AO20" s="1514"/>
      <c r="AP20" s="1334" t="s">
        <v>19</v>
      </c>
      <c r="AQ20" s="1513"/>
      <c r="AR20" s="558">
        <v>1</v>
      </c>
      <c r="AS20" s="1514"/>
      <c r="AT20" s="335"/>
      <c r="AU20" s="394"/>
      <c r="AV20" s="335"/>
      <c r="AW20" s="394"/>
      <c r="AX20" s="1746"/>
      <c r="AY20" s="1470" t="s">
        <v>66</v>
      </c>
      <c r="AZ20" s="1746"/>
      <c r="BA20" s="1470" t="s">
        <v>66</v>
      </c>
      <c r="BI20" s="1165">
        <v>0</v>
      </c>
    </row>
    <row customHeight="1" ht="14.25" hidden="1">
      <c r="BD21" s="506"/>
      <c r="BE21" s="506"/>
      <c r="BF21" s="506"/>
      <c r="BG21" s="506"/>
      <c r="BH21" s="506"/>
      <c r="BI21" s="1165">
        <v>0</v>
      </c>
    </row>
    <row customHeight="1" ht="14.25" hidden="1">
      <c r="O22" s="1377" t="s">
        <v>439</v>
      </c>
      <c r="Z22" s="1355"/>
      <c r="AB22" s="1355"/>
      <c r="AC22" s="337"/>
      <c r="AX22" s="1355"/>
      <c r="AZ22" s="1355"/>
      <c r="BA22" s="337"/>
      <c r="BD22" s="506"/>
      <c r="BE22" s="506"/>
      <c r="BF22" s="506"/>
      <c r="BG22" s="506"/>
      <c r="BH22" s="506"/>
      <c r="BI22" s="1165">
        <v>0</v>
      </c>
    </row>
    <row customHeight="1" ht="14.25" hidden="1">
      <c r="AC23" s="337"/>
      <c r="BA23" s="337"/>
      <c r="BD23" s="506"/>
      <c r="BE23" s="506"/>
      <c r="BF23" s="506"/>
      <c r="BG23" s="506"/>
      <c r="BH23" s="506"/>
      <c r="BI23" s="1165">
        <v>0</v>
      </c>
    </row>
    <row s="1519" customFormat="1" customHeight="1" ht="14.25" hidden="1">
      <c r="M24" s="1518"/>
      <c r="N24" s="1518"/>
      <c r="O24" s="1519" t="s">
        <v>440</v>
      </c>
      <c r="P24" s="1518"/>
      <c r="Q24" s="1520"/>
      <c r="R24" s="1520"/>
      <c r="AA24" s="1517" t="s">
        <v>442</v>
      </c>
      <c r="AC24" s="1517" t="s">
        <v>443</v>
      </c>
      <c r="AD24" s="1517" t="s">
        <v>491</v>
      </c>
      <c r="AH24" s="1517" t="s">
        <v>491</v>
      </c>
      <c r="AK24" s="1517" t="s">
        <v>528</v>
      </c>
      <c r="AL24" s="1517" t="s">
        <v>491</v>
      </c>
      <c r="AP24" s="1517" t="s">
        <v>491</v>
      </c>
      <c r="AY24" s="1517" t="s">
        <v>442</v>
      </c>
      <c r="BA24" s="1517" t="s">
        <v>443</v>
      </c>
      <c r="BD24" s="1521"/>
      <c r="BE24" s="1521"/>
      <c r="BF24" s="1521"/>
      <c r="BG24" s="1521"/>
      <c r="BH24" s="1521"/>
      <c r="BI24" s="1517">
        <v>0</v>
      </c>
    </row>
    <row customHeight="1" ht="14.25" hidden="1">
      <c r="O25" s="1374"/>
      <c r="BD25" s="506"/>
      <c r="BE25" s="506"/>
      <c r="BF25" s="506"/>
      <c r="BG25" s="506"/>
      <c r="BH25" s="506"/>
      <c r="BI25" s="1165">
        <v>0</v>
      </c>
    </row>
    <row customHeight="1" ht="14.25" hidden="1">
      <c r="O26" s="1374"/>
      <c r="BD26" s="506"/>
      <c r="BE26" s="506"/>
      <c r="BF26" s="506"/>
      <c r="BG26" s="506"/>
      <c r="BH26" s="506"/>
      <c r="BI26" s="1165">
        <v>0</v>
      </c>
    </row>
    <row customHeight="1" ht="14.699999999999998">
      <c r="Q27" s="301"/>
      <c r="R27" s="386"/>
      <c r="S27" s="1285"/>
      <c r="T27" s="373"/>
      <c r="U27" s="373"/>
      <c r="V27" s="519"/>
      <c r="W27" s="519"/>
      <c r="X27" s="519"/>
      <c r="Y27" s="519"/>
      <c r="Z27" s="519"/>
      <c r="AA27" s="519"/>
      <c r="AB27" s="519"/>
      <c r="AC27" s="519"/>
      <c r="AD27" s="519"/>
      <c r="AE27" s="519"/>
      <c r="AF27" s="519"/>
      <c r="AG27" s="519"/>
      <c r="AH27" s="519"/>
      <c r="AI27" s="519"/>
      <c r="AJ27" s="519"/>
      <c r="AK27" s="519"/>
      <c r="AL27" s="519"/>
      <c r="AM27" s="519"/>
      <c r="AN27" s="519"/>
      <c r="AO27" s="519"/>
      <c r="AP27" s="519"/>
      <c r="AQ27" s="519"/>
      <c r="AR27" s="519"/>
      <c r="AS27" s="519"/>
      <c r="AT27" s="519"/>
      <c r="AU27" s="519"/>
      <c r="AV27" s="519"/>
      <c r="AW27" s="519"/>
      <c r="AX27" s="519"/>
      <c r="AY27" s="519"/>
      <c r="AZ27" s="519"/>
      <c r="BA27" s="519"/>
      <c r="BI27" s="1165">
        <v>14</v>
      </c>
    </row>
    <row customHeight="1" ht="14.699999999999998">
      <c r="Q28" s="301"/>
      <c r="R28" s="386"/>
      <c r="S28" s="2258"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8"/>
      <c r="U28" s="2258"/>
      <c r="V28" s="2258"/>
      <c r="W28" s="2258"/>
      <c r="X28" s="2258"/>
      <c r="Y28" s="2258"/>
      <c r="Z28" s="2258"/>
      <c r="AA28" s="2258"/>
      <c r="AB28" s="2258"/>
      <c r="AC28" s="2258"/>
      <c r="AD28" s="2258"/>
      <c r="AE28" s="2258"/>
      <c r="AF28" s="2258"/>
      <c r="AG28" s="2258"/>
      <c r="AH28" s="2258"/>
      <c r="AI28" s="2258"/>
      <c r="AJ28" s="2258"/>
      <c r="AK28" s="2258"/>
      <c r="AL28" s="2258"/>
      <c r="AM28" s="2258"/>
      <c r="AN28" s="2258"/>
      <c r="AO28" s="2258"/>
      <c r="AP28" s="2258"/>
      <c r="AQ28" s="2258"/>
      <c r="AR28" s="2258"/>
      <c r="AS28" s="2258"/>
      <c r="AT28" s="2258"/>
      <c r="AU28" s="2258"/>
      <c r="AV28" s="2258"/>
      <c r="AW28" s="2258"/>
      <c r="AX28" s="2258"/>
      <c r="AY28" s="2258"/>
      <c r="AZ28" s="2258"/>
      <c r="BA28" s="1253"/>
      <c r="BI28" s="1165">
        <v>14</v>
      </c>
    </row>
    <row customHeight="1" ht="14.699999999999998">
      <c r="Q29" s="301"/>
      <c r="R29" s="386"/>
      <c r="S29" s="2259" t="str">
        <f>IF(org=0,"Не определено",org)</f>
        <v>АО «ДГК» СП «Нерюнгринская ГРЭС»</v>
      </c>
      <c r="T29" s="2259"/>
      <c r="U29" s="2259"/>
      <c r="V29" s="2259"/>
      <c r="W29" s="2259"/>
      <c r="X29" s="2259"/>
      <c r="Y29" s="2259"/>
      <c r="Z29" s="2259"/>
      <c r="AA29" s="2259"/>
      <c r="AB29" s="2259"/>
      <c r="AC29" s="2259"/>
      <c r="AD29" s="2259"/>
      <c r="AE29" s="2259"/>
      <c r="AF29" s="2259"/>
      <c r="AG29" s="2259"/>
      <c r="AH29" s="2259"/>
      <c r="AI29" s="2259"/>
      <c r="AJ29" s="2259"/>
      <c r="AK29" s="2259"/>
      <c r="AL29" s="2259"/>
      <c r="AM29" s="2259"/>
      <c r="AN29" s="2259"/>
      <c r="AO29" s="2259"/>
      <c r="AP29" s="2259"/>
      <c r="AQ29" s="2259"/>
      <c r="AR29" s="2259"/>
      <c r="AS29" s="2259"/>
      <c r="AT29" s="2259"/>
      <c r="AU29" s="2259"/>
      <c r="AV29" s="2259"/>
      <c r="AW29" s="2259"/>
      <c r="AX29" s="2259"/>
      <c r="AY29" s="2259"/>
      <c r="AZ29" s="2259"/>
      <c r="BA29" s="1253"/>
      <c r="BI29" s="1165">
        <v>14</v>
      </c>
    </row>
    <row customHeight="1" ht="14.25" hidden="1">
      <c r="Q30" s="301"/>
      <c r="R30" s="386"/>
      <c r="S30" s="1285"/>
      <c r="T30" s="373"/>
      <c r="U30" s="373"/>
      <c r="V30" s="332"/>
      <c r="W30" s="332"/>
      <c r="X30" s="332"/>
      <c r="Y30" s="332"/>
      <c r="Z30" s="332"/>
      <c r="AA30" s="332"/>
      <c r="AB30" s="332"/>
      <c r="AC30" s="332"/>
      <c r="AD30" s="332"/>
      <c r="AE30" s="332"/>
      <c r="AF30" s="332"/>
      <c r="AG30" s="332"/>
      <c r="AH30" s="332"/>
      <c r="AI30" s="332"/>
      <c r="AJ30" s="332"/>
      <c r="AK30" s="332"/>
      <c r="AL30" s="332"/>
      <c r="AM30" s="332"/>
      <c r="AN30" s="332"/>
      <c r="AO30" s="332"/>
      <c r="AP30" s="332"/>
      <c r="AQ30" s="332"/>
      <c r="AR30" s="332"/>
      <c r="AS30" s="332"/>
      <c r="AT30" s="332"/>
      <c r="AU30" s="332"/>
      <c r="AV30" s="332"/>
      <c r="AW30" s="332"/>
      <c r="AX30" s="332"/>
      <c r="AY30" s="332"/>
      <c r="AZ30" s="332"/>
      <c r="BA30" s="332"/>
      <c r="BB30" s="519"/>
      <c r="BI30" s="1165">
        <v>0</v>
      </c>
    </row>
    <row s="1863" customFormat="1" customHeight="1" ht="25.5" hidden="1">
      <c r="A31" s="1378"/>
      <c r="B31" s="1378"/>
      <c r="C31" s="1378"/>
      <c r="D31" s="1378"/>
      <c r="E31" s="1378"/>
      <c r="F31" s="1378"/>
      <c r="G31" s="1378"/>
      <c r="H31" s="1378"/>
      <c r="I31" s="1378"/>
      <c r="J31" s="1378"/>
      <c r="K31" s="1378"/>
      <c r="L31" s="1379"/>
      <c r="M31" s="1378"/>
      <c r="N31" s="1378"/>
      <c r="O31" s="1378"/>
      <c r="P31" s="1378"/>
      <c r="Q31" s="1378"/>
      <c r="S31" s="2260" t="s">
        <v>42</v>
      </c>
      <c r="T31" s="2260"/>
      <c r="U31" s="1382"/>
      <c r="V31" s="2261" t="str">
        <f>IF(TITLE_NAME_OR_PR_CHANGE="",IF(TITLE_NAME_OR_PR="","",TITLE_NAME_OR_PR),TITLE_NAME_OR_PR_CHANGE)</f>
        <v/>
      </c>
      <c r="W31" s="2261"/>
      <c r="X31" s="2261"/>
      <c r="Y31" s="2261"/>
      <c r="Z31" s="2261"/>
      <c r="AA31" s="2261"/>
      <c r="AB31" s="2261"/>
      <c r="AC31" s="336"/>
      <c r="AD31" s="2261" t="str">
        <f>IF(TITLE_NAME_OR_PR_CHANGE="",IF(TITLE_NAME_OR_PR="","",TITLE_NAME_OR_PR),TITLE_NAME_OR_PR_CHANGE)</f>
        <v/>
      </c>
      <c r="AE31" s="2261"/>
      <c r="AF31" s="2261"/>
      <c r="AG31" s="2261"/>
      <c r="AH31" s="2261"/>
      <c r="AI31" s="2261"/>
      <c r="AJ31" s="2261"/>
      <c r="AK31" s="2261"/>
      <c r="AL31" s="2261"/>
      <c r="AM31" s="2261"/>
      <c r="AN31" s="2261"/>
      <c r="AO31" s="2261"/>
      <c r="AP31" s="2261"/>
      <c r="AQ31" s="2261"/>
      <c r="AR31" s="2261"/>
      <c r="AS31" s="2261"/>
      <c r="AT31" s="2261"/>
      <c r="AU31" s="2261"/>
      <c r="AV31" s="2261"/>
      <c r="AW31" s="2261"/>
      <c r="AX31" s="2261"/>
      <c r="AY31" s="2261"/>
      <c r="AZ31" s="2261"/>
      <c r="BA31" s="336"/>
      <c r="BB31" s="336"/>
      <c r="BC31" s="290"/>
      <c r="BD31" s="378"/>
      <c r="BE31" s="378"/>
      <c r="BF31" s="378"/>
      <c r="BG31" s="378"/>
      <c r="BH31" s="378"/>
      <c r="BI31" s="428">
        <v>0</v>
      </c>
    </row>
    <row s="1863" customFormat="1" customHeight="1" ht="18.75" hidden="1">
      <c r="A32" s="1378"/>
      <c r="B32" s="1378"/>
      <c r="C32" s="1378"/>
      <c r="D32" s="1378"/>
      <c r="E32" s="1378"/>
      <c r="F32" s="1378"/>
      <c r="G32" s="1378"/>
      <c r="H32" s="1378"/>
      <c r="I32" s="1378"/>
      <c r="J32" s="1378"/>
      <c r="K32" s="1378"/>
      <c r="L32" s="1379"/>
      <c r="M32" s="1378"/>
      <c r="N32" s="1378"/>
      <c r="O32" s="1378"/>
      <c r="P32" s="1378"/>
      <c r="Q32" s="1378"/>
      <c r="S32" s="2260" t="s">
        <v>445</v>
      </c>
      <c r="T32" s="2260"/>
      <c r="U32" s="1382"/>
      <c r="V32" s="2274" t="str">
        <f>IF(TITLE_DATE_PR_CHANGE="",IF(TITLE_DATE_PR="","",TITLE_DATE_PR),TITLE_DATE_PR_CHANGE)</f>
        <v/>
      </c>
      <c r="W32" s="2274"/>
      <c r="X32" s="2274"/>
      <c r="Y32" s="2274"/>
      <c r="Z32" s="2274"/>
      <c r="AA32" s="2274"/>
      <c r="AB32" s="2274"/>
      <c r="AC32" s="336"/>
      <c r="AD32" s="2274" t="str">
        <f>IF(TITLE_DATE_PR_CHANGE="",IF(TITLE_DATE_PR="","",TITLE_DATE_PR),TITLE_DATE_PR_CHANGE)</f>
        <v/>
      </c>
      <c r="AE32" s="2274"/>
      <c r="AF32" s="2274"/>
      <c r="AG32" s="2274"/>
      <c r="AH32" s="2274"/>
      <c r="AI32" s="2274"/>
      <c r="AJ32" s="2274"/>
      <c r="AK32" s="2274"/>
      <c r="AL32" s="2274"/>
      <c r="AM32" s="2274"/>
      <c r="AN32" s="2274"/>
      <c r="AO32" s="2274"/>
      <c r="AP32" s="2274"/>
      <c r="AQ32" s="2274"/>
      <c r="AR32" s="2274"/>
      <c r="AS32" s="2274"/>
      <c r="AT32" s="2274"/>
      <c r="AU32" s="2274"/>
      <c r="AV32" s="2274"/>
      <c r="AW32" s="2274"/>
      <c r="AX32" s="2274"/>
      <c r="AY32" s="2274"/>
      <c r="AZ32" s="2274"/>
      <c r="BA32" s="336"/>
      <c r="BB32" s="336"/>
      <c r="BC32" s="290"/>
      <c r="BD32" s="378"/>
      <c r="BE32" s="378"/>
      <c r="BF32" s="378"/>
      <c r="BG32" s="378"/>
      <c r="BH32" s="378"/>
      <c r="BI32" s="428">
        <v>0</v>
      </c>
    </row>
    <row s="1863" customFormat="1" customHeight="1" ht="18.75" hidden="1">
      <c r="A33" s="1378"/>
      <c r="B33" s="1378"/>
      <c r="C33" s="1378"/>
      <c r="D33" s="1378"/>
      <c r="E33" s="1378"/>
      <c r="F33" s="1378"/>
      <c r="G33" s="1378"/>
      <c r="H33" s="1378"/>
      <c r="I33" s="1378"/>
      <c r="J33" s="1378"/>
      <c r="K33" s="1378"/>
      <c r="L33" s="1379"/>
      <c r="M33" s="1378"/>
      <c r="N33" s="1378"/>
      <c r="O33" s="1378"/>
      <c r="P33" s="1378"/>
      <c r="Q33" s="1378"/>
      <c r="S33" s="2260" t="s">
        <v>446</v>
      </c>
      <c r="T33" s="2260"/>
      <c r="U33" s="1382"/>
      <c r="V33" s="2261" t="str">
        <f>IF(TITLE_NUMBER_PR_CHANGE="",IF(TITLE_NUMBER_PR="","",TITLE_NUMBER_PR),TITLE_NUMBER_PR_CHANGE)</f>
        <v/>
      </c>
      <c r="W33" s="2261"/>
      <c r="X33" s="2261"/>
      <c r="Y33" s="2261"/>
      <c r="Z33" s="2261"/>
      <c r="AA33" s="2261"/>
      <c r="AB33" s="2261"/>
      <c r="AC33" s="336"/>
      <c r="AD33" s="2261" t="str">
        <f>IF(TITLE_NUMBER_PR_CHANGE="",IF(TITLE_NUMBER_PR="","",TITLE_NUMBER_PR),TITLE_NUMBER_PR_CHANGE)</f>
        <v/>
      </c>
      <c r="AE33" s="2261"/>
      <c r="AF33" s="2261"/>
      <c r="AG33" s="2261"/>
      <c r="AH33" s="2261"/>
      <c r="AI33" s="2261"/>
      <c r="AJ33" s="2261"/>
      <c r="AK33" s="2261"/>
      <c r="AL33" s="2261"/>
      <c r="AM33" s="2261"/>
      <c r="AN33" s="2261"/>
      <c r="AO33" s="2261"/>
      <c r="AP33" s="2261"/>
      <c r="AQ33" s="2261"/>
      <c r="AR33" s="2261"/>
      <c r="AS33" s="2261"/>
      <c r="AT33" s="2261"/>
      <c r="AU33" s="2261"/>
      <c r="AV33" s="2261"/>
      <c r="AW33" s="2261"/>
      <c r="AX33" s="2261"/>
      <c r="AY33" s="2261"/>
      <c r="AZ33" s="2261"/>
      <c r="BA33" s="336"/>
      <c r="BB33" s="336"/>
      <c r="BC33" s="290"/>
      <c r="BD33" s="378"/>
      <c r="BE33" s="378"/>
      <c r="BF33" s="378"/>
      <c r="BG33" s="378"/>
      <c r="BH33" s="378"/>
      <c r="BI33" s="428">
        <v>0</v>
      </c>
    </row>
    <row s="1863" customFormat="1" customHeight="1" ht="18.75" hidden="1">
      <c r="A34" s="1378"/>
      <c r="B34" s="1378"/>
      <c r="C34" s="1378"/>
      <c r="D34" s="1378"/>
      <c r="E34" s="1378"/>
      <c r="F34" s="1378"/>
      <c r="G34" s="1378"/>
      <c r="H34" s="1378"/>
      <c r="I34" s="1378"/>
      <c r="J34" s="1378"/>
      <c r="K34" s="1378"/>
      <c r="L34" s="1379"/>
      <c r="M34" s="1378"/>
      <c r="N34" s="1378"/>
      <c r="O34" s="1378"/>
      <c r="P34" s="1378"/>
      <c r="Q34" s="1378"/>
      <c r="S34" s="2260" t="s">
        <v>43</v>
      </c>
      <c r="T34" s="2260"/>
      <c r="U34" s="1382"/>
      <c r="V34" s="2261" t="str">
        <f>IF(TITLE_IST_PUB_CHANGE="",IF(TITLE_IST_PUB="","",TITLE_IST_PUB),TITLE_IST_PUB_CHANGE)</f>
        <v/>
      </c>
      <c r="W34" s="2261"/>
      <c r="X34" s="2261"/>
      <c r="Y34" s="2261"/>
      <c r="Z34" s="2261"/>
      <c r="AA34" s="2261"/>
      <c r="AB34" s="2261"/>
      <c r="AC34" s="336"/>
      <c r="AD34" s="2261" t="str">
        <f>IF(TITLE_IST_PUB_CHANGE="",IF(TITLE_IST_PUB="","",TITLE_IST_PUB),TITLE_IST_PUB_CHANGE)</f>
        <v/>
      </c>
      <c r="AE34" s="2261"/>
      <c r="AF34" s="2261"/>
      <c r="AG34" s="2261"/>
      <c r="AH34" s="2261"/>
      <c r="AI34" s="2261"/>
      <c r="AJ34" s="2261"/>
      <c r="AK34" s="2261"/>
      <c r="AL34" s="2261"/>
      <c r="AM34" s="2261"/>
      <c r="AN34" s="2261"/>
      <c r="AO34" s="2261"/>
      <c r="AP34" s="2261"/>
      <c r="AQ34" s="2261"/>
      <c r="AR34" s="2261"/>
      <c r="AS34" s="2261"/>
      <c r="AT34" s="2261"/>
      <c r="AU34" s="2261"/>
      <c r="AV34" s="2261"/>
      <c r="AW34" s="2261"/>
      <c r="AX34" s="2261"/>
      <c r="AY34" s="2261"/>
      <c r="AZ34" s="2261"/>
      <c r="BA34" s="336"/>
      <c r="BB34" s="336"/>
      <c r="BC34" s="290"/>
      <c r="BD34" s="378"/>
      <c r="BE34" s="378"/>
      <c r="BF34" s="378"/>
      <c r="BG34" s="378"/>
      <c r="BH34" s="378"/>
      <c r="BI34" s="428">
        <v>0</v>
      </c>
    </row>
    <row customHeight="1" ht="14.25" hidden="1">
      <c r="Q35" s="301"/>
      <c r="R35" s="386"/>
      <c r="S35" s="1285"/>
      <c r="T35" s="373"/>
      <c r="U35" s="373"/>
      <c r="V35" s="332"/>
      <c r="W35" s="332"/>
      <c r="X35" s="332"/>
      <c r="Y35" s="332"/>
      <c r="Z35" s="332"/>
      <c r="AA35" s="332"/>
      <c r="AB35" s="332"/>
      <c r="AC35" s="332"/>
      <c r="AD35" s="332"/>
      <c r="AE35" s="332"/>
      <c r="AF35" s="332"/>
      <c r="AG35" s="332"/>
      <c r="AH35" s="332"/>
      <c r="AI35" s="332"/>
      <c r="AJ35" s="332"/>
      <c r="AK35" s="332"/>
      <c r="AL35" s="332"/>
      <c r="AM35" s="332"/>
      <c r="AN35" s="332"/>
      <c r="AO35" s="332"/>
      <c r="AP35" s="332"/>
      <c r="AQ35" s="332"/>
      <c r="AR35" s="332"/>
      <c r="AS35" s="332"/>
      <c r="AT35" s="332"/>
      <c r="AU35" s="332"/>
      <c r="AV35" s="332"/>
      <c r="AW35" s="332"/>
      <c r="AX35" s="332"/>
      <c r="AY35" s="332"/>
      <c r="AZ35" s="332"/>
      <c r="BA35" s="332"/>
      <c r="BB35" s="519"/>
      <c r="BI35" s="1165">
        <v>0</v>
      </c>
    </row>
    <row s="1863" customFormat="1" customHeight="1" ht="18.75" hidden="1">
      <c r="A36" s="1378"/>
      <c r="B36" s="1378"/>
      <c r="C36" s="1378"/>
      <c r="D36" s="1378"/>
      <c r="E36" s="1378"/>
      <c r="F36" s="1378"/>
      <c r="G36" s="1378"/>
      <c r="H36" s="1378"/>
      <c r="I36" s="1378"/>
      <c r="J36" s="1378"/>
      <c r="K36" s="1378"/>
      <c r="L36" s="1379"/>
      <c r="M36" s="1378"/>
      <c r="N36" s="1378"/>
      <c r="O36" s="1378"/>
      <c r="P36" s="1378"/>
      <c r="Q36" s="1378"/>
      <c r="S36" s="2260" t="s">
        <v>445</v>
      </c>
      <c r="T36" s="2260"/>
      <c r="U36" s="1382"/>
      <c r="V36" s="2274" t="str">
        <f>IF(TITLE_DATE_PR_CHANGE="",IF(TITLE_DATE_PR="","",TITLE_DATE_PR),TITLE_DATE_PR_CHANGE)</f>
        <v/>
      </c>
      <c r="W36" s="2274"/>
      <c r="X36" s="2274"/>
      <c r="Y36" s="2274"/>
      <c r="Z36" s="2274"/>
      <c r="AA36" s="2274"/>
      <c r="AB36" s="2274"/>
      <c r="AC36" s="336"/>
      <c r="AD36" s="2274" t="str">
        <f>IF(TITLE_DATE_PR_CHANGE="",IF(TITLE_DATE_PR="","",TITLE_DATE_PR),TITLE_DATE_PR_CHANGE)</f>
        <v/>
      </c>
      <c r="AE36" s="2274"/>
      <c r="AF36" s="2274"/>
      <c r="AG36" s="2274"/>
      <c r="AH36" s="2274"/>
      <c r="AI36" s="2274"/>
      <c r="AJ36" s="2274"/>
      <c r="AK36" s="2274"/>
      <c r="AL36" s="2274"/>
      <c r="AM36" s="2274"/>
      <c r="AN36" s="2274"/>
      <c r="AO36" s="2274"/>
      <c r="AP36" s="2274"/>
      <c r="AQ36" s="2274"/>
      <c r="AR36" s="2274"/>
      <c r="AS36" s="2274"/>
      <c r="AT36" s="2274"/>
      <c r="AU36" s="2274"/>
      <c r="AV36" s="2274"/>
      <c r="AW36" s="2274"/>
      <c r="AX36" s="2274"/>
      <c r="AY36" s="2274"/>
      <c r="AZ36" s="2274"/>
      <c r="BA36" s="336"/>
      <c r="BB36" s="336"/>
      <c r="BC36" s="290"/>
      <c r="BD36" s="378"/>
      <c r="BE36" s="378"/>
      <c r="BF36" s="378"/>
      <c r="BG36" s="378"/>
      <c r="BH36" s="378"/>
      <c r="BI36" s="428">
        <v>0</v>
      </c>
    </row>
    <row s="1863" customFormat="1" customHeight="1" ht="18.75" hidden="1">
      <c r="A37" s="1378"/>
      <c r="B37" s="1378"/>
      <c r="C37" s="1378"/>
      <c r="D37" s="1378"/>
      <c r="E37" s="1378"/>
      <c r="F37" s="1378"/>
      <c r="G37" s="1378"/>
      <c r="H37" s="1378"/>
      <c r="I37" s="1378"/>
      <c r="J37" s="1378"/>
      <c r="K37" s="1378"/>
      <c r="L37" s="1379"/>
      <c r="M37" s="1378"/>
      <c r="N37" s="1378"/>
      <c r="O37" s="1378"/>
      <c r="P37" s="1378"/>
      <c r="Q37" s="1378"/>
      <c r="S37" s="2260" t="s">
        <v>446</v>
      </c>
      <c r="T37" s="2260"/>
      <c r="U37" s="1382"/>
      <c r="V37" s="2261" t="str">
        <f>IF(TITLE_NUMBER_PR_CHANGE="",IF(TITLE_NUMBER_PR="","",TITLE_NUMBER_PR),TITLE_NUMBER_PR_CHANGE)</f>
        <v/>
      </c>
      <c r="W37" s="2261"/>
      <c r="X37" s="2261"/>
      <c r="Y37" s="2261"/>
      <c r="Z37" s="2261"/>
      <c r="AA37" s="2261"/>
      <c r="AB37" s="2261"/>
      <c r="AC37" s="336"/>
      <c r="AD37" s="2261" t="str">
        <f>IF(TITLE_NUMBER_PR_CHANGE="",IF(TITLE_NUMBER_PR="","",TITLE_NUMBER_PR),TITLE_NUMBER_PR_CHANGE)</f>
        <v/>
      </c>
      <c r="AE37" s="2261"/>
      <c r="AF37" s="2261"/>
      <c r="AG37" s="2261"/>
      <c r="AH37" s="2261"/>
      <c r="AI37" s="2261"/>
      <c r="AJ37" s="2261"/>
      <c r="AK37" s="2261"/>
      <c r="AL37" s="2261"/>
      <c r="AM37" s="2261"/>
      <c r="AN37" s="2261"/>
      <c r="AO37" s="2261"/>
      <c r="AP37" s="2261"/>
      <c r="AQ37" s="2261"/>
      <c r="AR37" s="2261"/>
      <c r="AS37" s="2261"/>
      <c r="AT37" s="2261"/>
      <c r="AU37" s="2261"/>
      <c r="AV37" s="2261"/>
      <c r="AW37" s="2261"/>
      <c r="AX37" s="2261"/>
      <c r="AY37" s="2261"/>
      <c r="AZ37" s="2261"/>
      <c r="BA37" s="336"/>
      <c r="BB37" s="336"/>
      <c r="BC37" s="290"/>
      <c r="BD37" s="378"/>
      <c r="BE37" s="378"/>
      <c r="BF37" s="378"/>
      <c r="BG37" s="378"/>
      <c r="BH37" s="378"/>
      <c r="BI37" s="428">
        <v>0</v>
      </c>
    </row>
    <row s="1863" customFormat="1" customHeight="1" ht="0">
      <c r="A38" s="1378"/>
      <c r="B38" s="1378"/>
      <c r="C38" s="1378"/>
      <c r="D38" s="1378"/>
      <c r="E38" s="1378"/>
      <c r="F38" s="1378"/>
      <c r="G38" s="1378"/>
      <c r="H38" s="1378"/>
      <c r="I38" s="1378"/>
      <c r="J38" s="1378"/>
      <c r="K38" s="1378"/>
      <c r="L38" s="1379"/>
      <c r="M38" s="1378"/>
      <c r="N38" s="1378"/>
      <c r="O38" s="1378"/>
      <c r="P38" s="1378"/>
      <c r="Q38" s="1378"/>
      <c r="S38" s="333"/>
      <c r="T38" s="333"/>
      <c r="U38" s="1464"/>
      <c r="V38" s="336"/>
      <c r="W38" s="336"/>
      <c r="X38" s="336"/>
      <c r="Y38" s="336"/>
      <c r="Z38" s="336"/>
      <c r="AA38" s="336"/>
      <c r="AB38" s="336"/>
      <c r="AC38" s="288" t="s">
        <v>449</v>
      </c>
      <c r="AD38" s="336"/>
      <c r="AE38" s="336"/>
      <c r="AF38" s="336"/>
      <c r="AG38" s="336"/>
      <c r="AH38" s="336"/>
      <c r="AI38" s="336"/>
      <c r="AJ38" s="336"/>
      <c r="AK38" s="336"/>
      <c r="AL38" s="336"/>
      <c r="AM38" s="336"/>
      <c r="AN38" s="336"/>
      <c r="AO38" s="336"/>
      <c r="AP38" s="336"/>
      <c r="AQ38" s="336"/>
      <c r="AR38" s="336"/>
      <c r="AS38" s="336"/>
      <c r="AT38" s="336"/>
      <c r="AU38" s="336"/>
      <c r="AV38" s="336"/>
      <c r="AW38" s="336"/>
      <c r="AX38" s="336"/>
      <c r="AY38" s="336"/>
      <c r="AZ38" s="336"/>
      <c r="BA38" s="288" t="s">
        <v>449</v>
      </c>
      <c r="BD38" s="378"/>
      <c r="BE38" s="378"/>
      <c r="BF38" s="378"/>
      <c r="BG38" s="378"/>
      <c r="BH38" s="378"/>
      <c r="BI38" s="428">
        <v>0</v>
      </c>
    </row>
    <row customHeight="1" ht="14.699999999999998">
      <c r="Q39" s="301"/>
      <c r="R39" s="386"/>
      <c r="S39" s="1285"/>
      <c r="T39" s="373"/>
      <c r="U39" s="1254"/>
      <c r="V39" s="2262"/>
      <c r="W39" s="2262"/>
      <c r="X39" s="2262"/>
      <c r="Y39" s="2262"/>
      <c r="Z39" s="2262"/>
      <c r="AA39" s="2262"/>
      <c r="AB39" s="2262"/>
      <c r="AC39" s="2262"/>
      <c r="AD39" s="2262"/>
      <c r="AE39" s="2262"/>
      <c r="AF39" s="2262"/>
      <c r="AG39" s="2262"/>
      <c r="AH39" s="2262"/>
      <c r="AI39" s="2262"/>
      <c r="AJ39" s="2262"/>
      <c r="AK39" s="2262"/>
      <c r="AL39" s="2262"/>
      <c r="AM39" s="2262"/>
      <c r="AN39" s="2262"/>
      <c r="AO39" s="2262"/>
      <c r="AP39" s="2262"/>
      <c r="AQ39" s="2262"/>
      <c r="AR39" s="2262"/>
      <c r="AS39" s="2262"/>
      <c r="AT39" s="2262"/>
      <c r="AU39" s="2262"/>
      <c r="AV39" s="2262"/>
      <c r="AW39" s="2262"/>
      <c r="AX39" s="2262"/>
      <c r="AY39" s="2262"/>
      <c r="AZ39" s="2262"/>
      <c r="BA39" s="2262"/>
      <c r="BI39" s="1165">
        <v>14</v>
      </c>
    </row>
    <row customHeight="1" ht="14.699999999999998">
      <c r="Q40" s="301"/>
      <c r="R40" s="386"/>
      <c r="S40" s="2137" t="s">
        <v>322</v>
      </c>
      <c r="T40" s="2137"/>
      <c r="U40" s="2137"/>
      <c r="V40" s="2137"/>
      <c r="W40" s="2137"/>
      <c r="X40" s="2137"/>
      <c r="Y40" s="2137"/>
      <c r="Z40" s="2137"/>
      <c r="AA40" s="2137"/>
      <c r="AB40" s="2137"/>
      <c r="AC40" s="2137"/>
      <c r="AD40" s="2137"/>
      <c r="AE40" s="2137"/>
      <c r="AF40" s="2137"/>
      <c r="AG40" s="2137"/>
      <c r="AH40" s="2137"/>
      <c r="AI40" s="2137"/>
      <c r="AJ40" s="2137"/>
      <c r="AK40" s="2137"/>
      <c r="AL40" s="2137"/>
      <c r="AM40" s="2137"/>
      <c r="AN40" s="2137"/>
      <c r="AO40" s="2137"/>
      <c r="AP40" s="2137"/>
      <c r="AQ40" s="2137"/>
      <c r="AR40" s="2137"/>
      <c r="AS40" s="2137"/>
      <c r="AT40" s="2137"/>
      <c r="AU40" s="2137"/>
      <c r="AV40" s="2137"/>
      <c r="AW40" s="2137"/>
      <c r="AX40" s="2137"/>
      <c r="AY40" s="2137"/>
      <c r="AZ40" s="2137"/>
      <c r="BA40" s="2137"/>
      <c r="BB40" s="2137"/>
      <c r="BC40" s="2137" t="s">
        <v>323</v>
      </c>
      <c r="BI40" s="1165">
        <v>14</v>
      </c>
    </row>
    <row customHeight="1" ht="14.699999999999998">
      <c r="Q41" s="301"/>
      <c r="R41" s="386"/>
      <c r="S41" s="2283" t="s">
        <v>88</v>
      </c>
      <c r="T41" s="2219" t="s">
        <v>529</v>
      </c>
      <c r="U41" s="311"/>
      <c r="V41" s="2284" t="s">
        <v>451</v>
      </c>
      <c r="W41" s="2285"/>
      <c r="X41" s="2285"/>
      <c r="Y41" s="2285"/>
      <c r="Z41" s="2285"/>
      <c r="AA41" s="2285"/>
      <c r="AB41" s="2286"/>
      <c r="AC41" s="2287" t="s">
        <v>452</v>
      </c>
      <c r="AD41" s="2338" t="s">
        <v>530</v>
      </c>
      <c r="AE41" s="2301"/>
      <c r="AF41" s="2301"/>
      <c r="AG41" s="2339"/>
      <c r="AH41" s="2338" t="s">
        <v>531</v>
      </c>
      <c r="AI41" s="2301"/>
      <c r="AJ41" s="2301"/>
      <c r="AK41" s="2339"/>
      <c r="AL41" s="2338" t="s">
        <v>532</v>
      </c>
      <c r="AM41" s="2301"/>
      <c r="AN41" s="2301"/>
      <c r="AO41" s="2339"/>
      <c r="AP41" s="2338" t="s">
        <v>533</v>
      </c>
      <c r="AQ41" s="2301"/>
      <c r="AR41" s="2301"/>
      <c r="AS41" s="2339"/>
      <c r="AT41" s="2284" t="s">
        <v>451</v>
      </c>
      <c r="AU41" s="2285"/>
      <c r="AV41" s="2285"/>
      <c r="AW41" s="2285"/>
      <c r="AX41" s="2285"/>
      <c r="AY41" s="2285"/>
      <c r="AZ41" s="2286"/>
      <c r="BA41" s="2287" t="s">
        <v>452</v>
      </c>
      <c r="BB41" s="2290" t="s">
        <v>454</v>
      </c>
      <c r="BC41" s="2137"/>
      <c r="BI41" s="1165">
        <v>14</v>
      </c>
    </row>
    <row customHeight="1" ht="35.699999999999996">
      <c r="Q42" s="301"/>
      <c r="R42" s="386"/>
      <c r="S42" s="2283"/>
      <c r="T42" s="2219"/>
      <c r="U42" s="1041"/>
      <c r="V42" s="2202" t="s">
        <v>534</v>
      </c>
      <c r="W42" s="2203"/>
      <c r="X42" s="2202" t="s">
        <v>535</v>
      </c>
      <c r="Y42" s="2203"/>
      <c r="Z42" s="2304" t="s">
        <v>536</v>
      </c>
      <c r="AA42" s="2323"/>
      <c r="AB42" s="2324"/>
      <c r="AC42" s="2288"/>
      <c r="AD42" s="2340"/>
      <c r="AE42" s="2341"/>
      <c r="AF42" s="2341"/>
      <c r="AG42" s="2342"/>
      <c r="AH42" s="2340"/>
      <c r="AI42" s="2341"/>
      <c r="AJ42" s="2341"/>
      <c r="AK42" s="2342"/>
      <c r="AL42" s="2340"/>
      <c r="AM42" s="2341"/>
      <c r="AN42" s="2341"/>
      <c r="AO42" s="2342"/>
      <c r="AP42" s="2340"/>
      <c r="AQ42" s="2341"/>
      <c r="AR42" s="2341"/>
      <c r="AS42" s="2342"/>
      <c r="AT42" s="2202" t="s">
        <v>534</v>
      </c>
      <c r="AU42" s="2203"/>
      <c r="AV42" s="2202" t="s">
        <v>535</v>
      </c>
      <c r="AW42" s="2203"/>
      <c r="AX42" s="2304" t="s">
        <v>536</v>
      </c>
      <c r="AY42" s="2323"/>
      <c r="AZ42" s="2324"/>
      <c r="BA42" s="2288"/>
      <c r="BB42" s="2291"/>
      <c r="BC42" s="2137"/>
      <c r="BI42" s="1165">
        <v>34</v>
      </c>
    </row>
    <row customHeight="1" ht="14.699999999999998">
      <c r="Q43" s="301"/>
      <c r="R43" s="386"/>
      <c r="S43" s="2283"/>
      <c r="T43" s="2219"/>
      <c r="U43" s="1041"/>
      <c r="V43" s="2210"/>
      <c r="W43" s="2211"/>
      <c r="X43" s="2210"/>
      <c r="Y43" s="2211"/>
      <c r="Z43" s="2305"/>
      <c r="AA43" s="2325"/>
      <c r="AB43" s="2326"/>
      <c r="AC43" s="2288"/>
      <c r="AD43" s="2340"/>
      <c r="AE43" s="2341"/>
      <c r="AF43" s="2341"/>
      <c r="AG43" s="2342"/>
      <c r="AH43" s="2340"/>
      <c r="AI43" s="2341"/>
      <c r="AJ43" s="2341"/>
      <c r="AK43" s="2342"/>
      <c r="AL43" s="2340"/>
      <c r="AM43" s="2341"/>
      <c r="AN43" s="2341"/>
      <c r="AO43" s="2342"/>
      <c r="AP43" s="2340"/>
      <c r="AQ43" s="2341"/>
      <c r="AR43" s="2341"/>
      <c r="AS43" s="2342"/>
      <c r="AT43" s="2210"/>
      <c r="AU43" s="2211"/>
      <c r="AV43" s="2210"/>
      <c r="AW43" s="2211"/>
      <c r="AX43" s="2305"/>
      <c r="AY43" s="2325"/>
      <c r="AZ43" s="2326"/>
      <c r="BA43" s="2288"/>
      <c r="BB43" s="2291"/>
      <c r="BC43" s="2137"/>
      <c r="BI43" s="1165">
        <v>14</v>
      </c>
    </row>
    <row customHeight="1" ht="14.699999999999998">
      <c r="A44" s="1380"/>
      <c r="B44" s="1380" t="s">
        <v>159</v>
      </c>
      <c r="C44" s="1380" t="s">
        <v>160</v>
      </c>
      <c r="D44" s="1380" t="s">
        <v>161</v>
      </c>
      <c r="E44" s="1374" t="s">
        <v>459</v>
      </c>
      <c r="F44" s="1374" t="s">
        <v>460</v>
      </c>
      <c r="G44" s="1374" t="s">
        <v>461</v>
      </c>
      <c r="H44" s="1374" t="s">
        <v>462</v>
      </c>
      <c r="I44" s="1374" t="s">
        <v>463</v>
      </c>
      <c r="J44" s="1374" t="s">
        <v>464</v>
      </c>
      <c r="K44" s="1374" t="s">
        <v>465</v>
      </c>
      <c r="L44" s="1374" t="s">
        <v>440</v>
      </c>
      <c r="Q44" s="301"/>
      <c r="R44" s="386"/>
      <c r="S44" s="2283"/>
      <c r="T44" s="2219"/>
      <c r="U44" s="312"/>
      <c r="V44" s="1458" t="s">
        <v>500</v>
      </c>
      <c r="W44" s="1458" t="s">
        <v>501</v>
      </c>
      <c r="X44" s="1458" t="s">
        <v>500</v>
      </c>
      <c r="Y44" s="1458" t="s">
        <v>501</v>
      </c>
      <c r="Z44" s="1465" t="s">
        <v>468</v>
      </c>
      <c r="AA44" s="2280" t="s">
        <v>469</v>
      </c>
      <c r="AB44" s="2281"/>
      <c r="AC44" s="2289"/>
      <c r="AD44" s="2343"/>
      <c r="AE44" s="2344"/>
      <c r="AF44" s="2344"/>
      <c r="AG44" s="2345"/>
      <c r="AH44" s="2343"/>
      <c r="AI44" s="2344"/>
      <c r="AJ44" s="2344"/>
      <c r="AK44" s="2345"/>
      <c r="AL44" s="2343"/>
      <c r="AM44" s="2344"/>
      <c r="AN44" s="2344"/>
      <c r="AO44" s="2345"/>
      <c r="AP44" s="2343"/>
      <c r="AQ44" s="2344"/>
      <c r="AR44" s="2344"/>
      <c r="AS44" s="2345"/>
      <c r="AT44" s="1458" t="s">
        <v>500</v>
      </c>
      <c r="AU44" s="1458" t="s">
        <v>501</v>
      </c>
      <c r="AV44" s="1458" t="s">
        <v>500</v>
      </c>
      <c r="AW44" s="1458" t="s">
        <v>501</v>
      </c>
      <c r="AX44" s="1465" t="s">
        <v>468</v>
      </c>
      <c r="AY44" s="2280" t="s">
        <v>469</v>
      </c>
      <c r="AZ44" s="2281"/>
      <c r="BA44" s="2289"/>
      <c r="BB44" s="2292"/>
      <c r="BC44" s="2137"/>
      <c r="BI44" s="1165">
        <v>14</v>
      </c>
    </row>
    <row s="1651" customFormat="1" customHeight="1" ht="11.25" hidden="1">
      <c r="A45" s="1380"/>
      <c r="B45" s="1380"/>
      <c r="C45" s="1380"/>
      <c r="D45" s="1380"/>
      <c r="E45" s="1380"/>
      <c r="F45" s="1380"/>
      <c r="G45" s="1380"/>
      <c r="H45" s="1380"/>
      <c r="I45" s="1380"/>
      <c r="J45" s="1380"/>
      <c r="K45" s="1380"/>
      <c r="L45" s="1374"/>
      <c r="M45" s="1372"/>
      <c r="N45" s="1372"/>
      <c r="O45" s="1372"/>
      <c r="P45" s="520"/>
      <c r="Q45" s="1264"/>
      <c r="R45" s="1264">
        <v>1</v>
      </c>
      <c r="S45" s="1287" t="s">
        <v>124</v>
      </c>
      <c r="T45" s="1265" t="s">
        <v>104</v>
      </c>
      <c r="U45" s="1255" t="str">
        <f>OFFSET(U45,0,-1)</f>
        <v>2</v>
      </c>
      <c r="V45" s="1461">
        <f>OFFSET(V45,0,-1)+1</f>
        <v>3</v>
      </c>
      <c r="W45" s="1461">
        <f>OFFSET(W45,0,-1)+1</f>
        <v>4</v>
      </c>
      <c r="X45" s="1461">
        <f>OFFSET(X45,0,-1)+1</f>
        <v>5</v>
      </c>
      <c r="Y45" s="1461">
        <f>OFFSET(Y45,0,-1)+1</f>
        <v>6</v>
      </c>
      <c r="Z45" s="1461">
        <f>OFFSET(Z45,0,-1)+1</f>
        <v>7</v>
      </c>
      <c r="AA45" s="2282">
        <f>OFFSET(AA45,0,-1)+1</f>
        <v>8</v>
      </c>
      <c r="AB45" s="2282"/>
      <c r="AC45" s="1461">
        <f>OFFSET(AC45,0,-2)+1</f>
        <v>9</v>
      </c>
      <c r="AD45" s="1461">
        <f>OFFSET(AD45,0,-1)+1</f>
        <v>10</v>
      </c>
      <c r="AE45" s="1461"/>
      <c r="AF45" s="1461"/>
      <c r="AG45" s="1461"/>
      <c r="AH45" s="1461"/>
      <c r="AI45" s="1461"/>
      <c r="AJ45" s="1461"/>
      <c r="AK45" s="1461"/>
      <c r="AL45" s="1461"/>
      <c r="AM45" s="1461"/>
      <c r="AN45" s="1461"/>
      <c r="AO45" s="1461"/>
      <c r="AP45" s="1461"/>
      <c r="AQ45" s="1461"/>
      <c r="AR45" s="1461"/>
      <c r="AS45" s="1461"/>
      <c r="AT45" s="1461"/>
      <c r="AU45" s="1461"/>
      <c r="AV45" s="1461"/>
      <c r="AW45" s="1461">
        <f>OFFSET(AW45,0,-1)+1</f>
        <v>1</v>
      </c>
      <c r="AX45" s="1461">
        <f>OFFSET(AX45,0,-1)+1</f>
        <v>2</v>
      </c>
      <c r="AY45" s="2282">
        <f>OFFSET(AY45,0,-1)+1</f>
        <v>3</v>
      </c>
      <c r="AZ45" s="2282"/>
      <c r="BA45" s="1461">
        <f>OFFSET(BA45,0,-2)+1</f>
        <v>4</v>
      </c>
      <c r="BB45" s="1255">
        <f>OFFSET(BB45,0,-1)</f>
        <v>4</v>
      </c>
      <c r="BC45" s="1461">
        <f>OFFSET(BC45,0,-1)+1</f>
        <v>5</v>
      </c>
      <c r="BD45" s="521"/>
      <c r="BE45" s="521"/>
      <c r="BF45" s="521"/>
      <c r="BG45" s="521"/>
      <c r="BH45" s="521"/>
      <c r="BI45" s="506">
        <v>0</v>
      </c>
    </row>
    <row customHeight="1" ht="22.049999999999997">
      <c r="A46" s="1373" t="s">
        <v>268</v>
      </c>
      <c r="B46" s="1373"/>
      <c r="C46" s="1373"/>
      <c r="D46" s="1373"/>
      <c r="E46" s="2268">
        <v>1</v>
      </c>
      <c r="F46" s="1373"/>
      <c r="G46" s="1373"/>
      <c r="H46" s="1373"/>
      <c r="I46" s="1373"/>
      <c r="J46" s="1373"/>
      <c r="K46" s="1373"/>
      <c r="L46" s="1374"/>
      <c r="M46" s="1375"/>
      <c r="N46" s="1375"/>
      <c r="O46" s="1375"/>
      <c r="P46" s="1419"/>
      <c r="Q46" s="883"/>
      <c r="R46" s="365"/>
      <c r="S46" s="1467">
        <f>INDEX(PT_DIFFERENTIATION_NUM_NTAR,MATCH(A46,PT_DIFFERENTIATION_NTAR_ID,0))</f>
        <v>0</v>
      </c>
      <c r="T46" s="308" t="s">
        <v>147</v>
      </c>
      <c r="U46" s="310"/>
      <c r="V46" s="2253"/>
      <c r="W46" s="2253"/>
      <c r="X46" s="2253"/>
      <c r="Y46" s="2253"/>
      <c r="Z46" s="2253"/>
      <c r="AA46" s="2253"/>
      <c r="AB46" s="2253"/>
      <c r="AC46" s="2254"/>
      <c r="AD46" s="2252" t="str">
        <f>INDEX(PT_DIFFERENTIATION_NTAR,MATCH(A46,PT_DIFFERENTIATION_NTAR_ID,0))</f>
        <v/>
      </c>
      <c r="AE46" s="2253"/>
      <c r="AF46" s="2253"/>
      <c r="AG46" s="2253"/>
      <c r="AH46" s="2253"/>
      <c r="AI46" s="2253"/>
      <c r="AJ46" s="2253"/>
      <c r="AK46" s="2253"/>
      <c r="AL46" s="2253"/>
      <c r="AM46" s="2253"/>
      <c r="AN46" s="2253"/>
      <c r="AO46" s="2253"/>
      <c r="AP46" s="2253"/>
      <c r="AQ46" s="2253"/>
      <c r="AR46" s="2253"/>
      <c r="AS46" s="2253"/>
      <c r="AT46" s="2253"/>
      <c r="AU46" s="2253"/>
      <c r="AV46" s="2253"/>
      <c r="AW46" s="2253"/>
      <c r="AX46" s="2253"/>
      <c r="AY46" s="2253"/>
      <c r="AZ46" s="2253"/>
      <c r="BA46" s="2253"/>
      <c r="BB46" s="2254"/>
      <c r="BC46"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10"/>
      <c r="BF46" s="510" t="str">
        <f>IF(T46="","",T46)</f>
        <v>Наименование тарифа</v>
      </c>
      <c r="BG46" s="510"/>
      <c r="BH46" s="510"/>
      <c r="BI46" s="1165">
        <v>21</v>
      </c>
    </row>
    <row customHeight="1" ht="22.049999999999997">
      <c r="A47" s="1373" t="s">
        <v>268</v>
      </c>
      <c r="B47" s="1373" t="s">
        <v>269</v>
      </c>
      <c r="C47" s="1373"/>
      <c r="D47" s="1373"/>
      <c r="E47" s="2269"/>
      <c r="F47" s="2268">
        <v>1</v>
      </c>
      <c r="G47" s="1373"/>
      <c r="H47" s="1373"/>
      <c r="I47" s="1373"/>
      <c r="J47" s="1373"/>
      <c r="K47" s="1373"/>
      <c r="L47" s="1374"/>
      <c r="M47" s="1375"/>
      <c r="N47" s="1375"/>
      <c r="O47" s="1375"/>
      <c r="P47" s="1420"/>
      <c r="Q47" s="1421"/>
      <c r="R47" s="363"/>
      <c r="S47" s="1467" t="str">
        <f>INDEX(PT_DIFFERENTIATION_NUM_TER,MATCH(B47,PT_DIFFERENTIATION_TER_ID,0))</f>
        <v>.</v>
      </c>
      <c r="T47" s="318" t="s">
        <v>419</v>
      </c>
      <c r="U47" s="310"/>
      <c r="V47" s="2253"/>
      <c r="W47" s="2253"/>
      <c r="X47" s="2253"/>
      <c r="Y47" s="2253"/>
      <c r="Z47" s="2253"/>
      <c r="AA47" s="2253"/>
      <c r="AB47" s="2253"/>
      <c r="AC47" s="2254"/>
      <c r="AD47" s="2252" t="str">
        <f>INDEX(PT_DIFFERENTIATION_TER,MATCH(B47,PT_DIFFERENTIATION_TER_ID,0))</f>
        <v/>
      </c>
      <c r="AE47" s="2253"/>
      <c r="AF47" s="2253"/>
      <c r="AG47" s="2253"/>
      <c r="AH47" s="2253"/>
      <c r="AI47" s="2253"/>
      <c r="AJ47" s="2253"/>
      <c r="AK47" s="2253"/>
      <c r="AL47" s="2253"/>
      <c r="AM47" s="2253"/>
      <c r="AN47" s="2253"/>
      <c r="AO47" s="2253"/>
      <c r="AP47" s="2253"/>
      <c r="AQ47" s="2253"/>
      <c r="AR47" s="2253"/>
      <c r="AS47" s="2253"/>
      <c r="AT47" s="2253"/>
      <c r="AU47" s="2253"/>
      <c r="AV47" s="2253"/>
      <c r="AW47" s="2253"/>
      <c r="AX47" s="2253"/>
      <c r="AY47" s="2253"/>
      <c r="AZ47" s="2253"/>
      <c r="BA47" s="2253"/>
      <c r="BB47" s="2254"/>
      <c r="BC47" s="1268" t="s">
        <v>420</v>
      </c>
      <c r="BE47" s="510"/>
      <c r="BF47" s="510" t="str">
        <f>IF(T47="","",T47)</f>
        <v>Территория действия тарифа</v>
      </c>
      <c r="BG47" s="510"/>
      <c r="BH47" s="510"/>
      <c r="BI47" s="1165">
        <v>21</v>
      </c>
    </row>
    <row customHeight="1" ht="43.050000000000004">
      <c r="A48" s="1373" t="s">
        <v>268</v>
      </c>
      <c r="B48" s="1373" t="s">
        <v>269</v>
      </c>
      <c r="C48" s="1373" t="s">
        <v>270</v>
      </c>
      <c r="D48" s="1373"/>
      <c r="E48" s="2269"/>
      <c r="F48" s="2269"/>
      <c r="G48" s="2268">
        <v>1</v>
      </c>
      <c r="H48" s="1373"/>
      <c r="I48" s="1373"/>
      <c r="J48" s="1373"/>
      <c r="K48" s="1373"/>
      <c r="L48" s="1374"/>
      <c r="M48" s="1375"/>
      <c r="N48" s="1375"/>
      <c r="O48" s="1375"/>
      <c r="P48" s="1422"/>
      <c r="Q48" s="1421"/>
      <c r="R48" s="363"/>
      <c r="S48" s="1467" t="str">
        <f>INDEX(PT_DIFFERENTIATION_NUM_CS,MATCH(C48,PT_DIFFERENTIATION_CS_ID,0))</f>
        <v>..</v>
      </c>
      <c r="T48" s="319" t="s">
        <v>503</v>
      </c>
      <c r="U48" s="310"/>
      <c r="V48" s="2253"/>
      <c r="W48" s="2253"/>
      <c r="X48" s="2253"/>
      <c r="Y48" s="2253"/>
      <c r="Z48" s="2253"/>
      <c r="AA48" s="2253"/>
      <c r="AB48" s="2253"/>
      <c r="AC48" s="2254"/>
      <c r="AD48" s="2252" t="str">
        <f>INDEX(PT_DIFFERENTIATION_CS,MATCH(C48,PT_DIFFERENTIATION_CS_ID,0))</f>
        <v/>
      </c>
      <c r="AE48" s="2253"/>
      <c r="AF48" s="2253"/>
      <c r="AG48" s="2253"/>
      <c r="AH48" s="2253"/>
      <c r="AI48" s="2253"/>
      <c r="AJ48" s="2253"/>
      <c r="AK48" s="2253"/>
      <c r="AL48" s="2253"/>
      <c r="AM48" s="2253"/>
      <c r="AN48" s="2253"/>
      <c r="AO48" s="2253"/>
      <c r="AP48" s="2253"/>
      <c r="AQ48" s="2253"/>
      <c r="AR48" s="2253"/>
      <c r="AS48" s="2253"/>
      <c r="AT48" s="2253"/>
      <c r="AU48" s="2253"/>
      <c r="AV48" s="2253"/>
      <c r="AW48" s="2253"/>
      <c r="AX48" s="2253"/>
      <c r="AY48" s="2253"/>
      <c r="AZ48" s="2253"/>
      <c r="BA48" s="2253"/>
      <c r="BB48" s="2254"/>
      <c r="BC48" s="1268" t="s">
        <v>504</v>
      </c>
      <c r="BE48" s="510"/>
      <c r="BF48" s="510" t="str">
        <f>IF(T48="","",T48)</f>
        <v>Наименование централизованной системы холодного водоснабжения</v>
      </c>
      <c r="BG48" s="510"/>
      <c r="BH48" s="510"/>
      <c r="BI48" s="1165">
        <v>41</v>
      </c>
    </row>
    <row s="1652" customFormat="1" customHeight="1" ht="0">
      <c r="A49" s="1353" t="s">
        <v>268</v>
      </c>
      <c r="B49" s="1353" t="s">
        <v>269</v>
      </c>
      <c r="C49" s="1353" t="s">
        <v>270</v>
      </c>
      <c r="D49" s="1353" t="s">
        <v>537</v>
      </c>
      <c r="E49" s="2269"/>
      <c r="F49" s="2269"/>
      <c r="G49" s="2269"/>
      <c r="H49" s="2268">
        <v>1</v>
      </c>
      <c r="I49" s="1353"/>
      <c r="J49" s="1353"/>
      <c r="K49" s="1353"/>
      <c r="L49" s="1356"/>
      <c r="M49" s="1325"/>
      <c r="N49" s="1325"/>
      <c r="O49" s="1325"/>
      <c r="P49" s="1507"/>
      <c r="Q49" s="1508"/>
      <c r="R49" s="367"/>
      <c r="S49" s="1052"/>
      <c r="T49" s="1509"/>
      <c r="U49" s="1394"/>
      <c r="V49" s="2307"/>
      <c r="W49" s="2307"/>
      <c r="X49" s="2307"/>
      <c r="Y49" s="2307"/>
      <c r="Z49" s="2307"/>
      <c r="AA49" s="2307"/>
      <c r="AB49" s="2307"/>
      <c r="AC49" s="2308"/>
      <c r="AD49" s="2306"/>
      <c r="AE49" s="2307"/>
      <c r="AF49" s="2307"/>
      <c r="AG49" s="2307"/>
      <c r="AH49" s="2307"/>
      <c r="AI49" s="2307"/>
      <c r="AJ49" s="2307"/>
      <c r="AK49" s="2307"/>
      <c r="AL49" s="2307"/>
      <c r="AM49" s="2307"/>
      <c r="AN49" s="2307"/>
      <c r="AO49" s="2307"/>
      <c r="AP49" s="2307"/>
      <c r="AQ49" s="2307"/>
      <c r="AR49" s="2307"/>
      <c r="AS49" s="2307"/>
      <c r="AT49" s="2307"/>
      <c r="AU49" s="2307"/>
      <c r="AV49" s="2307"/>
      <c r="AW49" s="2307"/>
      <c r="AX49" s="2307"/>
      <c r="AY49" s="2307"/>
      <c r="AZ49" s="2307"/>
      <c r="BA49" s="2307"/>
      <c r="BB49" s="2308"/>
      <c r="BC49" s="1395" t="s">
        <v>424</v>
      </c>
      <c r="BE49" s="510"/>
      <c r="BF49" s="510" t="str">
        <f>IF(T49="","",T49)</f>
        <v/>
      </c>
      <c r="BG49" s="510"/>
      <c r="BH49" s="510"/>
      <c r="BI49" s="521">
        <v>0</v>
      </c>
    </row>
    <row s="1652" customFormat="1" customHeight="1" ht="0">
      <c r="A50" s="1353" t="s">
        <v>268</v>
      </c>
      <c r="B50" s="1353" t="s">
        <v>269</v>
      </c>
      <c r="C50" s="1353" t="s">
        <v>270</v>
      </c>
      <c r="D50" s="1353" t="s">
        <v>537</v>
      </c>
      <c r="E50" s="2269"/>
      <c r="F50" s="2269"/>
      <c r="G50" s="2269"/>
      <c r="H50" s="2269"/>
      <c r="I50" s="2266" t="str">
        <f>S49&amp;".1"</f>
        <v>.1</v>
      </c>
      <c r="J50" s="1353"/>
      <c r="K50" s="1353"/>
      <c r="L50" s="1356" t="s">
        <v>425</v>
      </c>
      <c r="M50" s="520"/>
      <c r="N50" s="520"/>
      <c r="O50" s="520"/>
      <c r="P50" s="2267">
        <v>1</v>
      </c>
      <c r="Q50" s="1472"/>
      <c r="R50" s="366"/>
      <c r="S50" s="1052"/>
      <c r="T50" s="1393"/>
      <c r="U50" s="1394"/>
      <c r="V50" s="2307"/>
      <c r="W50" s="2307"/>
      <c r="X50" s="2307"/>
      <c r="Y50" s="2307"/>
      <c r="Z50" s="2307"/>
      <c r="AA50" s="2307"/>
      <c r="AB50" s="2307"/>
      <c r="AC50" s="2308"/>
      <c r="AD50" s="2306"/>
      <c r="AE50" s="2307"/>
      <c r="AF50" s="2307"/>
      <c r="AG50" s="2307"/>
      <c r="AH50" s="2307"/>
      <c r="AI50" s="2307"/>
      <c r="AJ50" s="2307"/>
      <c r="AK50" s="2307"/>
      <c r="AL50" s="2307"/>
      <c r="AM50" s="2307"/>
      <c r="AN50" s="2307"/>
      <c r="AO50" s="2307"/>
      <c r="AP50" s="2307"/>
      <c r="AQ50" s="2307"/>
      <c r="AR50" s="2307"/>
      <c r="AS50" s="2307"/>
      <c r="AT50" s="2307"/>
      <c r="AU50" s="2307"/>
      <c r="AV50" s="2307"/>
      <c r="AW50" s="2307"/>
      <c r="AX50" s="2307"/>
      <c r="AY50" s="2307"/>
      <c r="AZ50" s="2307"/>
      <c r="BA50" s="2307"/>
      <c r="BB50" s="2308"/>
      <c r="BC50" s="1395"/>
      <c r="BE50" s="510"/>
      <c r="BF50" s="510" t="str">
        <f>IF(T50="","",T50)</f>
        <v/>
      </c>
      <c r="BG50" s="510"/>
      <c r="BH50" s="510"/>
      <c r="BI50" s="521">
        <v>0</v>
      </c>
    </row>
    <row s="1652" customFormat="1" customHeight="1" ht="0">
      <c r="A51" s="1353" t="s">
        <v>268</v>
      </c>
      <c r="B51" s="1353" t="s">
        <v>269</v>
      </c>
      <c r="C51" s="1353" t="s">
        <v>270</v>
      </c>
      <c r="D51" s="1353" t="s">
        <v>537</v>
      </c>
      <c r="E51" s="2269"/>
      <c r="F51" s="2269"/>
      <c r="G51" s="2269"/>
      <c r="H51" s="2269"/>
      <c r="I51" s="2296"/>
      <c r="J51" s="2266" t="str">
        <f>S49&amp;".1"</f>
        <v>.1</v>
      </c>
      <c r="K51" s="1353"/>
      <c r="L51" s="1356"/>
      <c r="M51" s="520"/>
      <c r="N51" s="520"/>
      <c r="O51" s="520"/>
      <c r="P51" s="2267"/>
      <c r="Q51" s="2267">
        <v>1</v>
      </c>
      <c r="R51" s="367"/>
      <c r="S51" s="1052"/>
      <c r="T51" s="1409"/>
      <c r="U51" s="1394"/>
      <c r="V51" s="2307"/>
      <c r="W51" s="2307"/>
      <c r="X51" s="2307"/>
      <c r="Y51" s="2307"/>
      <c r="Z51" s="2307"/>
      <c r="AA51" s="2307"/>
      <c r="AB51" s="2307"/>
      <c r="AC51" s="2308"/>
      <c r="AD51" s="2306"/>
      <c r="AE51" s="2307"/>
      <c r="AF51" s="2307"/>
      <c r="AG51" s="2307"/>
      <c r="AH51" s="2307"/>
      <c r="AI51" s="2307"/>
      <c r="AJ51" s="2307"/>
      <c r="AK51" s="2307"/>
      <c r="AL51" s="2307"/>
      <c r="AM51" s="2307"/>
      <c r="AN51" s="2374"/>
      <c r="AO51" s="2374"/>
      <c r="AP51" s="2307"/>
      <c r="AQ51" s="2307"/>
      <c r="AR51" s="2307"/>
      <c r="AS51" s="2307"/>
      <c r="AT51" s="2307"/>
      <c r="AU51" s="2307"/>
      <c r="AV51" s="2307"/>
      <c r="AW51" s="2307"/>
      <c r="AX51" s="2307"/>
      <c r="AY51" s="2307"/>
      <c r="AZ51" s="2307"/>
      <c r="BA51" s="2307"/>
      <c r="BB51" s="2308"/>
      <c r="BC51" s="1395"/>
      <c r="BE51" s="510"/>
      <c r="BF51" s="510" t="str">
        <f>IF(T51="","",T51)</f>
        <v/>
      </c>
      <c r="BG51" s="510"/>
      <c r="BH51" s="510"/>
      <c r="BI51" s="521">
        <v>0</v>
      </c>
    </row>
    <row customHeight="1" ht="11.549999999999999">
      <c r="A52" s="1373" t="s">
        <v>268</v>
      </c>
      <c r="B52" s="1373" t="s">
        <v>269</v>
      </c>
      <c r="C52" s="1373" t="s">
        <v>270</v>
      </c>
      <c r="D52" s="1373" t="s">
        <v>537</v>
      </c>
      <c r="E52" s="2269"/>
      <c r="F52" s="2269"/>
      <c r="G52" s="2269"/>
      <c r="H52" s="2269"/>
      <c r="I52" s="2296"/>
      <c r="J52" s="2296"/>
      <c r="K52" s="2266" t="str">
        <f>S48&amp;".1"</f>
        <v>...1</v>
      </c>
      <c r="L52" s="1374"/>
      <c r="P52" s="2267"/>
      <c r="Q52" s="2267"/>
      <c r="R52" s="367">
        <v>1</v>
      </c>
      <c r="S52" s="2351" t="str">
        <f>$K52</f>
        <v>...1</v>
      </c>
      <c r="T52" s="2370"/>
      <c r="U52" s="310"/>
      <c r="V52" s="761"/>
      <c r="W52" s="1267"/>
      <c r="X52" s="761"/>
      <c r="Y52" s="1267"/>
      <c r="Z52" s="1744"/>
      <c r="AA52" s="1469" t="s">
        <v>66</v>
      </c>
      <c r="AB52" s="1744"/>
      <c r="AC52" s="1469" t="s">
        <v>66</v>
      </c>
      <c r="AD52" s="2195" t="s">
        <v>66</v>
      </c>
      <c r="AE52" s="2336"/>
      <c r="AF52" s="2215">
        <v>1</v>
      </c>
      <c r="AG52" s="2373"/>
      <c r="AH52" s="2117" t="s">
        <v>66</v>
      </c>
      <c r="AI52" s="2336"/>
      <c r="AJ52" s="2215">
        <v>1</v>
      </c>
      <c r="AK52" s="2337" t="s">
        <v>22</v>
      </c>
      <c r="AL52" s="2117" t="s">
        <v>66</v>
      </c>
      <c r="AM52" s="2202"/>
      <c r="AN52" s="2215">
        <v>1</v>
      </c>
      <c r="AO52" s="2367"/>
      <c r="AP52" s="2368" t="s">
        <v>66</v>
      </c>
      <c r="AQ52" s="321"/>
      <c r="AR52" s="1473">
        <v>1</v>
      </c>
      <c r="AS52" s="1476" t="s">
        <v>22</v>
      </c>
      <c r="AT52" s="761"/>
      <c r="AU52" s="1267"/>
      <c r="AV52" s="761"/>
      <c r="AW52" s="1267"/>
      <c r="AX52" s="1744"/>
      <c r="AY52" s="1469" t="s">
        <v>66</v>
      </c>
      <c r="AZ52" s="1744"/>
      <c r="BA52" s="1469" t="s">
        <v>66</v>
      </c>
      <c r="BB52" s="1358"/>
      <c r="BC52" s="2263" t="s">
        <v>523</v>
      </c>
      <c r="BE52" s="510"/>
      <c r="BF52" s="510" t="str">
        <f>IF(T52="","",T52)</f>
        <v/>
      </c>
      <c r="BG52" s="510"/>
      <c r="BH52" s="510"/>
      <c r="BI52" s="1165">
        <v>11</v>
      </c>
    </row>
    <row customHeight="1" ht="11.549999999999999">
      <c r="A53" s="1373"/>
      <c r="B53" s="1373"/>
      <c r="C53" s="1373"/>
      <c r="D53" s="1373"/>
      <c r="E53" s="2269"/>
      <c r="F53" s="2269"/>
      <c r="G53" s="2269"/>
      <c r="H53" s="2269"/>
      <c r="I53" s="2296"/>
      <c r="J53" s="2296"/>
      <c r="K53" s="2266"/>
      <c r="L53" s="1374"/>
      <c r="P53" s="2267"/>
      <c r="Q53" s="2267"/>
      <c r="R53" s="367"/>
      <c r="S53" s="2352"/>
      <c r="T53" s="2371"/>
      <c r="U53" s="310"/>
      <c r="V53" s="1403"/>
      <c r="W53" s="1506"/>
      <c r="X53" s="1403"/>
      <c r="Y53" s="1506"/>
      <c r="Z53" s="1403"/>
      <c r="AA53" s="1403"/>
      <c r="AB53" s="1403"/>
      <c r="AC53" s="1403"/>
      <c r="AD53" s="2196"/>
      <c r="AE53" s="2336"/>
      <c r="AF53" s="2215"/>
      <c r="AG53" s="2373"/>
      <c r="AH53" s="2117"/>
      <c r="AI53" s="2336"/>
      <c r="AJ53" s="2215"/>
      <c r="AK53" s="2337"/>
      <c r="AL53" s="2117"/>
      <c r="AM53" s="2210"/>
      <c r="AN53" s="2215"/>
      <c r="AO53" s="2367"/>
      <c r="AP53" s="2369"/>
      <c r="AQ53" s="326"/>
      <c r="AR53" s="426"/>
      <c r="AS53" s="426" t="s">
        <v>524</v>
      </c>
      <c r="AT53" s="1403"/>
      <c r="AU53" s="1506"/>
      <c r="AV53" s="1403"/>
      <c r="AW53" s="1506"/>
      <c r="AX53" s="1403"/>
      <c r="AY53" s="1403"/>
      <c r="AZ53" s="1403"/>
      <c r="BA53" s="1403"/>
      <c r="BB53" s="1407"/>
      <c r="BC53" s="2264"/>
      <c r="BE53" s="510"/>
      <c r="BF53" s="510"/>
      <c r="BG53" s="510"/>
      <c r="BH53" s="510"/>
      <c r="BI53" s="1165">
        <v>11</v>
      </c>
    </row>
    <row customHeight="1" ht="11.549999999999999">
      <c r="A54" s="1373" t="s">
        <v>268</v>
      </c>
      <c r="B54" s="1373"/>
      <c r="C54" s="1373"/>
      <c r="D54" s="1373"/>
      <c r="E54" s="2269"/>
      <c r="F54" s="2269"/>
      <c r="G54" s="2269"/>
      <c r="H54" s="2269"/>
      <c r="I54" s="2296"/>
      <c r="J54" s="2296"/>
      <c r="K54" s="2266"/>
      <c r="L54" s="1374"/>
      <c r="P54" s="2267"/>
      <c r="Q54" s="2267"/>
      <c r="R54" s="367"/>
      <c r="S54" s="2352"/>
      <c r="T54" s="2371"/>
      <c r="U54" s="310"/>
      <c r="V54" s="1403"/>
      <c r="W54" s="1506"/>
      <c r="X54" s="1403"/>
      <c r="Y54" s="1506"/>
      <c r="Z54" s="1403"/>
      <c r="AA54" s="1403"/>
      <c r="AB54" s="1403"/>
      <c r="AC54" s="1403"/>
      <c r="AD54" s="2196"/>
      <c r="AE54" s="2336"/>
      <c r="AF54" s="2215"/>
      <c r="AG54" s="2373"/>
      <c r="AH54" s="2117"/>
      <c r="AI54" s="2336"/>
      <c r="AJ54" s="2215"/>
      <c r="AK54" s="2337"/>
      <c r="AL54" s="2117"/>
      <c r="AM54" s="326"/>
      <c r="AN54" s="1510"/>
      <c r="AO54" s="1510" t="s">
        <v>525</v>
      </c>
      <c r="AP54" s="426"/>
      <c r="AQ54" s="426"/>
      <c r="AR54" s="426"/>
      <c r="AS54" s="1403"/>
      <c r="AT54" s="1403"/>
      <c r="AU54" s="1506"/>
      <c r="AV54" s="1403"/>
      <c r="AW54" s="1506"/>
      <c r="AX54" s="1403"/>
      <c r="AY54" s="1403"/>
      <c r="AZ54" s="1403"/>
      <c r="BA54" s="1403"/>
      <c r="BB54" s="1407"/>
      <c r="BC54" s="2264"/>
      <c r="BE54" s="510"/>
      <c r="BF54" s="510"/>
      <c r="BG54" s="510"/>
      <c r="BH54" s="510"/>
      <c r="BI54" s="1165">
        <v>11</v>
      </c>
    </row>
    <row customHeight="1" ht="11.549999999999999">
      <c r="A55" s="1373" t="s">
        <v>268</v>
      </c>
      <c r="B55" s="1373"/>
      <c r="C55" s="1373"/>
      <c r="D55" s="1373"/>
      <c r="E55" s="2269"/>
      <c r="F55" s="2269"/>
      <c r="G55" s="2269"/>
      <c r="H55" s="2269"/>
      <c r="I55" s="2296"/>
      <c r="J55" s="2296"/>
      <c r="K55" s="2266"/>
      <c r="L55" s="1374"/>
      <c r="P55" s="2267"/>
      <c r="Q55" s="2267"/>
      <c r="R55" s="367"/>
      <c r="S55" s="2352"/>
      <c r="T55" s="2371"/>
      <c r="U55" s="310"/>
      <c r="V55" s="1403"/>
      <c r="W55" s="1506"/>
      <c r="X55" s="1403"/>
      <c r="Y55" s="1506"/>
      <c r="Z55" s="1403"/>
      <c r="AA55" s="1403"/>
      <c r="AB55" s="1403"/>
      <c r="AC55" s="1403"/>
      <c r="AD55" s="2196"/>
      <c r="AE55" s="2336"/>
      <c r="AF55" s="2215"/>
      <c r="AG55" s="2373"/>
      <c r="AH55" s="2117"/>
      <c r="AI55" s="304"/>
      <c r="AJ55" s="425"/>
      <c r="AK55" s="323" t="s">
        <v>526</v>
      </c>
      <c r="AL55" s="1403"/>
      <c r="AM55" s="1403"/>
      <c r="AN55" s="1403"/>
      <c r="AO55" s="1403"/>
      <c r="AP55" s="1403"/>
      <c r="AQ55" s="1403"/>
      <c r="AR55" s="1403"/>
      <c r="AS55" s="1403"/>
      <c r="AT55" s="1403"/>
      <c r="AU55" s="1506"/>
      <c r="AV55" s="1403"/>
      <c r="AW55" s="1506"/>
      <c r="AX55" s="1403"/>
      <c r="AY55" s="1403"/>
      <c r="AZ55" s="1403"/>
      <c r="BA55" s="1403"/>
      <c r="BB55" s="1407"/>
      <c r="BC55" s="2264"/>
      <c r="BE55" s="510"/>
      <c r="BF55" s="510"/>
      <c r="BG55" s="510"/>
      <c r="BH55" s="510"/>
      <c r="BI55" s="1165">
        <v>11</v>
      </c>
    </row>
    <row customHeight="1" ht="11.549999999999999">
      <c r="A56" s="1373" t="s">
        <v>268</v>
      </c>
      <c r="B56" s="1373" t="s">
        <v>269</v>
      </c>
      <c r="C56" s="1373" t="s">
        <v>270</v>
      </c>
      <c r="D56" s="1373" t="s">
        <v>537</v>
      </c>
      <c r="E56" s="2269"/>
      <c r="F56" s="2269"/>
      <c r="G56" s="2269"/>
      <c r="H56" s="2269"/>
      <c r="I56" s="2296"/>
      <c r="J56" s="2296"/>
      <c r="K56" s="2266"/>
      <c r="L56" s="1374"/>
      <c r="P56" s="2267"/>
      <c r="Q56" s="2267"/>
      <c r="R56" s="367"/>
      <c r="S56" s="2353"/>
      <c r="T56" s="2372"/>
      <c r="U56" s="310"/>
      <c r="V56" s="1403"/>
      <c r="W56" s="1404" t="str">
        <f>Z52&amp;"-"&amp;AB52</f>
        <v>-</v>
      </c>
      <c r="X56" s="1403"/>
      <c r="Y56" s="1404" t="str">
        <f>AB52&amp;"-"&amp;AD52</f>
        <v>-да</v>
      </c>
      <c r="Z56" s="1403"/>
      <c r="AA56" s="1403"/>
      <c r="AB56" s="1403"/>
      <c r="AC56" s="1403"/>
      <c r="AD56" s="2122"/>
      <c r="AE56" s="322"/>
      <c r="AF56" s="324"/>
      <c r="AG56" s="426" t="s">
        <v>527</v>
      </c>
      <c r="AH56" s="1403"/>
      <c r="AI56" s="1403"/>
      <c r="AJ56" s="1403"/>
      <c r="AK56" s="1403"/>
      <c r="AL56" s="1403"/>
      <c r="AM56" s="1403"/>
      <c r="AN56" s="1403"/>
      <c r="AO56" s="1403"/>
      <c r="AP56" s="1403"/>
      <c r="AQ56" s="1403"/>
      <c r="AR56" s="1403"/>
      <c r="AS56" s="1403"/>
      <c r="AT56" s="1403"/>
      <c r="AU56" s="1404" t="str">
        <f>AX52&amp;"-"&amp;AZ52</f>
        <v>-</v>
      </c>
      <c r="AV56" s="1403"/>
      <c r="AW56" s="1404" t="str">
        <f>AZ52&amp;"-"&amp;BB52</f>
        <v>-</v>
      </c>
      <c r="AX56" s="1403"/>
      <c r="AY56" s="1403"/>
      <c r="AZ56" s="1403"/>
      <c r="BA56" s="1403"/>
      <c r="BB56" s="1406" t="str">
        <f>BE52&amp;"-"&amp;BG52</f>
        <v>-</v>
      </c>
      <c r="BC56" s="2264"/>
      <c r="BE56" s="510"/>
      <c r="BF56" s="510" t="str">
        <f>IF(T56="","",T56)</f>
        <v/>
      </c>
      <c r="BG56" s="510"/>
      <c r="BH56" s="510"/>
      <c r="BI56" s="1165">
        <v>11</v>
      </c>
    </row>
    <row customHeight="1" ht="11.549999999999999">
      <c r="A57" s="1373" t="s">
        <v>268</v>
      </c>
      <c r="B57" s="1373" t="s">
        <v>269</v>
      </c>
      <c r="C57" s="1373" t="s">
        <v>270</v>
      </c>
      <c r="D57" s="1373" t="s">
        <v>537</v>
      </c>
      <c r="E57" s="2269"/>
      <c r="F57" s="2269"/>
      <c r="G57" s="2269"/>
      <c r="H57" s="2269"/>
      <c r="I57" s="2296"/>
      <c r="J57" s="2266"/>
      <c r="K57" s="1373"/>
      <c r="L57" s="1374"/>
      <c r="P57" s="2267"/>
      <c r="Q57" s="2267"/>
      <c r="R57" s="366"/>
      <c r="S57" s="1288"/>
      <c r="T57" s="297" t="s">
        <v>490</v>
      </c>
      <c r="U57" s="377"/>
      <c r="V57" s="377"/>
      <c r="W57" s="377"/>
      <c r="X57" s="377"/>
      <c r="Y57" s="377"/>
      <c r="Z57" s="377"/>
      <c r="AA57" s="377"/>
      <c r="AB57" s="377"/>
      <c r="AC57" s="334"/>
      <c r="AD57" s="1515"/>
      <c r="AE57" s="377"/>
      <c r="AF57" s="377"/>
      <c r="AG57" s="377"/>
      <c r="AH57" s="377"/>
      <c r="AI57" s="377"/>
      <c r="AJ57" s="377"/>
      <c r="AK57" s="377"/>
      <c r="AL57" s="377"/>
      <c r="AM57" s="377"/>
      <c r="AN57" s="377"/>
      <c r="AO57" s="377"/>
      <c r="AP57" s="377"/>
      <c r="AQ57" s="377"/>
      <c r="AR57" s="377"/>
      <c r="AS57" s="377"/>
      <c r="AT57" s="377"/>
      <c r="AU57" s="377"/>
      <c r="AV57" s="377"/>
      <c r="AW57" s="377"/>
      <c r="AX57" s="377"/>
      <c r="AY57" s="377"/>
      <c r="AZ57" s="377"/>
      <c r="BA57" s="377"/>
      <c r="BB57" s="334"/>
      <c r="BC57" s="2265"/>
      <c r="BE57" s="510"/>
      <c r="BF57" s="510" t="str">
        <f>IF(T57="","",T57)</f>
        <v>Добавить строку</v>
      </c>
      <c r="BG57" s="510"/>
      <c r="BH57" s="510"/>
      <c r="BI57" s="1165">
        <v>11</v>
      </c>
    </row>
    <row s="1652" customFormat="1" customHeight="1" ht="0">
      <c r="A58" s="1353" t="s">
        <v>268</v>
      </c>
      <c r="B58" s="1353" t="s">
        <v>269</v>
      </c>
      <c r="C58" s="1353" t="s">
        <v>270</v>
      </c>
      <c r="D58" s="1353" t="s">
        <v>537</v>
      </c>
      <c r="E58" s="2269"/>
      <c r="F58" s="2269"/>
      <c r="G58" s="2269"/>
      <c r="H58" s="2269"/>
      <c r="I58" s="2266"/>
      <c r="J58" s="1353"/>
      <c r="K58" s="1353"/>
      <c r="L58" s="1356"/>
      <c r="M58" s="520"/>
      <c r="N58" s="520"/>
      <c r="O58" s="520"/>
      <c r="P58" s="2267"/>
      <c r="Q58" s="1472"/>
      <c r="R58" s="366"/>
      <c r="S58" s="1396"/>
      <c r="T58" s="1397"/>
      <c r="U58" s="1398"/>
      <c r="V58" s="1398"/>
      <c r="W58" s="1398"/>
      <c r="X58" s="1398"/>
      <c r="Y58" s="1398"/>
      <c r="Z58" s="1398"/>
      <c r="AA58" s="1398"/>
      <c r="AB58" s="1398"/>
      <c r="AC58" s="1398"/>
      <c r="AD58" s="1398"/>
      <c r="AE58" s="1398"/>
      <c r="AF58" s="1398"/>
      <c r="AG58" s="1398"/>
      <c r="AH58" s="1398"/>
      <c r="AI58" s="1398"/>
      <c r="AJ58" s="1398"/>
      <c r="AK58" s="1398"/>
      <c r="AL58" s="1398"/>
      <c r="AM58" s="1398"/>
      <c r="AN58" s="1398"/>
      <c r="AO58" s="1398"/>
      <c r="AP58" s="1398"/>
      <c r="AQ58" s="1398"/>
      <c r="AR58" s="1398"/>
      <c r="AS58" s="1398"/>
      <c r="AT58" s="1398"/>
      <c r="AU58" s="1398"/>
      <c r="AV58" s="1398"/>
      <c r="AW58" s="1398"/>
      <c r="AX58" s="1398"/>
      <c r="AY58" s="1398"/>
      <c r="AZ58" s="1398"/>
      <c r="BA58" s="1398"/>
      <c r="BB58" s="1398"/>
      <c r="BC58" s="1399"/>
      <c r="BE58" s="510"/>
      <c r="BF58" s="510" t="str">
        <f>IF(T58="","",T58)</f>
        <v/>
      </c>
      <c r="BG58" s="510"/>
      <c r="BH58" s="510"/>
      <c r="BI58" s="521">
        <v>0</v>
      </c>
    </row>
    <row s="1652" customFormat="1" customHeight="1" ht="0">
      <c r="A59" s="1353" t="s">
        <v>268</v>
      </c>
      <c r="B59" s="1353" t="s">
        <v>269</v>
      </c>
      <c r="C59" s="1353" t="s">
        <v>270</v>
      </c>
      <c r="D59" s="1353" t="s">
        <v>537</v>
      </c>
      <c r="E59" s="2269"/>
      <c r="F59" s="2269"/>
      <c r="G59" s="2269"/>
      <c r="H59" s="2268"/>
      <c r="I59" s="1353"/>
      <c r="J59" s="1353"/>
      <c r="K59" s="1353"/>
      <c r="L59" s="1356"/>
      <c r="M59" s="1325"/>
      <c r="N59" s="1325"/>
      <c r="O59" s="528"/>
      <c r="P59" s="390"/>
      <c r="Q59" s="1354"/>
      <c r="R59" s="1411"/>
      <c r="S59" s="1396"/>
      <c r="T59" s="1397"/>
      <c r="U59" s="1398"/>
      <c r="V59" s="1398"/>
      <c r="W59" s="1398"/>
      <c r="X59" s="1398"/>
      <c r="Y59" s="1398"/>
      <c r="Z59" s="1398"/>
      <c r="AA59" s="1398"/>
      <c r="AB59" s="1398"/>
      <c r="AC59" s="1398"/>
      <c r="AD59" s="1398"/>
      <c r="AE59" s="1398"/>
      <c r="AF59" s="1398"/>
      <c r="AG59" s="1398"/>
      <c r="AH59" s="1398"/>
      <c r="AI59" s="1398"/>
      <c r="AJ59" s="1398"/>
      <c r="AK59" s="1398"/>
      <c r="AL59" s="1398"/>
      <c r="AM59" s="1398"/>
      <c r="AN59" s="1398"/>
      <c r="AO59" s="1398"/>
      <c r="AP59" s="1398"/>
      <c r="AQ59" s="1398"/>
      <c r="AR59" s="1398"/>
      <c r="AS59" s="1398"/>
      <c r="AT59" s="1398"/>
      <c r="AU59" s="1398"/>
      <c r="AV59" s="1398"/>
      <c r="AW59" s="1398"/>
      <c r="AX59" s="1398"/>
      <c r="AY59" s="1398"/>
      <c r="AZ59" s="1398"/>
      <c r="BA59" s="1398"/>
      <c r="BB59" s="1398"/>
      <c r="BC59" s="1399"/>
      <c r="BE59" s="510"/>
      <c r="BF59" s="510" t="str">
        <f>IF(T59="","",T59)</f>
        <v/>
      </c>
      <c r="BG59" s="510"/>
      <c r="BH59" s="510"/>
      <c r="BI59" s="521">
        <v>0</v>
      </c>
    </row>
    <row s="1652" customFormat="1" customHeight="1" ht="0">
      <c r="A60" s="1353" t="s">
        <v>268</v>
      </c>
      <c r="B60" s="1353" t="s">
        <v>269</v>
      </c>
      <c r="C60" s="1353" t="s">
        <v>270</v>
      </c>
      <c r="D60" s="1324"/>
      <c r="E60" s="2269"/>
      <c r="F60" s="2269"/>
      <c r="G60" s="2268"/>
      <c r="H60" s="1324"/>
      <c r="I60" s="1324"/>
      <c r="J60" s="1324"/>
      <c r="K60" s="1324"/>
      <c r="L60" s="1474"/>
      <c r="M60" s="1325"/>
      <c r="N60" s="1325"/>
      <c r="P60" s="1326"/>
      <c r="Q60" s="1327"/>
      <c r="R60" s="1326"/>
      <c r="S60" s="1332"/>
      <c r="T60" s="1335"/>
      <c r="U60" s="1334"/>
      <c r="V60" s="1334"/>
      <c r="W60" s="1334"/>
      <c r="X60" s="1334"/>
      <c r="Y60" s="1334"/>
      <c r="Z60" s="1334"/>
      <c r="AA60" s="1334"/>
      <c r="AB60" s="1334"/>
      <c r="AC60" s="1334"/>
      <c r="AD60" s="1334"/>
      <c r="AE60" s="1334"/>
      <c r="AF60" s="1334"/>
      <c r="AG60" s="1334"/>
      <c r="AH60" s="1334"/>
      <c r="AI60" s="1334"/>
      <c r="AJ60" s="1334"/>
      <c r="AK60" s="1334"/>
      <c r="AL60" s="1334"/>
      <c r="AM60" s="1334"/>
      <c r="AN60" s="1334"/>
      <c r="AO60" s="1334"/>
      <c r="AP60" s="1334"/>
      <c r="AQ60" s="1334"/>
      <c r="AR60" s="1334"/>
      <c r="AS60" s="1334"/>
      <c r="AT60" s="1334"/>
      <c r="AU60" s="1334"/>
      <c r="AV60" s="1334"/>
      <c r="AW60" s="1334"/>
      <c r="AX60" s="1334"/>
      <c r="AY60" s="1334"/>
      <c r="AZ60" s="1334"/>
      <c r="BA60" s="1334"/>
      <c r="BB60" s="1334"/>
      <c r="BC60" s="1334"/>
      <c r="BE60" s="799"/>
      <c r="BF60" s="799" t="str">
        <f>IF(T60="","",T60)</f>
        <v/>
      </c>
      <c r="BG60" s="799"/>
      <c r="BH60" s="799"/>
      <c r="BI60" s="528">
        <v>0</v>
      </c>
    </row>
    <row s="1652" customFormat="1" customHeight="1" ht="0">
      <c r="A61" s="1353" t="s">
        <v>268</v>
      </c>
      <c r="B61" s="1353" t="s">
        <v>269</v>
      </c>
      <c r="C61" s="1324"/>
      <c r="D61" s="1324"/>
      <c r="E61" s="2269"/>
      <c r="F61" s="2268"/>
      <c r="G61" s="1324"/>
      <c r="H61" s="1324"/>
      <c r="I61" s="1324"/>
      <c r="J61" s="1324"/>
      <c r="K61" s="1324"/>
      <c r="L61" s="1474"/>
      <c r="M61" s="1331"/>
      <c r="N61" s="1331"/>
      <c r="P61" s="1326"/>
      <c r="Q61" s="1327"/>
      <c r="R61" s="1326"/>
      <c r="S61" s="1332"/>
      <c r="T61" s="1335" t="s">
        <v>437</v>
      </c>
      <c r="U61" s="1334"/>
      <c r="V61" s="1334"/>
      <c r="W61" s="1334"/>
      <c r="X61" s="1334"/>
      <c r="Y61" s="1334"/>
      <c r="Z61" s="1334"/>
      <c r="AA61" s="1334"/>
      <c r="AB61" s="1334"/>
      <c r="AC61" s="1334"/>
      <c r="AD61" s="1334"/>
      <c r="AE61" s="1334"/>
      <c r="AF61" s="1334"/>
      <c r="AG61" s="1334"/>
      <c r="AH61" s="1334"/>
      <c r="AI61" s="1334"/>
      <c r="AJ61" s="1334"/>
      <c r="AK61" s="1334"/>
      <c r="AL61" s="1334"/>
      <c r="AM61" s="1334"/>
      <c r="AN61" s="1334"/>
      <c r="AO61" s="1334"/>
      <c r="AP61" s="1334"/>
      <c r="AQ61" s="1334"/>
      <c r="AR61" s="1334"/>
      <c r="AS61" s="1334"/>
      <c r="AT61" s="1334"/>
      <c r="AU61" s="1334"/>
      <c r="AV61" s="1334"/>
      <c r="AW61" s="1334"/>
      <c r="AX61" s="1334"/>
      <c r="AY61" s="1334"/>
      <c r="AZ61" s="1334"/>
      <c r="BA61" s="1334"/>
      <c r="BB61" s="1334"/>
      <c r="BC61" s="1334"/>
      <c r="BE61" s="799"/>
      <c r="BF61" s="799" t="str">
        <f>IF(T61="","",T61)</f>
        <v>Добавить централизованную систему для дифференциации</v>
      </c>
      <c r="BG61" s="799"/>
      <c r="BH61" s="799"/>
      <c r="BI61" s="528">
        <v>0</v>
      </c>
    </row>
    <row s="1652" customFormat="1" customHeight="1" ht="0">
      <c r="A62" s="1353" t="s">
        <v>268</v>
      </c>
      <c r="B62" s="1353"/>
      <c r="C62" s="1353"/>
      <c r="D62" s="1353"/>
      <c r="E62" s="2268"/>
      <c r="F62" s="1353"/>
      <c r="G62" s="1353"/>
      <c r="H62" s="1353"/>
      <c r="I62" s="1353"/>
      <c r="J62" s="1353"/>
      <c r="K62" s="1353"/>
      <c r="L62" s="1356"/>
      <c r="M62" s="1331"/>
      <c r="N62" s="1331"/>
      <c r="O62" s="528"/>
      <c r="P62" s="390"/>
      <c r="Q62" s="1354"/>
      <c r="R62" s="390"/>
      <c r="S62" s="1332"/>
      <c r="T62" s="1335" t="s">
        <v>438</v>
      </c>
      <c r="U62" s="1334"/>
      <c r="V62" s="1334"/>
      <c r="W62" s="1334"/>
      <c r="X62" s="1334"/>
      <c r="Y62" s="1334"/>
      <c r="Z62" s="1334"/>
      <c r="AA62" s="1334"/>
      <c r="AB62" s="1334"/>
      <c r="AC62" s="1334"/>
      <c r="AD62" s="1334"/>
      <c r="AE62" s="1334"/>
      <c r="AF62" s="1334"/>
      <c r="AG62" s="1334"/>
      <c r="AH62" s="1334"/>
      <c r="AI62" s="1334"/>
      <c r="AJ62" s="1334"/>
      <c r="AK62" s="1334"/>
      <c r="AL62" s="1334"/>
      <c r="AM62" s="1334"/>
      <c r="AN62" s="1334"/>
      <c r="AO62" s="1334"/>
      <c r="AP62" s="1334"/>
      <c r="AQ62" s="1334"/>
      <c r="AR62" s="1334"/>
      <c r="AS62" s="1334"/>
      <c r="AT62" s="1334"/>
      <c r="AU62" s="1334"/>
      <c r="AV62" s="1334"/>
      <c r="AW62" s="1334"/>
      <c r="AX62" s="1334"/>
      <c r="AY62" s="1334"/>
      <c r="AZ62" s="1334"/>
      <c r="BA62" s="1334"/>
      <c r="BB62" s="1334"/>
      <c r="BC62" s="1334"/>
      <c r="BE62" s="510"/>
      <c r="BF62" s="510" t="str">
        <f>IF(T62="","",T62)</f>
        <v>Добавить территорию для дифференциации</v>
      </c>
      <c r="BG62" s="510"/>
      <c r="BH62" s="510"/>
      <c r="BI62" s="521">
        <v>0</v>
      </c>
    </row>
    <row s="1652" customFormat="1" customHeight="1" ht="0">
      <c r="A63" s="1324"/>
      <c r="B63" s="1324"/>
      <c r="C63" s="1324"/>
      <c r="D63" s="1324"/>
      <c r="E63" s="1353"/>
      <c r="F63" s="1324"/>
      <c r="G63" s="1324"/>
      <c r="H63" s="1324"/>
      <c r="I63" s="1324"/>
      <c r="J63" s="1324"/>
      <c r="K63" s="1324"/>
      <c r="L63" s="1474"/>
      <c r="M63" s="1331"/>
      <c r="N63" s="1331"/>
      <c r="P63" s="1326"/>
      <c r="Q63" s="1327"/>
      <c r="R63" s="1326"/>
      <c r="S63" s="1332"/>
      <c r="T63" s="1335" t="s">
        <v>470</v>
      </c>
      <c r="U63" s="1334"/>
      <c r="V63" s="1334"/>
      <c r="W63" s="1334"/>
      <c r="X63" s="1334"/>
      <c r="Y63" s="1334"/>
      <c r="Z63" s="1334"/>
      <c r="AA63" s="1334"/>
      <c r="AB63" s="1334"/>
      <c r="AC63" s="1334"/>
      <c r="AD63" s="1334"/>
      <c r="AE63" s="1334"/>
      <c r="AF63" s="1334"/>
      <c r="AG63" s="1334"/>
      <c r="AH63" s="1334"/>
      <c r="AI63" s="1334"/>
      <c r="AJ63" s="1334"/>
      <c r="AK63" s="1334"/>
      <c r="AL63" s="1334"/>
      <c r="AM63" s="1334"/>
      <c r="AN63" s="1334"/>
      <c r="AO63" s="1334"/>
      <c r="AP63" s="1334"/>
      <c r="AQ63" s="1334"/>
      <c r="AR63" s="1334"/>
      <c r="AS63" s="1334"/>
      <c r="AT63" s="1334"/>
      <c r="AU63" s="1334"/>
      <c r="AV63" s="1334"/>
      <c r="AW63" s="1334"/>
      <c r="AX63" s="1334"/>
      <c r="AY63" s="1334"/>
      <c r="AZ63" s="1334"/>
      <c r="BA63" s="1334"/>
      <c r="BB63" s="1334"/>
      <c r="BC63" s="1334"/>
      <c r="BE63" s="799"/>
      <c r="BF63" s="799" t="str">
        <f>IF(T63="","",T63)</f>
        <v>Добавить наименование тарифа</v>
      </c>
      <c r="BG63" s="799"/>
      <c r="BH63" s="799"/>
      <c r="BI63" s="528">
        <v>0</v>
      </c>
    </row>
    <row customHeight="1" ht="11.549999999999999">
      <c r="M64" s="1170"/>
      <c r="N64" s="1170"/>
      <c r="O64" s="547"/>
      <c r="P64" s="1170"/>
      <c r="Q64" s="1170"/>
      <c r="R64" s="1165"/>
      <c r="S64" s="1165"/>
      <c r="BD64" s="1165"/>
      <c r="BE64" s="1165"/>
      <c r="BF64" s="1165"/>
      <c r="BG64" s="1165"/>
      <c r="BH64" s="1165"/>
      <c r="BI64" s="1165">
        <v>11</v>
      </c>
    </row>
    <row customHeight="1" ht="19.95">
      <c r="O65" s="547"/>
      <c r="S65" s="1263"/>
      <c r="T65" s="2295"/>
      <c r="U65" s="2295"/>
      <c r="V65" s="2295"/>
      <c r="W65" s="2295"/>
      <c r="X65" s="2295"/>
      <c r="Y65" s="2295"/>
      <c r="Z65" s="2295"/>
      <c r="AA65" s="2295"/>
      <c r="AB65" s="2295"/>
      <c r="AC65" s="2295"/>
      <c r="AD65" s="2295"/>
      <c r="AE65" s="2295"/>
      <c r="AF65" s="2295"/>
      <c r="AG65" s="2295"/>
      <c r="AH65" s="2295"/>
      <c r="AI65" s="2295"/>
      <c r="AJ65" s="2295"/>
      <c r="AK65" s="2295"/>
      <c r="AL65" s="2295"/>
      <c r="AM65" s="2295"/>
      <c r="AN65" s="2295"/>
      <c r="AO65" s="2295"/>
      <c r="AP65" s="2295"/>
      <c r="AQ65" s="2295"/>
      <c r="AR65" s="2295"/>
      <c r="AS65" s="2295"/>
      <c r="AT65" s="2295"/>
      <c r="AU65" s="2295"/>
      <c r="AV65" s="2295"/>
      <c r="AW65" s="2295"/>
      <c r="AX65" s="2295"/>
      <c r="AY65" s="2295"/>
      <c r="AZ65" s="2295"/>
      <c r="BA65" s="2295"/>
      <c r="BB65" s="2295"/>
      <c r="BC65" s="2295"/>
      <c r="BI65" s="1165">
        <v>19</v>
      </c>
    </row>
    <row customHeight="1" ht="14.699999999999998">
      <c r="O66" s="547"/>
      <c r="T66" s="1459"/>
      <c r="U66" s="1459"/>
      <c r="V66" s="1459"/>
      <c r="W66" s="1459"/>
      <c r="X66" s="1459"/>
      <c r="Y66" s="1459"/>
      <c r="Z66" s="1459"/>
      <c r="AA66" s="1459"/>
      <c r="AB66" s="1459"/>
      <c r="AC66" s="1459"/>
      <c r="AD66" s="1459"/>
      <c r="AE66" s="1459"/>
      <c r="AF66" s="1459"/>
      <c r="AG66" s="1459"/>
      <c r="AH66" s="1459"/>
      <c r="AI66" s="1459"/>
      <c r="AJ66" s="1459"/>
      <c r="AK66" s="1459"/>
      <c r="AL66" s="1459"/>
      <c r="AM66" s="1459"/>
      <c r="AN66" s="1459"/>
      <c r="AO66" s="1459"/>
      <c r="AP66" s="1459"/>
      <c r="AQ66" s="1459"/>
      <c r="AR66" s="1459"/>
      <c r="AS66" s="1459"/>
      <c r="AT66" s="1459"/>
      <c r="AU66" s="1459"/>
      <c r="AV66" s="1459"/>
      <c r="AW66" s="1459"/>
      <c r="AX66" s="1459"/>
      <c r="AY66" s="1459"/>
      <c r="AZ66" s="1459"/>
      <c r="BA66" s="1459"/>
      <c r="BB66" s="1459"/>
      <c r="BC66" s="1459"/>
      <c r="BI66" s="1165">
        <v>14</v>
      </c>
    </row>
    <row customHeight="1" ht="19.95">
      <c r="O67" s="547"/>
      <c r="S67" s="1263"/>
      <c r="T67" s="2295"/>
      <c r="U67" s="2295"/>
      <c r="V67" s="2295"/>
      <c r="W67" s="2295"/>
      <c r="X67" s="2295"/>
      <c r="Y67" s="2295"/>
      <c r="Z67" s="2295"/>
      <c r="AA67" s="2295"/>
      <c r="AB67" s="2295"/>
      <c r="AC67" s="2295"/>
      <c r="AD67" s="2295"/>
      <c r="AE67" s="2295"/>
      <c r="AF67" s="2295"/>
      <c r="AG67" s="2295"/>
      <c r="AH67" s="2295"/>
      <c r="AI67" s="2295"/>
      <c r="AJ67" s="2295"/>
      <c r="AK67" s="2295"/>
      <c r="AL67" s="2295"/>
      <c r="AM67" s="2295"/>
      <c r="AN67" s="2295"/>
      <c r="AO67" s="2295"/>
      <c r="AP67" s="2295"/>
      <c r="AQ67" s="2295"/>
      <c r="AR67" s="2295"/>
      <c r="AS67" s="2295"/>
      <c r="AT67" s="2295"/>
      <c r="AU67" s="2295"/>
      <c r="AV67" s="2295"/>
      <c r="AW67" s="2295"/>
      <c r="AX67" s="2295"/>
      <c r="AY67" s="2295"/>
      <c r="AZ67" s="2295"/>
      <c r="BA67" s="2295"/>
      <c r="BB67" s="2295"/>
      <c r="BC67" s="2295"/>
      <c r="BI67" s="1165">
        <v>19</v>
      </c>
    </row>
    <row customHeight="1" ht="14.699999999999998">
      <c r="O68" s="547"/>
      <c r="BI68" s="1165">
        <v>14</v>
      </c>
    </row>
    <row customHeight="1" ht="14.25" hidden="1">
      <c r="A69" s="1170" t="s">
        <v>82</v>
      </c>
      <c r="B69" s="1170">
        <v>0</v>
      </c>
      <c r="C69" s="1170">
        <v>0</v>
      </c>
      <c r="D69" s="1170">
        <v>0</v>
      </c>
      <c r="E69" s="1170">
        <v>0</v>
      </c>
      <c r="F69" s="1170">
        <v>0</v>
      </c>
      <c r="G69" s="1170">
        <v>0</v>
      </c>
      <c r="H69" s="1170">
        <v>0</v>
      </c>
      <c r="I69" s="1170">
        <v>0</v>
      </c>
      <c r="J69" s="1170">
        <v>0</v>
      </c>
      <c r="K69" s="1170">
        <v>0</v>
      </c>
      <c r="L69" s="1471">
        <v>0</v>
      </c>
      <c r="M69" s="1372">
        <v>0</v>
      </c>
      <c r="N69" s="1372">
        <v>0</v>
      </c>
      <c r="O69" s="1372">
        <v>0</v>
      </c>
      <c r="P69" s="1372">
        <v>0</v>
      </c>
      <c r="Q69" s="1381">
        <v>0</v>
      </c>
      <c r="R69" s="354">
        <v>3</v>
      </c>
      <c r="S69" s="591">
        <v>12</v>
      </c>
      <c r="T69" s="1165">
        <v>31</v>
      </c>
      <c r="U69" s="1165">
        <v>0</v>
      </c>
      <c r="V69" s="1165">
        <v>0</v>
      </c>
      <c r="W69" s="1165">
        <v>0</v>
      </c>
      <c r="X69" s="1165">
        <v>0</v>
      </c>
      <c r="Y69" s="1165">
        <v>0</v>
      </c>
      <c r="Z69" s="1165">
        <v>0</v>
      </c>
      <c r="AA69" s="1165">
        <v>0</v>
      </c>
      <c r="AB69" s="1165">
        <v>0</v>
      </c>
      <c r="AC69" s="1165">
        <v>0</v>
      </c>
      <c r="AD69" s="1165">
        <v>3</v>
      </c>
      <c r="AE69" s="1165">
        <v>3</v>
      </c>
      <c r="AF69" s="1165">
        <v>3</v>
      </c>
      <c r="AG69" s="1165">
        <v>24</v>
      </c>
      <c r="AH69" s="1165">
        <v>3</v>
      </c>
      <c r="AI69" s="1165">
        <v>3</v>
      </c>
      <c r="AJ69" s="1165">
        <v>3</v>
      </c>
      <c r="AK69" s="1165">
        <v>24</v>
      </c>
      <c r="AL69" s="1165">
        <v>3</v>
      </c>
      <c r="AM69" s="1165">
        <v>3</v>
      </c>
      <c r="AN69" s="1165">
        <v>3</v>
      </c>
      <c r="AO69" s="1165">
        <v>18</v>
      </c>
      <c r="AP69" s="1165">
        <v>3</v>
      </c>
      <c r="AQ69" s="1165">
        <v>3</v>
      </c>
      <c r="AR69" s="1165">
        <v>3</v>
      </c>
      <c r="AS69" s="1165">
        <v>18</v>
      </c>
      <c r="AT69" s="1165">
        <v>21</v>
      </c>
      <c r="AU69" s="1165">
        <v>21</v>
      </c>
      <c r="AV69" s="1165">
        <v>21</v>
      </c>
      <c r="AW69" s="1165">
        <v>21</v>
      </c>
      <c r="AX69" s="1165">
        <v>11</v>
      </c>
      <c r="AY69" s="1165">
        <v>3</v>
      </c>
      <c r="AZ69" s="1165">
        <v>11</v>
      </c>
      <c r="BA69" s="1165">
        <v>0</v>
      </c>
      <c r="BB69" s="1165">
        <v>4</v>
      </c>
      <c r="BC69" s="1165">
        <v>115</v>
      </c>
      <c r="BD69" s="521">
        <v>10</v>
      </c>
      <c r="BE69" s="521">
        <v>10</v>
      </c>
      <c r="BF69" s="521">
        <v>10</v>
      </c>
      <c r="BG69" s="521">
        <v>10</v>
      </c>
      <c r="BH69" s="521">
        <v>10</v>
      </c>
      <c r="BI69" s="1165">
        <v>23</v>
      </c>
    </row>
  </sheetData>
  <sheetProtection sheet="1" formatColumns="0" formatRows="0" autoFilter="0" sort="1" insertRows="1" insertColumns="1" deleteRows="1" deleteColumns="1"/>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FD12DB-B1CA-268C-63A6-0.1926AFFD}"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4" style="1645" width="24.7109375" hidden="1" customWidth="1"/>
    <col min="25" max="25" style="1645" width="11.7109375" hidden="1" customWidth="1"/>
    <col min="26" max="26" style="1645" width="3.7109375" hidden="1" customWidth="1"/>
    <col min="27" max="27" style="1645" width="11.7109375" hidden="1" customWidth="1"/>
    <col min="28" max="28" style="1645" width="8.57421875" hidden="1" customWidth="1"/>
    <col min="29" max="29" style="1645" width="24.7109375" customWidth="1"/>
    <col min="30" max="31" style="1645" width="24.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22.5" hidden="1">
      <c r="X1" s="337"/>
      <c r="Y1" s="337"/>
      <c r="AE1" s="337"/>
      <c r="AF1" s="337"/>
      <c r="AQ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503">
        <f>INDEX(PT_DIFFERENTIATION_NUM_NTAR,MATCH(A2,PT_DIFFERENTIATION_NTAR_ID,0))</f>
      </c>
      <c r="T2" s="308" t="s">
        <v>147</v>
      </c>
      <c r="U2" s="310"/>
      <c r="V2" s="2252"/>
      <c r="W2" s="2253"/>
      <c r="X2" s="2253"/>
      <c r="Y2" s="2253"/>
      <c r="Z2" s="2253"/>
      <c r="AA2" s="2253"/>
      <c r="AB2" s="2254"/>
      <c r="AC2" s="2252">
        <f>INDEX(PT_DIFFERENTIATION_NTAR,MATCH(A2,PT_DIFFERENTIATION_NTAR_ID,0))</f>
      </c>
      <c r="AD2" s="2253"/>
      <c r="AE2" s="2253"/>
      <c r="AF2" s="2253"/>
      <c r="AG2" s="2253"/>
      <c r="AH2" s="2253"/>
      <c r="AI2" s="2253"/>
      <c r="AJ2" s="2254"/>
      <c r="AK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0"/>
      <c r="AN2" s="510" t="str">
        <f>IF(T2="","",T2)</f>
        <v>Наименование тарифа</v>
      </c>
      <c r="AO2" s="510"/>
      <c r="AP2" s="510"/>
      <c r="AQ2" s="1165">
        <v>0</v>
      </c>
    </row>
    <row customHeight="1" ht="23.25" hidden="1">
      <c r="A3" s="1373"/>
      <c r="B3" s="1373"/>
      <c r="C3" s="1373"/>
      <c r="D3" s="1373"/>
      <c r="E3" s="2269"/>
      <c r="F3" s="2268">
        <v>1</v>
      </c>
      <c r="G3" s="1373"/>
      <c r="H3" s="1373"/>
      <c r="I3" s="1373"/>
      <c r="J3" s="1373"/>
      <c r="K3" s="1373"/>
      <c r="L3" s="1374"/>
      <c r="M3" s="1375"/>
      <c r="N3" s="1375"/>
      <c r="O3" s="1375"/>
      <c r="P3" s="1497"/>
      <c r="Q3" s="362"/>
      <c r="R3" s="363"/>
      <c r="S3" s="1503">
        <f>INDEX(PT_DIFFERENTIATION_NUM_TER,MATCH(B3,PT_DIFFERENTIATION_TER_ID,0))</f>
      </c>
      <c r="T3" s="318" t="s">
        <v>419</v>
      </c>
      <c r="U3" s="310"/>
      <c r="V3" s="2252"/>
      <c r="W3" s="2253"/>
      <c r="X3" s="2253"/>
      <c r="Y3" s="2253"/>
      <c r="Z3" s="2253"/>
      <c r="AA3" s="2253"/>
      <c r="AB3" s="2254"/>
      <c r="AC3" s="2252">
        <f>INDEX(PT_DIFFERENTIATION_TER,MATCH(B3,PT_DIFFERENTIATION_TER_ID,0))</f>
      </c>
      <c r="AD3" s="2253"/>
      <c r="AE3" s="2253"/>
      <c r="AF3" s="2253"/>
      <c r="AG3" s="2253"/>
      <c r="AH3" s="2253"/>
      <c r="AI3" s="2253"/>
      <c r="AJ3" s="2254"/>
      <c r="AK3" s="1268" t="s">
        <v>420</v>
      </c>
      <c r="AM3" s="510"/>
      <c r="AN3" s="510" t="str">
        <f>IF(T3="","",T3)</f>
        <v>Территория действия тарифа</v>
      </c>
      <c r="AO3" s="510"/>
      <c r="AP3" s="510"/>
      <c r="AQ3" s="1165">
        <v>0</v>
      </c>
    </row>
    <row customHeight="1" ht="23.25" hidden="1">
      <c r="A4" s="1373"/>
      <c r="B4" s="1373"/>
      <c r="C4" s="1373"/>
      <c r="D4" s="1373"/>
      <c r="E4" s="2269"/>
      <c r="F4" s="2269"/>
      <c r="G4" s="2268">
        <v>1</v>
      </c>
      <c r="H4" s="1373"/>
      <c r="I4" s="1373"/>
      <c r="J4" s="1373"/>
      <c r="K4" s="1373"/>
      <c r="L4" s="1374"/>
      <c r="M4" s="1375"/>
      <c r="N4" s="1375"/>
      <c r="O4" s="1375"/>
      <c r="P4" s="364"/>
      <c r="Q4" s="362"/>
      <c r="R4" s="363"/>
      <c r="S4" s="1503">
        <f>INDEX(PT_DIFFERENTIATION_NUM_CS,MATCH(C4,PT_DIFFERENTIATION_CS_ID,0))</f>
      </c>
      <c r="T4" s="319" t="s">
        <v>538</v>
      </c>
      <c r="U4" s="310"/>
      <c r="V4" s="2252"/>
      <c r="W4" s="2253"/>
      <c r="X4" s="2253"/>
      <c r="Y4" s="2253"/>
      <c r="Z4" s="2253"/>
      <c r="AA4" s="2253"/>
      <c r="AB4" s="2254"/>
      <c r="AC4" s="2252">
        <f>INDEX(PT_DIFFERENTIATION_CS,MATCH(C4,PT_DIFFERENTIATION_CS_ID,0))</f>
      </c>
      <c r="AD4" s="2253"/>
      <c r="AE4" s="2253"/>
      <c r="AF4" s="2253"/>
      <c r="AG4" s="2253"/>
      <c r="AH4" s="2253"/>
      <c r="AI4" s="2253"/>
      <c r="AJ4" s="2254"/>
      <c r="AK4" s="1268" t="s">
        <v>539</v>
      </c>
      <c r="AM4" s="510"/>
      <c r="AN4" s="510" t="str">
        <f>IF(T4="","",T4)</f>
        <v>Наименование централизованной системы водоотведения</v>
      </c>
      <c r="AO4" s="510"/>
      <c r="AP4" s="510"/>
      <c r="AQ4" s="1165">
        <v>0</v>
      </c>
    </row>
    <row customHeight="1" ht="23.25" hidden="1">
      <c r="A5" s="1373"/>
      <c r="B5" s="1373"/>
      <c r="C5" s="1373"/>
      <c r="D5" s="1373"/>
      <c r="E5" s="2269"/>
      <c r="F5" s="2269"/>
      <c r="G5" s="2269"/>
      <c r="H5" s="2269"/>
      <c r="I5" s="2266">
        <f>S4&amp;".1"</f>
      </c>
      <c r="J5" s="1373"/>
      <c r="K5" s="1373"/>
      <c r="L5" s="1374"/>
      <c r="P5" s="2267">
        <v>1</v>
      </c>
      <c r="Q5" s="1491"/>
      <c r="R5" s="366"/>
      <c r="S5" s="1503">
        <f>$I5</f>
      </c>
      <c r="T5" s="295" t="s">
        <v>505</v>
      </c>
      <c r="U5" s="310"/>
      <c r="V5" s="2360"/>
      <c r="W5" s="2361"/>
      <c r="X5" s="2361"/>
      <c r="Y5" s="2361"/>
      <c r="Z5" s="2361"/>
      <c r="AA5" s="2361"/>
      <c r="AB5" s="2362"/>
      <c r="AC5" s="2363"/>
      <c r="AD5" s="2364"/>
      <c r="AE5" s="2364"/>
      <c r="AF5" s="2364"/>
      <c r="AG5" s="2364"/>
      <c r="AH5" s="2364"/>
      <c r="AI5" s="2364"/>
      <c r="AJ5" s="2365"/>
      <c r="AK5" s="1268" t="s">
        <v>506</v>
      </c>
      <c r="AM5" s="510"/>
      <c r="AN5" s="510" t="str">
        <f>IF(T5="","",T5)</f>
        <v>Наименование признака дифференциации</v>
      </c>
      <c r="AO5" s="510"/>
      <c r="AP5" s="510"/>
      <c r="AQ5" s="1165">
        <v>0</v>
      </c>
    </row>
    <row customHeight="1" ht="23.25" hidden="1">
      <c r="A6" s="1373"/>
      <c r="B6" s="1373"/>
      <c r="C6" s="1373"/>
      <c r="D6" s="1373"/>
      <c r="E6" s="2269"/>
      <c r="F6" s="2269"/>
      <c r="G6" s="2269"/>
      <c r="H6" s="2269"/>
      <c r="I6" s="2296"/>
      <c r="J6" s="2266">
        <f>I5&amp;".1"</f>
      </c>
      <c r="K6" s="1373"/>
      <c r="L6" s="1374" t="s">
        <v>428</v>
      </c>
      <c r="P6" s="2267"/>
      <c r="Q6" s="2267">
        <v>1</v>
      </c>
      <c r="R6" s="367"/>
      <c r="S6" s="1503">
        <f>$J6</f>
      </c>
      <c r="T6" s="296" t="s">
        <v>429</v>
      </c>
      <c r="U6" s="310"/>
      <c r="V6" s="2255"/>
      <c r="W6" s="2256"/>
      <c r="X6" s="2256"/>
      <c r="Y6" s="2256"/>
      <c r="Z6" s="2256"/>
      <c r="AA6" s="2256"/>
      <c r="AB6" s="2257"/>
      <c r="AC6" s="2255"/>
      <c r="AD6" s="2256"/>
      <c r="AE6" s="2256"/>
      <c r="AF6" s="2256"/>
      <c r="AG6" s="2256"/>
      <c r="AH6" s="2256"/>
      <c r="AI6" s="2256"/>
      <c r="AJ6" s="2257"/>
      <c r="AK6" s="1317" t="s">
        <v>507</v>
      </c>
      <c r="AM6" s="510"/>
      <c r="AN6" s="510" t="str">
        <f>IF(T6="","",T6)</f>
        <v>Группа потребителей</v>
      </c>
      <c r="AO6" s="510"/>
      <c r="AP6" s="510"/>
      <c r="AQ6" s="1165">
        <v>0</v>
      </c>
    </row>
    <row customHeight="1" ht="23.25" hidden="1">
      <c r="A7" s="1373"/>
      <c r="B7" s="1373"/>
      <c r="C7" s="1373"/>
      <c r="D7" s="1373"/>
      <c r="E7" s="2269"/>
      <c r="F7" s="2269"/>
      <c r="G7" s="2269"/>
      <c r="H7" s="2269"/>
      <c r="I7" s="2296"/>
      <c r="J7" s="2296"/>
      <c r="K7" s="2266">
        <f>J6&amp;".1"</f>
      </c>
      <c r="L7" s="1374"/>
      <c r="P7" s="2267"/>
      <c r="Q7" s="2267"/>
      <c r="R7" s="367">
        <v>1</v>
      </c>
      <c r="S7" s="1503">
        <f>$K7</f>
      </c>
      <c r="T7" s="1447"/>
      <c r="U7" s="310"/>
      <c r="V7" s="761"/>
      <c r="W7" s="761"/>
      <c r="X7" s="1267"/>
      <c r="Y7" s="2275"/>
      <c r="Z7" s="2117" t="s">
        <v>66</v>
      </c>
      <c r="AA7" s="2275"/>
      <c r="AB7" s="2117" t="s">
        <v>66</v>
      </c>
      <c r="AC7" s="761"/>
      <c r="AD7" s="761"/>
      <c r="AE7" s="1267"/>
      <c r="AF7" s="2275"/>
      <c r="AG7" s="2117" t="s">
        <v>66</v>
      </c>
      <c r="AH7" s="2297"/>
      <c r="AI7" s="2117" t="s">
        <v>66</v>
      </c>
      <c r="AJ7" s="1448"/>
      <c r="AK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1">
        <f>STRCHECKDATE(V8:AJ8)</f>
      </c>
      <c r="AM7" s="510"/>
      <c r="AN7" s="510" t="str">
        <f>IF(T7="","",T7)</f>
        <v/>
      </c>
      <c r="AO7" s="510"/>
      <c r="AP7" s="510"/>
      <c r="AQ7" s="1165">
        <v>0</v>
      </c>
    </row>
    <row customHeight="1" ht="14.25" hidden="1">
      <c r="A8" s="1373"/>
      <c r="B8" s="1373"/>
      <c r="C8" s="1373"/>
      <c r="D8" s="1373"/>
      <c r="E8" s="2269"/>
      <c r="F8" s="2269"/>
      <c r="G8" s="2269"/>
      <c r="H8" s="2269"/>
      <c r="I8" s="2296"/>
      <c r="J8" s="2296"/>
      <c r="K8" s="2266"/>
      <c r="L8" s="1374"/>
      <c r="P8" s="2267"/>
      <c r="Q8" s="2267"/>
      <c r="R8" s="367"/>
      <c r="S8" s="1500"/>
      <c r="T8" s="310"/>
      <c r="U8" s="310"/>
      <c r="V8" s="335"/>
      <c r="W8" s="335"/>
      <c r="X8" s="338" t="str">
        <f>Y7&amp;"-"&amp;AA7</f>
        <v>-</v>
      </c>
      <c r="Y8" s="2276"/>
      <c r="Z8" s="2117"/>
      <c r="AA8" s="2276"/>
      <c r="AB8" s="2117"/>
      <c r="AC8" s="335"/>
      <c r="AD8" s="335"/>
      <c r="AE8" s="338" t="str">
        <f>AF7&amp;"-"&amp;AH7</f>
        <v>-</v>
      </c>
      <c r="AF8" s="2276"/>
      <c r="AG8" s="2117"/>
      <c r="AH8" s="2298"/>
      <c r="AI8" s="2117"/>
      <c r="AJ8" s="1449"/>
      <c r="AK8" s="2359"/>
      <c r="AM8" s="510"/>
      <c r="AN8" s="510" t="str">
        <f>IF(T8="","",T8)</f>
        <v/>
      </c>
      <c r="AO8" s="510"/>
      <c r="AP8" s="510"/>
      <c r="AQ8" s="1165">
        <v>0</v>
      </c>
    </row>
    <row customHeight="1" ht="21" hidden="1">
      <c r="A9" s="1373"/>
      <c r="B9" s="1373"/>
      <c r="C9" s="1373"/>
      <c r="D9" s="1373"/>
      <c r="E9" s="2269"/>
      <c r="F9" s="2269"/>
      <c r="G9" s="2269"/>
      <c r="H9" s="2269"/>
      <c r="I9" s="2296"/>
      <c r="J9" s="2266"/>
      <c r="K9" s="1373"/>
      <c r="L9" s="1374"/>
      <c r="P9" s="2267"/>
      <c r="Q9" s="2267"/>
      <c r="R9" s="366"/>
      <c r="S9" s="1288"/>
      <c r="T9" s="297" t="s">
        <v>508</v>
      </c>
      <c r="U9" s="377"/>
      <c r="V9" s="377"/>
      <c r="W9" s="377"/>
      <c r="X9" s="377"/>
      <c r="Y9" s="377"/>
      <c r="Z9" s="377"/>
      <c r="AA9" s="377"/>
      <c r="AB9" s="377"/>
      <c r="AC9" s="377"/>
      <c r="AD9" s="377"/>
      <c r="AE9" s="377"/>
      <c r="AF9" s="377"/>
      <c r="AG9" s="377"/>
      <c r="AH9" s="377"/>
      <c r="AI9" s="377"/>
      <c r="AJ9" s="377"/>
      <c r="AK9" s="1268" t="s">
        <v>509</v>
      </c>
      <c r="AM9" s="510"/>
      <c r="AN9" s="510" t="str">
        <f>IF(T9="","",T9)</f>
        <v>Добавить значение признака дифференциации</v>
      </c>
      <c r="AO9" s="510"/>
      <c r="AP9" s="510"/>
      <c r="AQ9" s="1165">
        <v>0</v>
      </c>
    </row>
    <row customHeight="1" ht="21" hidden="1">
      <c r="A10" s="1373"/>
      <c r="B10" s="1373"/>
      <c r="C10" s="1373"/>
      <c r="D10" s="1373"/>
      <c r="E10" s="2269"/>
      <c r="F10" s="2269"/>
      <c r="G10" s="2269"/>
      <c r="H10" s="2269"/>
      <c r="I10" s="2266"/>
      <c r="J10" s="1373"/>
      <c r="K10" s="1373"/>
      <c r="L10" s="1374"/>
      <c r="P10" s="2267"/>
      <c r="Q10" s="1491"/>
      <c r="R10" s="366"/>
      <c r="S10" s="1288"/>
      <c r="T10" s="375" t="s">
        <v>434</v>
      </c>
      <c r="U10" s="377"/>
      <c r="V10" s="377"/>
      <c r="W10" s="377"/>
      <c r="X10" s="377"/>
      <c r="Y10" s="377"/>
      <c r="Z10" s="377"/>
      <c r="AA10" s="377"/>
      <c r="AB10" s="376"/>
      <c r="AC10" s="377"/>
      <c r="AD10" s="377"/>
      <c r="AE10" s="377"/>
      <c r="AF10" s="377"/>
      <c r="AG10" s="377"/>
      <c r="AH10" s="377"/>
      <c r="AI10" s="376"/>
      <c r="AJ10" s="377"/>
      <c r="AK10" s="1450"/>
      <c r="AM10" s="510"/>
      <c r="AN10" s="510" t="str">
        <f>IF(T10="","",T10)</f>
        <v>Добавить группу потребителей</v>
      </c>
      <c r="AO10" s="510"/>
      <c r="AP10" s="510"/>
      <c r="AQ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510</v>
      </c>
      <c r="U11" s="377"/>
      <c r="V11" s="377"/>
      <c r="W11" s="377"/>
      <c r="X11" s="377"/>
      <c r="Y11" s="377"/>
      <c r="Z11" s="377"/>
      <c r="AA11" s="377"/>
      <c r="AB11" s="376"/>
      <c r="AC11" s="377"/>
      <c r="AD11" s="377"/>
      <c r="AE11" s="377"/>
      <c r="AF11" s="377"/>
      <c r="AG11" s="377"/>
      <c r="AH11" s="377"/>
      <c r="AI11" s="376"/>
      <c r="AJ11" s="377"/>
      <c r="AK11" s="313"/>
      <c r="AM11" s="510"/>
      <c r="AN11" s="510" t="str">
        <f>IF(T11="","",T11)</f>
        <v>Добавить наименование признака дифференциации</v>
      </c>
      <c r="AO11" s="510"/>
      <c r="AP11" s="510"/>
      <c r="AQ11" s="1165">
        <v>0</v>
      </c>
    </row>
    <row s="1652" customFormat="1" customHeight="1" ht="14.25" hidden="1">
      <c r="A12" s="1353"/>
      <c r="B12" s="1353"/>
      <c r="C12" s="1324"/>
      <c r="D12" s="1324"/>
      <c r="E12" s="2269"/>
      <c r="F12" s="2268"/>
      <c r="G12" s="1324"/>
      <c r="H12" s="1324"/>
      <c r="I12" s="1324"/>
      <c r="J12" s="1324"/>
      <c r="K12" s="1324"/>
      <c r="L12" s="1504"/>
      <c r="M12" s="1331"/>
      <c r="N12" s="1331"/>
      <c r="P12" s="1326"/>
      <c r="Q12" s="1327"/>
      <c r="R12" s="1326"/>
      <c r="S12" s="1332"/>
      <c r="T12" s="1335" t="s">
        <v>437</v>
      </c>
      <c r="U12" s="1334"/>
      <c r="V12" s="1334"/>
      <c r="W12" s="1334"/>
      <c r="X12" s="1334"/>
      <c r="Y12" s="1334"/>
      <c r="Z12" s="1334"/>
      <c r="AA12" s="1334"/>
      <c r="AB12" s="1334"/>
      <c r="AC12" s="1334"/>
      <c r="AD12" s="1334"/>
      <c r="AE12" s="1334"/>
      <c r="AF12" s="1334"/>
      <c r="AG12" s="1334"/>
      <c r="AH12" s="1334"/>
      <c r="AI12" s="1334"/>
      <c r="AJ12" s="1334"/>
      <c r="AK12" s="1334"/>
      <c r="AM12" s="799"/>
      <c r="AN12" s="799" t="str">
        <f>IF(T12="","",T12)</f>
        <v>Добавить централизованную систему для дифференциации</v>
      </c>
      <c r="AO12" s="799"/>
      <c r="AP12" s="799"/>
      <c r="AQ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438</v>
      </c>
      <c r="U13" s="1334"/>
      <c r="V13" s="1334"/>
      <c r="W13" s="1334"/>
      <c r="X13" s="1334"/>
      <c r="Y13" s="1334"/>
      <c r="Z13" s="1334"/>
      <c r="AA13" s="1334"/>
      <c r="AB13" s="1334"/>
      <c r="AC13" s="1334"/>
      <c r="AD13" s="1334"/>
      <c r="AE13" s="1334"/>
      <c r="AF13" s="1334"/>
      <c r="AG13" s="1334"/>
      <c r="AH13" s="1334"/>
      <c r="AI13" s="1334"/>
      <c r="AJ13" s="1334"/>
      <c r="AK13" s="1334"/>
      <c r="AM13" s="510"/>
      <c r="AN13" s="510" t="str">
        <f>IF(T13="","",T13)</f>
        <v>Добавить территорию для дифференциации</v>
      </c>
      <c r="AO13" s="510"/>
      <c r="AP13" s="510"/>
      <c r="AQ13" s="521">
        <v>0</v>
      </c>
    </row>
    <row customHeight="1" ht="14.25" hidden="1">
      <c r="AB14" s="337"/>
      <c r="AI14" s="337"/>
      <c r="AQ14" s="1165">
        <v>0</v>
      </c>
    </row>
    <row customHeight="1" ht="14.25" hidden="1">
      <c r="AC15" s="1370"/>
      <c r="AD15" s="1370"/>
      <c r="AE15" s="1371"/>
      <c r="AF15" s="2277"/>
      <c r="AG15" s="2278" t="s">
        <v>66</v>
      </c>
      <c r="AH15" s="2277"/>
      <c r="AI15" s="2278" t="s">
        <v>66</v>
      </c>
      <c r="AQ15" s="1165">
        <v>0</v>
      </c>
    </row>
    <row customHeight="1" ht="14.25" hidden="1">
      <c r="AC16" s="1370"/>
      <c r="AD16" s="1370"/>
      <c r="AE16" s="338" t="str">
        <f>AF15&amp;"-"&amp;AH15</f>
        <v>-</v>
      </c>
      <c r="AF16" s="2278"/>
      <c r="AG16" s="2278"/>
      <c r="AH16" s="2278"/>
      <c r="AI16" s="2278"/>
      <c r="AQ16" s="1165">
        <v>0</v>
      </c>
    </row>
    <row customHeight="1" ht="14.25" hidden="1">
      <c r="AI17" s="337"/>
      <c r="AQ17" s="1165">
        <v>0</v>
      </c>
    </row>
    <row s="1376" customFormat="1" customHeight="1" ht="22.5" hidden="1">
      <c r="L18" s="1488"/>
      <c r="M18" s="1372"/>
      <c r="N18" s="1372"/>
      <c r="O18" s="1377" t="s">
        <v>439</v>
      </c>
      <c r="P18" s="1372"/>
      <c r="Q18" s="1381"/>
      <c r="R18" s="1381"/>
      <c r="S18" s="739"/>
      <c r="Y18" s="1377"/>
      <c r="AA18" s="1377"/>
      <c r="AB18" s="1376"/>
      <c r="AF18" s="1377"/>
      <c r="AH18" s="1377"/>
      <c r="AI18" s="1376"/>
      <c r="AL18" s="521"/>
      <c r="AM18" s="521"/>
      <c r="AN18" s="521"/>
      <c r="AO18" s="521"/>
      <c r="AP18" s="521"/>
      <c r="AQ18" s="1170">
        <v>0</v>
      </c>
    </row>
    <row s="1376" customFormat="1" customHeight="1" ht="14.25" hidden="1">
      <c r="L19" s="1488"/>
      <c r="M19" s="1372"/>
      <c r="N19" s="1372"/>
      <c r="O19" s="1372"/>
      <c r="P19" s="1372"/>
      <c r="Q19" s="1381"/>
      <c r="R19" s="1381"/>
      <c r="S19" s="739"/>
      <c r="AB19" s="1376"/>
      <c r="AI19" s="1376"/>
      <c r="AL19" s="521"/>
      <c r="AM19" s="521"/>
      <c r="AN19" s="521"/>
      <c r="AO19" s="521"/>
      <c r="AP19" s="521"/>
      <c r="AQ19" s="1170">
        <v>0</v>
      </c>
    </row>
    <row s="1376" customFormat="1" customHeight="1" ht="12" hidden="1">
      <c r="L20" s="1488"/>
      <c r="M20" s="1372"/>
      <c r="N20" s="1372"/>
      <c r="O20" s="1374" t="s">
        <v>440</v>
      </c>
      <c r="P20" s="1372"/>
      <c r="Q20" s="1452"/>
      <c r="R20" s="1452"/>
      <c r="S20" s="739"/>
      <c r="T20" s="1170" t="s">
        <v>441</v>
      </c>
      <c r="Z20" s="196" t="s">
        <v>442</v>
      </c>
      <c r="AB20" s="196" t="s">
        <v>443</v>
      </c>
      <c r="AC20" s="1170" t="s">
        <v>441</v>
      </c>
      <c r="AG20" s="196" t="s">
        <v>444</v>
      </c>
      <c r="AI20" s="196" t="s">
        <v>443</v>
      </c>
      <c r="AQ20" s="1170">
        <v>0</v>
      </c>
    </row>
    <row customHeight="1" ht="14.25" hidden="1">
      <c r="O21" s="1374"/>
      <c r="AQ21" s="1165">
        <v>0</v>
      </c>
    </row>
    <row customHeight="1" ht="14.25" hidden="1">
      <c r="O22" s="1374"/>
      <c r="AQ22" s="1165">
        <v>0</v>
      </c>
    </row>
    <row customHeight="1" ht="14.699999999999998">
      <c r="Q23" s="386"/>
      <c r="R23" s="386"/>
      <c r="S23" s="1285"/>
      <c r="T23" s="373"/>
      <c r="U23" s="373"/>
      <c r="V23" s="519"/>
      <c r="W23" s="519"/>
      <c r="X23" s="519"/>
      <c r="Y23" s="519"/>
      <c r="Z23" s="519"/>
      <c r="AA23" s="519"/>
      <c r="AB23" s="519"/>
      <c r="AC23" s="519"/>
      <c r="AD23" s="519"/>
      <c r="AE23" s="519"/>
      <c r="AF23" s="519"/>
      <c r="AG23" s="519"/>
      <c r="AH23" s="519"/>
      <c r="AI23" s="519"/>
      <c r="AQ23" s="1165">
        <v>14</v>
      </c>
    </row>
    <row customHeight="1" ht="14.699999999999998">
      <c r="Q24" s="386"/>
      <c r="R24" s="386"/>
      <c r="S24" s="225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8"/>
      <c r="U24" s="2258"/>
      <c r="V24" s="2258"/>
      <c r="W24" s="2258"/>
      <c r="X24" s="2258"/>
      <c r="Y24" s="2258"/>
      <c r="Z24" s="2258"/>
      <c r="AA24" s="2258"/>
      <c r="AB24" s="2258"/>
      <c r="AC24" s="2258"/>
      <c r="AD24" s="2258"/>
      <c r="AE24" s="2258"/>
      <c r="AF24" s="2258"/>
      <c r="AG24" s="2258"/>
      <c r="AH24" s="2258"/>
      <c r="AI24" s="1253"/>
      <c r="AQ24" s="1165">
        <v>14</v>
      </c>
    </row>
    <row customHeight="1" ht="14.699999999999998">
      <c r="Q25" s="386"/>
      <c r="R25" s="386"/>
      <c r="S25" s="2259" t="str">
        <f>IF(org=0,"Не определено",org)</f>
        <v>АО «ДГК» СП «Нерюнгринская ГРЭС»</v>
      </c>
      <c r="T25" s="2259"/>
      <c r="U25" s="2259"/>
      <c r="V25" s="2259"/>
      <c r="W25" s="2259"/>
      <c r="X25" s="2259"/>
      <c r="Y25" s="2259"/>
      <c r="Z25" s="2259"/>
      <c r="AA25" s="2259"/>
      <c r="AB25" s="2259"/>
      <c r="AC25" s="2259"/>
      <c r="AD25" s="2259"/>
      <c r="AE25" s="2259"/>
      <c r="AF25" s="2259"/>
      <c r="AG25" s="2259"/>
      <c r="AH25" s="2259"/>
      <c r="AI25" s="1253"/>
      <c r="AQ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519"/>
      <c r="AQ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336"/>
      <c r="AC27" s="2261" t="str">
        <f>IF(TITLE_NAME_OR_PR_CHANGE="",IF(TITLE_NAME_OR_PR="","",TITLE_NAME_OR_PR),TITLE_NAME_OR_PR_CHANGE)</f>
        <v/>
      </c>
      <c r="AD27" s="2261"/>
      <c r="AE27" s="2261"/>
      <c r="AF27" s="2261"/>
      <c r="AG27" s="2261"/>
      <c r="AH27" s="2261"/>
      <c r="AI27" s="336"/>
      <c r="AJ27" s="336"/>
      <c r="AK27" s="290"/>
      <c r="AL27" s="378"/>
      <c r="AM27" s="378"/>
      <c r="AN27" s="378"/>
      <c r="AO27" s="378"/>
      <c r="AP27" s="378"/>
      <c r="AQ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445</v>
      </c>
      <c r="T28" s="2260"/>
      <c r="U28" s="1382"/>
      <c r="V28" s="2274" t="str">
        <f>IF(TITLE_DATE_PR_CHANGE="",IF(TITLE_DATE_PR="","",TITLE_DATE_PR),TITLE_DATE_PR_CHANGE)</f>
        <v/>
      </c>
      <c r="W28" s="2274"/>
      <c r="X28" s="2274"/>
      <c r="Y28" s="2274"/>
      <c r="Z28" s="2274"/>
      <c r="AA28" s="2274"/>
      <c r="AB28" s="336"/>
      <c r="AC28" s="2274" t="str">
        <f>IF(TITLE_DATE_PR_CHANGE="",IF(TITLE_DATE_PR="","",TITLE_DATE_PR),TITLE_DATE_PR_CHANGE)</f>
        <v/>
      </c>
      <c r="AD28" s="2274"/>
      <c r="AE28" s="2274"/>
      <c r="AF28" s="2274"/>
      <c r="AG28" s="2274"/>
      <c r="AH28" s="2274"/>
      <c r="AI28" s="336"/>
      <c r="AJ28" s="336"/>
      <c r="AK28" s="290"/>
      <c r="AL28" s="378"/>
      <c r="AM28" s="378"/>
      <c r="AN28" s="378"/>
      <c r="AO28" s="378"/>
      <c r="AP28" s="378"/>
      <c r="AQ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446</v>
      </c>
      <c r="T29" s="2260"/>
      <c r="U29" s="1382"/>
      <c r="V29" s="2261" t="str">
        <f>IF(TITLE_NUMBER_PR_CHANGE="",IF(TITLE_NUMBER_PR="","",TITLE_NUMBER_PR),TITLE_NUMBER_PR_CHANGE)</f>
        <v/>
      </c>
      <c r="W29" s="2261"/>
      <c r="X29" s="2261"/>
      <c r="Y29" s="2261"/>
      <c r="Z29" s="2261"/>
      <c r="AA29" s="2261"/>
      <c r="AB29" s="336"/>
      <c r="AC29" s="2261" t="str">
        <f>IF(TITLE_NUMBER_PR_CHANGE="",IF(TITLE_NUMBER_PR="","",TITLE_NUMBER_PR),TITLE_NUMBER_PR_CHANGE)</f>
        <v/>
      </c>
      <c r="AD29" s="2261"/>
      <c r="AE29" s="2261"/>
      <c r="AF29" s="2261"/>
      <c r="AG29" s="2261"/>
      <c r="AH29" s="2261"/>
      <c r="AI29" s="336"/>
      <c r="AJ29" s="336"/>
      <c r="AK29" s="290"/>
      <c r="AL29" s="378"/>
      <c r="AM29" s="378"/>
      <c r="AN29" s="378"/>
      <c r="AO29" s="378"/>
      <c r="AP29" s="378"/>
      <c r="AQ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336"/>
      <c r="AC30" s="2261" t="str">
        <f>IF(TITLE_IST_PUB_CHANGE="",IF(TITLE_IST_PUB="","",TITLE_IST_PUB),TITLE_IST_PUB_CHANGE)</f>
        <v/>
      </c>
      <c r="AD30" s="2261"/>
      <c r="AE30" s="2261"/>
      <c r="AF30" s="2261"/>
      <c r="AG30" s="2261"/>
      <c r="AH30" s="2261"/>
      <c r="AI30" s="336"/>
      <c r="AJ30" s="336"/>
      <c r="AK30" s="290"/>
      <c r="AL30" s="378"/>
      <c r="AM30" s="378"/>
      <c r="AN30" s="378"/>
      <c r="AO30" s="378"/>
      <c r="AP30" s="378"/>
      <c r="AQ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519"/>
      <c r="AQ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447</v>
      </c>
      <c r="T32" s="2260"/>
      <c r="U32" s="1382"/>
      <c r="V32" s="2274" t="str">
        <f>IF(TITLE_DATE_PR_CHANGE="",IF(TITLE_DATE_PR="","",TITLE_DATE_PR),TITLE_DATE_PR_CHANGE)</f>
        <v/>
      </c>
      <c r="W32" s="2274"/>
      <c r="X32" s="2274"/>
      <c r="Y32" s="2274"/>
      <c r="Z32" s="2274"/>
      <c r="AA32" s="2274"/>
      <c r="AB32" s="336"/>
      <c r="AC32" s="2274" t="str">
        <f>IF(TITLE_DATE_PR_CHANGE="",IF(TITLE_DATE_PR="","",TITLE_DATE_PR),TITLE_DATE_PR_CHANGE)</f>
        <v/>
      </c>
      <c r="AD32" s="2274"/>
      <c r="AE32" s="2274"/>
      <c r="AF32" s="2274"/>
      <c r="AG32" s="2274"/>
      <c r="AH32" s="2274"/>
      <c r="AI32" s="336"/>
      <c r="AJ32" s="336"/>
      <c r="AK32" s="290"/>
      <c r="AL32" s="378"/>
      <c r="AM32" s="378"/>
      <c r="AN32" s="378"/>
      <c r="AO32" s="378"/>
      <c r="AP32" s="378"/>
      <c r="AQ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448</v>
      </c>
      <c r="T33" s="2260"/>
      <c r="U33" s="1382"/>
      <c r="V33" s="2261" t="str">
        <f>IF(TITLE_NUMBER_PR_CHANGE="",IF(TITLE_NUMBER_PR="","",TITLE_NUMBER_PR),TITLE_NUMBER_PR_CHANGE)</f>
        <v/>
      </c>
      <c r="W33" s="2261"/>
      <c r="X33" s="2261"/>
      <c r="Y33" s="2261"/>
      <c r="Z33" s="2261"/>
      <c r="AA33" s="2261"/>
      <c r="AB33" s="336"/>
      <c r="AC33" s="2261" t="str">
        <f>IF(TITLE_NUMBER_PR_CHANGE="",IF(TITLE_NUMBER_PR="","",TITLE_NUMBER_PR),TITLE_NUMBER_PR_CHANGE)</f>
        <v/>
      </c>
      <c r="AD33" s="2261"/>
      <c r="AE33" s="2261"/>
      <c r="AF33" s="2261"/>
      <c r="AG33" s="2261"/>
      <c r="AH33" s="2261"/>
      <c r="AI33" s="336"/>
      <c r="AJ33" s="336"/>
      <c r="AK33" s="290"/>
      <c r="AL33" s="378"/>
      <c r="AM33" s="378"/>
      <c r="AN33" s="378"/>
      <c r="AO33" s="378"/>
      <c r="AP33" s="378"/>
      <c r="AQ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98"/>
      <c r="V34" s="336"/>
      <c r="W34" s="336"/>
      <c r="X34" s="336"/>
      <c r="Y34" s="336"/>
      <c r="Z34" s="336"/>
      <c r="AA34" s="336"/>
      <c r="AB34" s="288" t="s">
        <v>449</v>
      </c>
      <c r="AC34" s="336"/>
      <c r="AD34" s="336"/>
      <c r="AE34" s="336"/>
      <c r="AF34" s="336"/>
      <c r="AG34" s="336"/>
      <c r="AH34" s="336"/>
      <c r="AI34" s="288" t="s">
        <v>449</v>
      </c>
      <c r="AL34" s="378"/>
      <c r="AM34" s="378"/>
      <c r="AN34" s="378"/>
      <c r="AO34" s="378"/>
      <c r="AP34" s="378"/>
      <c r="AQ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Q35" s="1165">
        <v>14</v>
      </c>
    </row>
    <row customHeight="1" ht="14.699999999999998">
      <c r="Q36" s="386"/>
      <c r="R36" s="386"/>
      <c r="S36" s="2137" t="s">
        <v>322</v>
      </c>
      <c r="T36" s="2137"/>
      <c r="U36" s="2137"/>
      <c r="V36" s="2137"/>
      <c r="W36" s="2137"/>
      <c r="X36" s="2137"/>
      <c r="Y36" s="2137"/>
      <c r="Z36" s="2137"/>
      <c r="AA36" s="2137"/>
      <c r="AB36" s="2137"/>
      <c r="AC36" s="2137"/>
      <c r="AD36" s="2137"/>
      <c r="AE36" s="2137"/>
      <c r="AF36" s="2137"/>
      <c r="AG36" s="2137"/>
      <c r="AH36" s="2137"/>
      <c r="AI36" s="2137"/>
      <c r="AJ36" s="2137"/>
      <c r="AK36" s="2137" t="s">
        <v>323</v>
      </c>
      <c r="AQ36" s="1165">
        <v>14</v>
      </c>
    </row>
    <row customHeight="1" ht="14.699999999999998">
      <c r="Q37" s="386"/>
      <c r="R37" s="386"/>
      <c r="S37" s="2283" t="s">
        <v>88</v>
      </c>
      <c r="T37" s="2219" t="s">
        <v>450</v>
      </c>
      <c r="U37" s="311"/>
      <c r="V37" s="2284" t="s">
        <v>451</v>
      </c>
      <c r="W37" s="2285"/>
      <c r="X37" s="2285"/>
      <c r="Y37" s="2285"/>
      <c r="Z37" s="2285"/>
      <c r="AA37" s="2286"/>
      <c r="AB37" s="2287" t="s">
        <v>452</v>
      </c>
      <c r="AC37" s="2284" t="s">
        <v>451</v>
      </c>
      <c r="AD37" s="2285"/>
      <c r="AE37" s="2285"/>
      <c r="AF37" s="2285"/>
      <c r="AG37" s="2285"/>
      <c r="AH37" s="2286"/>
      <c r="AI37" s="2287" t="s">
        <v>453</v>
      </c>
      <c r="AJ37" s="2290" t="s">
        <v>454</v>
      </c>
      <c r="AK37" s="2137"/>
      <c r="AQ37" s="1165">
        <v>14</v>
      </c>
    </row>
    <row customHeight="1" ht="35.699999999999996">
      <c r="Q38" s="386"/>
      <c r="R38" s="386"/>
      <c r="S38" s="2283"/>
      <c r="T38" s="2219"/>
      <c r="U38" s="1041"/>
      <c r="V38" s="1493" t="s">
        <v>511</v>
      </c>
      <c r="W38" s="2272" t="s">
        <v>457</v>
      </c>
      <c r="X38" s="2273"/>
      <c r="Y38" s="2272" t="s">
        <v>458</v>
      </c>
      <c r="Z38" s="2279"/>
      <c r="AA38" s="2273"/>
      <c r="AB38" s="2288"/>
      <c r="AC38" s="1493" t="s">
        <v>511</v>
      </c>
      <c r="AD38" s="2272" t="s">
        <v>457</v>
      </c>
      <c r="AE38" s="2273"/>
      <c r="AF38" s="2272" t="s">
        <v>458</v>
      </c>
      <c r="AG38" s="2279"/>
      <c r="AH38" s="2273"/>
      <c r="AI38" s="2288"/>
      <c r="AJ38" s="2291"/>
      <c r="AK38" s="2137"/>
      <c r="AQ38" s="1165">
        <v>34</v>
      </c>
    </row>
    <row customHeight="1" ht="90.3">
      <c r="A39" s="1380"/>
      <c r="B39" s="1380" t="s">
        <v>159</v>
      </c>
      <c r="C39" s="1380" t="s">
        <v>160</v>
      </c>
      <c r="D39" s="1380" t="s">
        <v>161</v>
      </c>
      <c r="E39" s="1374" t="s">
        <v>459</v>
      </c>
      <c r="F39" s="1374" t="s">
        <v>460</v>
      </c>
      <c r="G39" s="1374" t="s">
        <v>461</v>
      </c>
      <c r="H39" s="1374"/>
      <c r="I39" s="1374" t="s">
        <v>512</v>
      </c>
      <c r="J39" s="1374" t="s">
        <v>464</v>
      </c>
      <c r="K39" s="1374" t="s">
        <v>513</v>
      </c>
      <c r="L39" s="1374" t="s">
        <v>440</v>
      </c>
      <c r="Q39" s="386"/>
      <c r="R39" s="386"/>
      <c r="S39" s="2283"/>
      <c r="T39" s="2219"/>
      <c r="U39" s="312"/>
      <c r="V39" s="1493" t="s">
        <v>540</v>
      </c>
      <c r="W39" s="1232" t="s">
        <v>541</v>
      </c>
      <c r="X39" s="1232" t="s">
        <v>516</v>
      </c>
      <c r="Y39" s="1499" t="s">
        <v>468</v>
      </c>
      <c r="Z39" s="2280" t="s">
        <v>469</v>
      </c>
      <c r="AA39" s="2281"/>
      <c r="AB39" s="2289"/>
      <c r="AC39" s="1493" t="s">
        <v>540</v>
      </c>
      <c r="AD39" s="1232" t="s">
        <v>541</v>
      </c>
      <c r="AE39" s="1232" t="s">
        <v>516</v>
      </c>
      <c r="AF39" s="1499" t="s">
        <v>468</v>
      </c>
      <c r="AG39" s="2280" t="s">
        <v>469</v>
      </c>
      <c r="AH39" s="2281"/>
      <c r="AI39" s="2289"/>
      <c r="AJ39" s="2292"/>
      <c r="AK39" s="2137"/>
      <c r="AQ39" s="1165">
        <v>86</v>
      </c>
    </row>
    <row s="1651" customFormat="1" customHeight="1" ht="11.25" hidden="1">
      <c r="A40" s="1380"/>
      <c r="B40" s="1380"/>
      <c r="C40" s="1380"/>
      <c r="D40" s="1380"/>
      <c r="E40" s="1380"/>
      <c r="F40" s="1380"/>
      <c r="G40" s="1380"/>
      <c r="H40" s="1380"/>
      <c r="I40" s="1380"/>
      <c r="J40" s="1380"/>
      <c r="K40" s="1380"/>
      <c r="L40" s="1374"/>
      <c r="M40" s="1372"/>
      <c r="N40" s="1372"/>
      <c r="O40" s="1372"/>
      <c r="P40" s="1256"/>
      <c r="Q40" s="1257"/>
      <c r="R40" s="1264">
        <v>1</v>
      </c>
      <c r="S40" s="1287" t="s">
        <v>124</v>
      </c>
      <c r="T40" s="1265" t="s">
        <v>104</v>
      </c>
      <c r="U40" s="1255" t="str">
        <f>OFFSET(U40,0,-1)</f>
        <v>2</v>
      </c>
      <c r="V40" s="1492">
        <f>OFFSET(V40,0,-1)+1</f>
        <v>3</v>
      </c>
      <c r="W40" s="1492">
        <f>OFFSET(W40,0,-1)+1</f>
        <v>4</v>
      </c>
      <c r="X40" s="1492">
        <f>OFFSET(X40,0,-1)+1</f>
        <v>5</v>
      </c>
      <c r="Y40" s="1492">
        <f>OFFSET(Y40,0,-1)+1</f>
        <v>6</v>
      </c>
      <c r="Z40" s="2282">
        <f>OFFSET(Z40,0,-1)+1</f>
        <v>7</v>
      </c>
      <c r="AA40" s="2282"/>
      <c r="AB40" s="1492">
        <f>OFFSET(AB40,0,-2)+1</f>
        <v>8</v>
      </c>
      <c r="AC40" s="1492">
        <f>OFFSET(AC40,0,-1)+1</f>
        <v>9</v>
      </c>
      <c r="AD40" s="1492">
        <f>OFFSET(AD40,0,-1)+1</f>
        <v>10</v>
      </c>
      <c r="AE40" s="1492">
        <f>OFFSET(AE40,0,-1)+1</f>
        <v>11</v>
      </c>
      <c r="AF40" s="1492">
        <f>OFFSET(AF40,0,-1)+1</f>
        <v>12</v>
      </c>
      <c r="AG40" s="2282">
        <f>OFFSET(AG40,0,-1)+1</f>
        <v>13</v>
      </c>
      <c r="AH40" s="2282"/>
      <c r="AI40" s="1492">
        <f>OFFSET(AI40,0,-2)+1</f>
        <v>14</v>
      </c>
      <c r="AJ40" s="1255">
        <f>OFFSET(AJ40,0,-1)</f>
        <v>14</v>
      </c>
      <c r="AK40" s="1492">
        <f>OFFSET(AK40,0,-1)+1</f>
        <v>15</v>
      </c>
      <c r="AL40" s="521"/>
      <c r="AM40" s="521"/>
      <c r="AN40" s="521"/>
      <c r="AO40" s="521"/>
      <c r="AP40" s="521"/>
      <c r="AQ40" s="506">
        <v>0</v>
      </c>
    </row>
    <row customHeight="1" ht="24">
      <c r="A41" s="1373" t="s">
        <v>288</v>
      </c>
      <c r="B41" s="1373"/>
      <c r="C41" s="1373"/>
      <c r="D41" s="1373"/>
      <c r="E41" s="2268">
        <v>1</v>
      </c>
      <c r="F41" s="1373"/>
      <c r="G41" s="1373"/>
      <c r="H41" s="1373"/>
      <c r="I41" s="1373"/>
      <c r="J41" s="1373"/>
      <c r="K41" s="1373"/>
      <c r="L41" s="1374"/>
      <c r="M41" s="1375"/>
      <c r="N41" s="1375"/>
      <c r="O41" s="1375"/>
      <c r="P41" s="371"/>
      <c r="Q41" s="370"/>
      <c r="R41" s="365"/>
      <c r="S41" s="1503">
        <f>INDEX(PT_DIFFERENTIATION_NUM_NTAR,MATCH(A41,PT_DIFFERENTIATION_NTAR_ID,0))</f>
        <v>0</v>
      </c>
      <c r="T41" s="308" t="s">
        <v>147</v>
      </c>
      <c r="U41" s="310"/>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0"/>
      <c r="AN41" s="510" t="str">
        <f>IF(T41="","",T41)</f>
        <v>Наименование тарифа</v>
      </c>
      <c r="AO41" s="510"/>
      <c r="AP41" s="510"/>
      <c r="AQ41" s="1165">
        <v>23</v>
      </c>
    </row>
    <row customHeight="1" ht="24">
      <c r="A42" s="1373" t="s">
        <v>288</v>
      </c>
      <c r="B42" s="1373" t="s">
        <v>289</v>
      </c>
      <c r="C42" s="1373"/>
      <c r="D42" s="1373"/>
      <c r="E42" s="2269"/>
      <c r="F42" s="2268">
        <v>1</v>
      </c>
      <c r="G42" s="1373"/>
      <c r="H42" s="1373"/>
      <c r="I42" s="1373"/>
      <c r="J42" s="1373"/>
      <c r="K42" s="1373"/>
      <c r="L42" s="1374"/>
      <c r="M42" s="1375"/>
      <c r="N42" s="1375"/>
      <c r="O42" s="1375"/>
      <c r="P42" s="1497"/>
      <c r="Q42" s="362"/>
      <c r="R42" s="363"/>
      <c r="S42" s="1503" t="str">
        <f>INDEX(PT_DIFFERENTIATION_NUM_TER,MATCH(B42,PT_DIFFERENTIATION_TER_ID,0))</f>
        <v>.</v>
      </c>
      <c r="T42" s="318" t="s">
        <v>419</v>
      </c>
      <c r="U42" s="310"/>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268" t="s">
        <v>420</v>
      </c>
      <c r="AM42" s="510"/>
      <c r="AN42" s="510" t="str">
        <f>IF(T42="","",T42)</f>
        <v>Территория действия тарифа</v>
      </c>
      <c r="AO42" s="510"/>
      <c r="AP42" s="510"/>
      <c r="AQ42" s="1165">
        <v>23</v>
      </c>
    </row>
    <row customHeight="1" ht="24">
      <c r="A43" s="1373" t="s">
        <v>288</v>
      </c>
      <c r="B43" s="1373" t="s">
        <v>289</v>
      </c>
      <c r="C43" s="1373" t="s">
        <v>290</v>
      </c>
      <c r="D43" s="1373"/>
      <c r="E43" s="2269"/>
      <c r="F43" s="2269"/>
      <c r="G43" s="2268">
        <v>1</v>
      </c>
      <c r="H43" s="1373"/>
      <c r="I43" s="1373"/>
      <c r="J43" s="1373"/>
      <c r="K43" s="1373"/>
      <c r="L43" s="1374"/>
      <c r="M43" s="1375"/>
      <c r="N43" s="1375"/>
      <c r="O43" s="1375"/>
      <c r="P43" s="364"/>
      <c r="Q43" s="362"/>
      <c r="R43" s="363"/>
      <c r="S43" s="1503" t="str">
        <f>INDEX(PT_DIFFERENTIATION_NUM_CS,MATCH(C43,PT_DIFFERENTIATION_CS_ID,0))</f>
        <v>..</v>
      </c>
      <c r="T43" s="319" t="s">
        <v>538</v>
      </c>
      <c r="U43" s="310"/>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268" t="s">
        <v>539</v>
      </c>
      <c r="AM43" s="510"/>
      <c r="AN43" s="510" t="str">
        <f>IF(T43="","",T43)</f>
        <v>Наименование централизованной системы водоотведения</v>
      </c>
      <c r="AO43" s="510"/>
      <c r="AP43" s="510"/>
      <c r="AQ43" s="1165">
        <v>23</v>
      </c>
    </row>
    <row customHeight="1" ht="24">
      <c r="A44" s="1373" t="s">
        <v>288</v>
      </c>
      <c r="B44" s="1373" t="s">
        <v>289</v>
      </c>
      <c r="C44" s="1373" t="s">
        <v>290</v>
      </c>
      <c r="D44" s="1373" t="s">
        <v>542</v>
      </c>
      <c r="E44" s="2269"/>
      <c r="F44" s="2269"/>
      <c r="G44" s="2269"/>
      <c r="H44" s="2269"/>
      <c r="I44" s="2266" t="str">
        <f>S43&amp;".1"</f>
        <v>...1</v>
      </c>
      <c r="J44" s="1373"/>
      <c r="K44" s="1373"/>
      <c r="L44" s="1374"/>
      <c r="P44" s="2267">
        <v>1</v>
      </c>
      <c r="Q44" s="1491"/>
      <c r="R44" s="366"/>
      <c r="S44" s="1503" t="str">
        <f>$I44</f>
        <v>...1</v>
      </c>
      <c r="T44" s="295" t="s">
        <v>505</v>
      </c>
      <c r="U44" s="310"/>
      <c r="V44" s="2360"/>
      <c r="W44" s="2361"/>
      <c r="X44" s="2361"/>
      <c r="Y44" s="2361"/>
      <c r="Z44" s="2361"/>
      <c r="AA44" s="2361"/>
      <c r="AB44" s="2362"/>
      <c r="AC44" s="2363"/>
      <c r="AD44" s="2364"/>
      <c r="AE44" s="2364"/>
      <c r="AF44" s="2364"/>
      <c r="AG44" s="2364"/>
      <c r="AH44" s="2364"/>
      <c r="AI44" s="2364"/>
      <c r="AJ44" s="2365"/>
      <c r="AK44" s="1268" t="s">
        <v>506</v>
      </c>
      <c r="AM44" s="510"/>
      <c r="AN44" s="510" t="str">
        <f>IF(T44="","",T44)</f>
        <v>Наименование признака дифференциации</v>
      </c>
      <c r="AO44" s="510"/>
      <c r="AP44" s="510"/>
      <c r="AQ44" s="1165">
        <v>23</v>
      </c>
    </row>
    <row customHeight="1" ht="24">
      <c r="A45" s="1373" t="s">
        <v>288</v>
      </c>
      <c r="B45" s="1373" t="s">
        <v>289</v>
      </c>
      <c r="C45" s="1373" t="s">
        <v>290</v>
      </c>
      <c r="D45" s="1373" t="s">
        <v>542</v>
      </c>
      <c r="E45" s="2269"/>
      <c r="F45" s="2269"/>
      <c r="G45" s="2269"/>
      <c r="H45" s="2269"/>
      <c r="I45" s="2296"/>
      <c r="J45" s="2266" t="str">
        <f>I44&amp;".1"</f>
        <v>...1.1</v>
      </c>
      <c r="K45" s="1373"/>
      <c r="L45" s="1374" t="s">
        <v>428</v>
      </c>
      <c r="P45" s="2267"/>
      <c r="Q45" s="2267">
        <v>1</v>
      </c>
      <c r="R45" s="367"/>
      <c r="S45" s="1503" t="str">
        <f>$J45</f>
        <v>...1.1</v>
      </c>
      <c r="T45" s="296" t="s">
        <v>429</v>
      </c>
      <c r="U45" s="310"/>
      <c r="V45" s="2255"/>
      <c r="W45" s="2256"/>
      <c r="X45" s="2256"/>
      <c r="Y45" s="2256"/>
      <c r="Z45" s="2256"/>
      <c r="AA45" s="2256"/>
      <c r="AB45" s="2257"/>
      <c r="AC45" s="2255"/>
      <c r="AD45" s="2256"/>
      <c r="AE45" s="2256"/>
      <c r="AF45" s="2256"/>
      <c r="AG45" s="2256"/>
      <c r="AH45" s="2256"/>
      <c r="AI45" s="2256"/>
      <c r="AJ45" s="2257"/>
      <c r="AK45" s="1317" t="s">
        <v>507</v>
      </c>
      <c r="AM45" s="510"/>
      <c r="AN45" s="510" t="str">
        <f>IF(T45="","",T45)</f>
        <v>Группа потребителей</v>
      </c>
      <c r="AO45" s="510"/>
      <c r="AP45" s="510"/>
      <c r="AQ45" s="1165">
        <v>23</v>
      </c>
    </row>
    <row customHeight="1" ht="24">
      <c r="A46" s="1373" t="s">
        <v>288</v>
      </c>
      <c r="B46" s="1373" t="s">
        <v>289</v>
      </c>
      <c r="C46" s="1373" t="s">
        <v>290</v>
      </c>
      <c r="D46" s="1373" t="s">
        <v>542</v>
      </c>
      <c r="E46" s="2269"/>
      <c r="F46" s="2269"/>
      <c r="G46" s="2269"/>
      <c r="H46" s="2269"/>
      <c r="I46" s="2296"/>
      <c r="J46" s="2296"/>
      <c r="K46" s="2266" t="str">
        <f>J45&amp;".1"</f>
        <v>...1.1.1</v>
      </c>
      <c r="L46" s="1374"/>
      <c r="P46" s="2267"/>
      <c r="Q46" s="2267"/>
      <c r="R46" s="367">
        <v>1</v>
      </c>
      <c r="S46" s="1503" t="str">
        <f>$K46</f>
        <v>...1.1.1</v>
      </c>
      <c r="T46" s="1447"/>
      <c r="U46" s="310"/>
      <c r="V46" s="1370"/>
      <c r="W46" s="1370"/>
      <c r="X46" s="1371"/>
      <c r="Y46" s="2277"/>
      <c r="Z46" s="2278" t="s">
        <v>66</v>
      </c>
      <c r="AA46" s="2277"/>
      <c r="AB46" s="2278" t="s">
        <v>66</v>
      </c>
      <c r="AC46" s="761"/>
      <c r="AD46" s="761"/>
      <c r="AE46" s="1267"/>
      <c r="AF46" s="2275"/>
      <c r="AG46" s="2117" t="s">
        <v>66</v>
      </c>
      <c r="AH46" s="2297"/>
      <c r="AI46" s="2117" t="s">
        <v>19</v>
      </c>
      <c r="AJ46" s="1448"/>
      <c r="AK46"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1">
        <f>STRCHECKDATE(V47:AJ47)</f>
      </c>
      <c r="AM46" s="510"/>
      <c r="AN46" s="510" t="str">
        <f>IF(T46="","",T46)</f>
        <v/>
      </c>
      <c r="AO46" s="510"/>
      <c r="AP46" s="510"/>
      <c r="AQ46" s="1165">
        <v>23</v>
      </c>
    </row>
    <row customHeight="1" ht="0">
      <c r="A47" s="1373" t="s">
        <v>288</v>
      </c>
      <c r="B47" s="1373" t="s">
        <v>289</v>
      </c>
      <c r="C47" s="1373" t="s">
        <v>290</v>
      </c>
      <c r="D47" s="1373" t="s">
        <v>542</v>
      </c>
      <c r="E47" s="2269"/>
      <c r="F47" s="2269"/>
      <c r="G47" s="2269"/>
      <c r="H47" s="2269"/>
      <c r="I47" s="2296"/>
      <c r="J47" s="2296"/>
      <c r="K47" s="2266"/>
      <c r="L47" s="1374"/>
      <c r="P47" s="2267"/>
      <c r="Q47" s="2267"/>
      <c r="R47" s="367"/>
      <c r="S47" s="1500"/>
      <c r="T47" s="310"/>
      <c r="U47" s="310"/>
      <c r="V47" s="1370"/>
      <c r="W47" s="1370"/>
      <c r="X47" s="338" t="str">
        <f>Y46&amp;"-"&amp;AA46</f>
        <v>-</v>
      </c>
      <c r="Y47" s="2278"/>
      <c r="Z47" s="2278"/>
      <c r="AA47" s="2278"/>
      <c r="AB47" s="2278"/>
      <c r="AC47" s="335"/>
      <c r="AD47" s="335"/>
      <c r="AE47" s="338" t="str">
        <f>AF46&amp;"-"&amp;AH46</f>
        <v>-</v>
      </c>
      <c r="AF47" s="2276"/>
      <c r="AG47" s="2117"/>
      <c r="AH47" s="2298"/>
      <c r="AI47" s="2117"/>
      <c r="AJ47" s="1449"/>
      <c r="AK47" s="2359"/>
      <c r="AM47" s="510"/>
      <c r="AN47" s="510" t="str">
        <f>IF(T47="","",T47)</f>
        <v/>
      </c>
      <c r="AO47" s="510"/>
      <c r="AP47" s="510"/>
      <c r="AQ47" s="1165">
        <v>0</v>
      </c>
    </row>
    <row customHeight="1" ht="21">
      <c r="A48" s="1373" t="s">
        <v>288</v>
      </c>
      <c r="B48" s="1373" t="s">
        <v>289</v>
      </c>
      <c r="C48" s="1373" t="s">
        <v>290</v>
      </c>
      <c r="D48" s="1373" t="s">
        <v>542</v>
      </c>
      <c r="E48" s="2269"/>
      <c r="F48" s="2269"/>
      <c r="G48" s="2269"/>
      <c r="H48" s="2269"/>
      <c r="I48" s="2296"/>
      <c r="J48" s="2266"/>
      <c r="K48" s="1373"/>
      <c r="L48" s="1374"/>
      <c r="P48" s="2267"/>
      <c r="Q48" s="2267"/>
      <c r="R48" s="366"/>
      <c r="S48" s="1288"/>
      <c r="T48" s="297" t="s">
        <v>508</v>
      </c>
      <c r="U48" s="377"/>
      <c r="V48" s="377"/>
      <c r="W48" s="377"/>
      <c r="X48" s="377"/>
      <c r="Y48" s="377"/>
      <c r="Z48" s="377"/>
      <c r="AA48" s="377"/>
      <c r="AB48" s="377"/>
      <c r="AC48" s="377"/>
      <c r="AD48" s="377"/>
      <c r="AE48" s="377"/>
      <c r="AF48" s="377"/>
      <c r="AG48" s="377"/>
      <c r="AH48" s="377"/>
      <c r="AI48" s="377"/>
      <c r="AJ48" s="377"/>
      <c r="AK48" s="1268" t="s">
        <v>509</v>
      </c>
      <c r="AM48" s="510"/>
      <c r="AN48" s="510" t="str">
        <f>IF(T48="","",T48)</f>
        <v>Добавить значение признака дифференциации</v>
      </c>
      <c r="AO48" s="510"/>
      <c r="AP48" s="510"/>
      <c r="AQ48" s="1165">
        <v>20</v>
      </c>
    </row>
    <row customHeight="1" ht="22.049999999999997">
      <c r="A49" s="1373" t="s">
        <v>288</v>
      </c>
      <c r="B49" s="1373" t="s">
        <v>289</v>
      </c>
      <c r="C49" s="1373" t="s">
        <v>290</v>
      </c>
      <c r="D49" s="1373" t="s">
        <v>542</v>
      </c>
      <c r="E49" s="2269"/>
      <c r="F49" s="2269"/>
      <c r="G49" s="2269"/>
      <c r="H49" s="2269"/>
      <c r="I49" s="2266"/>
      <c r="J49" s="1373"/>
      <c r="K49" s="1373"/>
      <c r="L49" s="1374"/>
      <c r="P49" s="2267"/>
      <c r="Q49" s="1491"/>
      <c r="R49" s="366"/>
      <c r="S49" s="1288"/>
      <c r="T49" s="375" t="s">
        <v>434</v>
      </c>
      <c r="U49" s="377"/>
      <c r="V49" s="377"/>
      <c r="W49" s="377"/>
      <c r="X49" s="377"/>
      <c r="Y49" s="377"/>
      <c r="Z49" s="377"/>
      <c r="AA49" s="377"/>
      <c r="AB49" s="376"/>
      <c r="AC49" s="377"/>
      <c r="AD49" s="377"/>
      <c r="AE49" s="377"/>
      <c r="AF49" s="377"/>
      <c r="AG49" s="377"/>
      <c r="AH49" s="377"/>
      <c r="AI49" s="376"/>
      <c r="AJ49" s="377"/>
      <c r="AK49" s="1450"/>
      <c r="AM49" s="510"/>
      <c r="AN49" s="510" t="str">
        <f>IF(T49="","",T49)</f>
        <v>Добавить группу потребителей</v>
      </c>
      <c r="AO49" s="510"/>
      <c r="AP49" s="510"/>
      <c r="AQ49" s="1165">
        <v>21</v>
      </c>
    </row>
    <row customHeight="1" ht="22.049999999999997">
      <c r="A50" s="1373" t="s">
        <v>288</v>
      </c>
      <c r="B50" s="1373" t="s">
        <v>289</v>
      </c>
      <c r="C50" s="1373" t="s">
        <v>290</v>
      </c>
      <c r="D50" s="1373" t="s">
        <v>542</v>
      </c>
      <c r="E50" s="2269"/>
      <c r="F50" s="2269"/>
      <c r="G50" s="2269"/>
      <c r="H50" s="2268"/>
      <c r="I50" s="1373"/>
      <c r="J50" s="1373"/>
      <c r="K50" s="1373"/>
      <c r="L50" s="1374"/>
      <c r="M50" s="1375"/>
      <c r="N50" s="1375"/>
      <c r="O50" s="547"/>
      <c r="P50" s="370"/>
      <c r="Q50" s="385"/>
      <c r="R50" s="365"/>
      <c r="S50" s="1288"/>
      <c r="T50" s="382" t="s">
        <v>510</v>
      </c>
      <c r="U50" s="377"/>
      <c r="V50" s="377"/>
      <c r="W50" s="377"/>
      <c r="X50" s="377"/>
      <c r="Y50" s="377"/>
      <c r="Z50" s="377"/>
      <c r="AA50" s="377"/>
      <c r="AB50" s="376"/>
      <c r="AC50" s="377"/>
      <c r="AD50" s="377"/>
      <c r="AE50" s="377"/>
      <c r="AF50" s="377"/>
      <c r="AG50" s="377"/>
      <c r="AH50" s="377"/>
      <c r="AI50" s="376"/>
      <c r="AJ50" s="377"/>
      <c r="AK50" s="313"/>
      <c r="AM50" s="510"/>
      <c r="AN50" s="510" t="str">
        <f>IF(T50="","",T50)</f>
        <v>Добавить наименование признака дифференциации</v>
      </c>
      <c r="AO50" s="510"/>
      <c r="AP50" s="510"/>
      <c r="AQ50" s="1165">
        <v>21</v>
      </c>
    </row>
    <row s="1652" customFormat="1" customHeight="1" ht="0">
      <c r="A51" s="1353" t="s">
        <v>288</v>
      </c>
      <c r="B51" s="1353" t="s">
        <v>289</v>
      </c>
      <c r="C51" s="1324"/>
      <c r="D51" s="1324"/>
      <c r="E51" s="2269"/>
      <c r="F51" s="2268"/>
      <c r="G51" s="1324"/>
      <c r="H51" s="1324"/>
      <c r="I51" s="1324"/>
      <c r="J51" s="1324"/>
      <c r="K51" s="1324"/>
      <c r="L51" s="1504"/>
      <c r="M51" s="1331"/>
      <c r="N51" s="1331"/>
      <c r="P51" s="1326"/>
      <c r="Q51" s="1327"/>
      <c r="R51" s="1326"/>
      <c r="S51" s="1332"/>
      <c r="T51" s="1335" t="s">
        <v>437</v>
      </c>
      <c r="U51" s="1334"/>
      <c r="V51" s="1334"/>
      <c r="W51" s="1334"/>
      <c r="X51" s="1334"/>
      <c r="Y51" s="1334"/>
      <c r="Z51" s="1334"/>
      <c r="AA51" s="1334"/>
      <c r="AB51" s="1334"/>
      <c r="AC51" s="1334"/>
      <c r="AD51" s="1334"/>
      <c r="AE51" s="1334"/>
      <c r="AF51" s="1334"/>
      <c r="AG51" s="1334"/>
      <c r="AH51" s="1334"/>
      <c r="AI51" s="1334"/>
      <c r="AJ51" s="1334"/>
      <c r="AK51" s="1334"/>
      <c r="AM51" s="799"/>
      <c r="AN51" s="799" t="str">
        <f>IF(T51="","",T51)</f>
        <v>Добавить централизованную систему для дифференциации</v>
      </c>
      <c r="AO51" s="799"/>
      <c r="AP51" s="799"/>
      <c r="AQ51" s="528">
        <v>0</v>
      </c>
    </row>
    <row s="1652" customFormat="1" customHeight="1" ht="0">
      <c r="A52" s="1353" t="s">
        <v>288</v>
      </c>
      <c r="B52" s="1353"/>
      <c r="C52" s="1353"/>
      <c r="D52" s="1353"/>
      <c r="E52" s="2268"/>
      <c r="F52" s="1353"/>
      <c r="G52" s="1353"/>
      <c r="H52" s="1353"/>
      <c r="I52" s="1353"/>
      <c r="J52" s="1353"/>
      <c r="K52" s="1353"/>
      <c r="L52" s="1356"/>
      <c r="M52" s="1331"/>
      <c r="N52" s="1331"/>
      <c r="O52" s="528"/>
      <c r="P52" s="390"/>
      <c r="Q52" s="1354"/>
      <c r="R52" s="390"/>
      <c r="S52" s="1332"/>
      <c r="T52" s="1335" t="s">
        <v>438</v>
      </c>
      <c r="U52" s="1334"/>
      <c r="V52" s="1334"/>
      <c r="W52" s="1334"/>
      <c r="X52" s="1334"/>
      <c r="Y52" s="1334"/>
      <c r="Z52" s="1334"/>
      <c r="AA52" s="1334"/>
      <c r="AB52" s="1334"/>
      <c r="AC52" s="1334"/>
      <c r="AD52" s="1334"/>
      <c r="AE52" s="1334"/>
      <c r="AF52" s="1334"/>
      <c r="AG52" s="1334"/>
      <c r="AH52" s="1334"/>
      <c r="AI52" s="1334"/>
      <c r="AJ52" s="1334"/>
      <c r="AK52" s="1334"/>
      <c r="AM52" s="510"/>
      <c r="AN52" s="510" t="str">
        <f>IF(T52="","",T52)</f>
        <v>Добавить территорию для дифференциации</v>
      </c>
      <c r="AO52" s="510"/>
      <c r="AP52" s="510"/>
      <c r="AQ52" s="521">
        <v>0</v>
      </c>
    </row>
    <row s="1652" customFormat="1" customHeight="1" ht="0">
      <c r="A53" s="1324"/>
      <c r="B53" s="1324"/>
      <c r="C53" s="1324"/>
      <c r="D53" s="1324"/>
      <c r="E53" s="1353"/>
      <c r="F53" s="1324"/>
      <c r="G53" s="1324"/>
      <c r="H53" s="1324"/>
      <c r="I53" s="1324"/>
      <c r="J53" s="1324"/>
      <c r="K53" s="1324"/>
      <c r="L53" s="1504"/>
      <c r="M53" s="1331"/>
      <c r="N53" s="1331"/>
      <c r="P53" s="1326"/>
      <c r="Q53" s="1327"/>
      <c r="R53" s="1326"/>
      <c r="S53" s="1332"/>
      <c r="T53" s="1335" t="s">
        <v>470</v>
      </c>
      <c r="U53" s="1334"/>
      <c r="V53" s="1334"/>
      <c r="W53" s="1334"/>
      <c r="X53" s="1334"/>
      <c r="Y53" s="1334"/>
      <c r="Z53" s="1334"/>
      <c r="AA53" s="1334"/>
      <c r="AB53" s="1334"/>
      <c r="AC53" s="1334"/>
      <c r="AD53" s="1334"/>
      <c r="AE53" s="1334"/>
      <c r="AF53" s="1334"/>
      <c r="AG53" s="1334"/>
      <c r="AH53" s="1334"/>
      <c r="AI53" s="1334"/>
      <c r="AJ53" s="1334"/>
      <c r="AK53" s="1334"/>
      <c r="AM53" s="799"/>
      <c r="AN53" s="799" t="str">
        <f>IF(T53="","",T53)</f>
        <v>Добавить наименование тарифа</v>
      </c>
      <c r="AO53" s="799"/>
      <c r="AP53" s="799"/>
      <c r="AQ53" s="528">
        <v>0</v>
      </c>
    </row>
    <row customHeight="1" ht="11.549999999999999">
      <c r="M54" s="1170"/>
      <c r="N54" s="1170"/>
      <c r="O54" s="547"/>
      <c r="P54" s="1165"/>
      <c r="Q54" s="1165"/>
      <c r="R54" s="1165"/>
      <c r="S54" s="1165"/>
      <c r="AL54" s="1165"/>
      <c r="AM54" s="1165"/>
      <c r="AN54" s="1165"/>
      <c r="AO54" s="1165"/>
      <c r="AP54" s="1165"/>
      <c r="AQ54" s="1165">
        <v>11</v>
      </c>
    </row>
    <row customHeight="1" ht="14.699999999999998">
      <c r="O55" s="547"/>
      <c r="S55" s="1263"/>
      <c r="T55" s="2295"/>
      <c r="U55" s="2295"/>
      <c r="V55" s="2295"/>
      <c r="W55" s="2295"/>
      <c r="X55" s="2295"/>
      <c r="Y55" s="2295"/>
      <c r="Z55" s="2295"/>
      <c r="AA55" s="2295"/>
      <c r="AB55" s="2295"/>
      <c r="AC55" s="2295"/>
      <c r="AD55" s="2295"/>
      <c r="AE55" s="2295"/>
      <c r="AF55" s="2295"/>
      <c r="AG55" s="2295"/>
      <c r="AH55" s="2295"/>
      <c r="AI55" s="2295"/>
      <c r="AJ55" s="2295"/>
      <c r="AK55" s="2295"/>
      <c r="AQ55" s="1165">
        <v>14</v>
      </c>
    </row>
    <row customHeight="1" ht="14.699999999999998">
      <c r="O56" s="547"/>
      <c r="AQ56" s="1165">
        <v>14</v>
      </c>
    </row>
    <row customHeight="1" ht="14.699999999999998">
      <c r="O57" s="547"/>
      <c r="S57" s="1263"/>
      <c r="T57" s="2295"/>
      <c r="U57" s="2295"/>
      <c r="V57" s="2295"/>
      <c r="W57" s="2295"/>
      <c r="X57" s="2295"/>
      <c r="Y57" s="2295"/>
      <c r="Z57" s="2295"/>
      <c r="AA57" s="2295"/>
      <c r="AB57" s="2295"/>
      <c r="AC57" s="2295"/>
      <c r="AD57" s="2295"/>
      <c r="AE57" s="2295"/>
      <c r="AF57" s="2295"/>
      <c r="AG57" s="2295"/>
      <c r="AH57" s="2295"/>
      <c r="AI57" s="2295"/>
      <c r="AJ57" s="2295"/>
      <c r="AK57" s="2295"/>
      <c r="AQ57" s="1165">
        <v>14</v>
      </c>
    </row>
    <row customHeight="1" ht="22.5" hidden="1">
      <c r="A58" s="1170" t="s">
        <v>82</v>
      </c>
      <c r="B58" s="1170">
        <v>0</v>
      </c>
      <c r="C58" s="1170">
        <v>0</v>
      </c>
      <c r="D58" s="1170">
        <v>0</v>
      </c>
      <c r="E58" s="1170">
        <v>0</v>
      </c>
      <c r="F58" s="1170">
        <v>0</v>
      </c>
      <c r="G58" s="1170">
        <v>0</v>
      </c>
      <c r="H58" s="1170">
        <v>0</v>
      </c>
      <c r="I58" s="1170">
        <v>0</v>
      </c>
      <c r="J58" s="1170">
        <v>0</v>
      </c>
      <c r="K58" s="1170">
        <v>0</v>
      </c>
      <c r="L58" s="1488">
        <v>0</v>
      </c>
      <c r="M58" s="1372">
        <v>0</v>
      </c>
      <c r="N58" s="1372">
        <v>0</v>
      </c>
      <c r="O58" s="1372">
        <v>0</v>
      </c>
      <c r="P58" s="1483">
        <v>3</v>
      </c>
      <c r="Q58" s="354">
        <v>3</v>
      </c>
      <c r="R58" s="354">
        <v>3</v>
      </c>
      <c r="S58" s="591">
        <v>12</v>
      </c>
      <c r="T58" s="1165">
        <v>35</v>
      </c>
      <c r="U58" s="1165">
        <v>0</v>
      </c>
      <c r="V58" s="1165">
        <v>0</v>
      </c>
      <c r="W58" s="1165">
        <v>0</v>
      </c>
      <c r="X58" s="1165">
        <v>0</v>
      </c>
      <c r="Y58" s="1165">
        <v>0</v>
      </c>
      <c r="Z58" s="1165">
        <v>0</v>
      </c>
      <c r="AA58" s="1165">
        <v>0</v>
      </c>
      <c r="AB58" s="1165">
        <v>0</v>
      </c>
      <c r="AC58" s="1165">
        <v>24</v>
      </c>
      <c r="AD58" s="1165">
        <v>24</v>
      </c>
      <c r="AE58" s="1165">
        <v>24</v>
      </c>
      <c r="AF58" s="1165">
        <v>11</v>
      </c>
      <c r="AG58" s="1165">
        <v>3</v>
      </c>
      <c r="AH58" s="1165">
        <v>11</v>
      </c>
      <c r="AI58" s="1165">
        <v>0</v>
      </c>
      <c r="AJ58" s="1165">
        <v>4</v>
      </c>
      <c r="AK58" s="1165">
        <v>115</v>
      </c>
      <c r="AL58" s="521">
        <v>10</v>
      </c>
      <c r="AM58" s="521">
        <v>10</v>
      </c>
      <c r="AN58" s="521">
        <v>10</v>
      </c>
      <c r="AO58" s="521">
        <v>10</v>
      </c>
      <c r="AP58" s="521">
        <v>10</v>
      </c>
      <c r="AQ58" s="116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18DB51-190F-5085-80AC-0.37822127}"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4" style="1645" width="24.7109375" hidden="1" customWidth="1"/>
    <col min="25" max="25" style="1645" width="11.7109375" hidden="1" customWidth="1"/>
    <col min="26" max="26" style="1645" width="3.7109375" hidden="1" customWidth="1"/>
    <col min="27" max="27" style="1645" width="11.7109375" hidden="1" customWidth="1"/>
    <col min="28" max="28" style="1645" width="8.57421875" hidden="1" customWidth="1"/>
    <col min="29" max="29" style="1645" width="24.7109375" customWidth="1"/>
    <col min="30" max="31" style="1645" width="24.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22.5" hidden="1">
      <c r="X1" s="337"/>
      <c r="Y1" s="337"/>
      <c r="AE1" s="337"/>
      <c r="AF1" s="337"/>
      <c r="AQ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503">
        <f>INDEX(PT_DIFFERENTIATION_NUM_NTAR,MATCH(A2,PT_DIFFERENTIATION_NTAR_ID,0))</f>
      </c>
      <c r="T2" s="308" t="s">
        <v>147</v>
      </c>
      <c r="U2" s="310"/>
      <c r="V2" s="2252"/>
      <c r="W2" s="2253"/>
      <c r="X2" s="2253"/>
      <c r="Y2" s="2253"/>
      <c r="Z2" s="2253"/>
      <c r="AA2" s="2253"/>
      <c r="AB2" s="2254"/>
      <c r="AC2" s="2252">
        <f>INDEX(PT_DIFFERENTIATION_NTAR,MATCH(A2,PT_DIFFERENTIATION_NTAR_ID,0))</f>
      </c>
      <c r="AD2" s="2253"/>
      <c r="AE2" s="2253"/>
      <c r="AF2" s="2253"/>
      <c r="AG2" s="2253"/>
      <c r="AH2" s="2253"/>
      <c r="AI2" s="2253"/>
      <c r="AJ2" s="2254"/>
      <c r="AK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0"/>
      <c r="AN2" s="510" t="str">
        <f>IF(T2="","",T2)</f>
        <v>Наименование тарифа</v>
      </c>
      <c r="AO2" s="510"/>
      <c r="AP2" s="510"/>
      <c r="AQ2" s="1165">
        <v>0</v>
      </c>
    </row>
    <row customHeight="1" ht="23.25" hidden="1">
      <c r="A3" s="1373"/>
      <c r="B3" s="1373"/>
      <c r="C3" s="1373"/>
      <c r="D3" s="1373"/>
      <c r="E3" s="2269"/>
      <c r="F3" s="2268">
        <v>1</v>
      </c>
      <c r="G3" s="1373"/>
      <c r="H3" s="1373"/>
      <c r="I3" s="1373"/>
      <c r="J3" s="1373"/>
      <c r="K3" s="1373"/>
      <c r="L3" s="1374"/>
      <c r="M3" s="1375"/>
      <c r="N3" s="1375"/>
      <c r="O3" s="1375"/>
      <c r="P3" s="1497"/>
      <c r="Q3" s="362"/>
      <c r="R3" s="363"/>
      <c r="S3" s="1503">
        <f>INDEX(PT_DIFFERENTIATION_NUM_TER,MATCH(B3,PT_DIFFERENTIATION_TER_ID,0))</f>
      </c>
      <c r="T3" s="318" t="s">
        <v>419</v>
      </c>
      <c r="U3" s="310"/>
      <c r="V3" s="2252"/>
      <c r="W3" s="2253"/>
      <c r="X3" s="2253"/>
      <c r="Y3" s="2253"/>
      <c r="Z3" s="2253"/>
      <c r="AA3" s="2253"/>
      <c r="AB3" s="2254"/>
      <c r="AC3" s="2252">
        <f>INDEX(PT_DIFFERENTIATION_TER,MATCH(B3,PT_DIFFERENTIATION_TER_ID,0))</f>
      </c>
      <c r="AD3" s="2253"/>
      <c r="AE3" s="2253"/>
      <c r="AF3" s="2253"/>
      <c r="AG3" s="2253"/>
      <c r="AH3" s="2253"/>
      <c r="AI3" s="2253"/>
      <c r="AJ3" s="2254"/>
      <c r="AK3" s="1268" t="s">
        <v>420</v>
      </c>
      <c r="AM3" s="510"/>
      <c r="AN3" s="510" t="str">
        <f>IF(T3="","",T3)</f>
        <v>Территория действия тарифа</v>
      </c>
      <c r="AO3" s="510"/>
      <c r="AP3" s="510"/>
      <c r="AQ3" s="1165">
        <v>0</v>
      </c>
    </row>
    <row customHeight="1" ht="23.25" hidden="1">
      <c r="A4" s="1373"/>
      <c r="B4" s="1373"/>
      <c r="C4" s="1373"/>
      <c r="D4" s="1373"/>
      <c r="E4" s="2269"/>
      <c r="F4" s="2269"/>
      <c r="G4" s="2268">
        <v>1</v>
      </c>
      <c r="H4" s="1373"/>
      <c r="I4" s="1373"/>
      <c r="J4" s="1373"/>
      <c r="K4" s="1373"/>
      <c r="L4" s="1374"/>
      <c r="M4" s="1375"/>
      <c r="N4" s="1375"/>
      <c r="O4" s="1375"/>
      <c r="P4" s="364"/>
      <c r="Q4" s="362"/>
      <c r="R4" s="363"/>
      <c r="S4" s="1503">
        <f>INDEX(PT_DIFFERENTIATION_NUM_CS,MATCH(C4,PT_DIFFERENTIATION_CS_ID,0))</f>
      </c>
      <c r="T4" s="319" t="s">
        <v>538</v>
      </c>
      <c r="U4" s="310"/>
      <c r="V4" s="2252"/>
      <c r="W4" s="2253"/>
      <c r="X4" s="2253"/>
      <c r="Y4" s="2253"/>
      <c r="Z4" s="2253"/>
      <c r="AA4" s="2253"/>
      <c r="AB4" s="2254"/>
      <c r="AC4" s="2252">
        <f>INDEX(PT_DIFFERENTIATION_CS,MATCH(C4,PT_DIFFERENTIATION_CS_ID,0))</f>
      </c>
      <c r="AD4" s="2253"/>
      <c r="AE4" s="2253"/>
      <c r="AF4" s="2253"/>
      <c r="AG4" s="2253"/>
      <c r="AH4" s="2253"/>
      <c r="AI4" s="2253"/>
      <c r="AJ4" s="2254"/>
      <c r="AK4" s="1268" t="s">
        <v>539</v>
      </c>
      <c r="AM4" s="510"/>
      <c r="AN4" s="510" t="str">
        <f>IF(T4="","",T4)</f>
        <v>Наименование централизованной системы водоотведения</v>
      </c>
      <c r="AO4" s="510"/>
      <c r="AP4" s="510"/>
      <c r="AQ4" s="1165">
        <v>0</v>
      </c>
    </row>
    <row customHeight="1" ht="23.25" hidden="1">
      <c r="A5" s="1373"/>
      <c r="B5" s="1373"/>
      <c r="C5" s="1373"/>
      <c r="D5" s="1373"/>
      <c r="E5" s="2269"/>
      <c r="F5" s="2269"/>
      <c r="G5" s="2269"/>
      <c r="H5" s="2269"/>
      <c r="I5" s="2266">
        <f>S4&amp;".1"</f>
      </c>
      <c r="J5" s="1373"/>
      <c r="K5" s="1373"/>
      <c r="L5" s="1374"/>
      <c r="P5" s="2267">
        <v>1</v>
      </c>
      <c r="Q5" s="1491"/>
      <c r="R5" s="366"/>
      <c r="S5" s="1503">
        <f>$I5</f>
      </c>
      <c r="T5" s="295" t="s">
        <v>505</v>
      </c>
      <c r="U5" s="310"/>
      <c r="V5" s="2360"/>
      <c r="W5" s="2361"/>
      <c r="X5" s="2361"/>
      <c r="Y5" s="2361"/>
      <c r="Z5" s="2361"/>
      <c r="AA5" s="2361"/>
      <c r="AB5" s="2362"/>
      <c r="AC5" s="2363"/>
      <c r="AD5" s="2364"/>
      <c r="AE5" s="2364"/>
      <c r="AF5" s="2364"/>
      <c r="AG5" s="2364"/>
      <c r="AH5" s="2364"/>
      <c r="AI5" s="2364"/>
      <c r="AJ5" s="2365"/>
      <c r="AK5" s="1268" t="s">
        <v>506</v>
      </c>
      <c r="AM5" s="510"/>
      <c r="AN5" s="510" t="str">
        <f>IF(T5="","",T5)</f>
        <v>Наименование признака дифференциации</v>
      </c>
      <c r="AO5" s="510"/>
      <c r="AP5" s="510"/>
      <c r="AQ5" s="1165">
        <v>0</v>
      </c>
    </row>
    <row customHeight="1" ht="23.25" hidden="1">
      <c r="A6" s="1373"/>
      <c r="B6" s="1373"/>
      <c r="C6" s="1373"/>
      <c r="D6" s="1373"/>
      <c r="E6" s="2269"/>
      <c r="F6" s="2269"/>
      <c r="G6" s="2269"/>
      <c r="H6" s="2269"/>
      <c r="I6" s="2296"/>
      <c r="J6" s="2266">
        <f>I5&amp;".1"</f>
      </c>
      <c r="K6" s="1373"/>
      <c r="L6" s="1374" t="s">
        <v>428</v>
      </c>
      <c r="P6" s="2267"/>
      <c r="Q6" s="2267">
        <v>1</v>
      </c>
      <c r="R6" s="367"/>
      <c r="S6" s="1503">
        <f>$J6</f>
      </c>
      <c r="T6" s="296" t="s">
        <v>429</v>
      </c>
      <c r="U6" s="310"/>
      <c r="V6" s="2255"/>
      <c r="W6" s="2256"/>
      <c r="X6" s="2256"/>
      <c r="Y6" s="2256"/>
      <c r="Z6" s="2256"/>
      <c r="AA6" s="2256"/>
      <c r="AB6" s="2257"/>
      <c r="AC6" s="2255"/>
      <c r="AD6" s="2256"/>
      <c r="AE6" s="2256"/>
      <c r="AF6" s="2256"/>
      <c r="AG6" s="2256"/>
      <c r="AH6" s="2256"/>
      <c r="AI6" s="2256"/>
      <c r="AJ6" s="2257"/>
      <c r="AK6" s="1317" t="s">
        <v>507</v>
      </c>
      <c r="AM6" s="510"/>
      <c r="AN6" s="510" t="str">
        <f>IF(T6="","",T6)</f>
        <v>Группа потребителей</v>
      </c>
      <c r="AO6" s="510"/>
      <c r="AP6" s="510"/>
      <c r="AQ6" s="1165">
        <v>0</v>
      </c>
    </row>
    <row customHeight="1" ht="23.25" hidden="1">
      <c r="A7" s="1373"/>
      <c r="B7" s="1373"/>
      <c r="C7" s="1373"/>
      <c r="D7" s="1373"/>
      <c r="E7" s="2269"/>
      <c r="F7" s="2269"/>
      <c r="G7" s="2269"/>
      <c r="H7" s="2269"/>
      <c r="I7" s="2296"/>
      <c r="J7" s="2296"/>
      <c r="K7" s="2266">
        <f>J6&amp;".1"</f>
      </c>
      <c r="L7" s="1374"/>
      <c r="P7" s="2267"/>
      <c r="Q7" s="2267"/>
      <c r="R7" s="367">
        <v>1</v>
      </c>
      <c r="S7" s="1503">
        <f>$K7</f>
      </c>
      <c r="T7" s="1447"/>
      <c r="U7" s="310"/>
      <c r="V7" s="761"/>
      <c r="W7" s="761"/>
      <c r="X7" s="1267"/>
      <c r="Y7" s="2275"/>
      <c r="Z7" s="2117" t="s">
        <v>66</v>
      </c>
      <c r="AA7" s="2275"/>
      <c r="AB7" s="2117" t="s">
        <v>66</v>
      </c>
      <c r="AC7" s="761"/>
      <c r="AD7" s="761"/>
      <c r="AE7" s="1267"/>
      <c r="AF7" s="2275"/>
      <c r="AG7" s="2117" t="s">
        <v>66</v>
      </c>
      <c r="AH7" s="2297"/>
      <c r="AI7" s="2117" t="s">
        <v>66</v>
      </c>
      <c r="AJ7" s="1448"/>
      <c r="AK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1">
        <f>STRCHECKDATE(V8:AJ8)</f>
      </c>
      <c r="AM7" s="510"/>
      <c r="AN7" s="510" t="str">
        <f>IF(T7="","",T7)</f>
        <v/>
      </c>
      <c r="AO7" s="510"/>
      <c r="AP7" s="510"/>
      <c r="AQ7" s="1165">
        <v>0</v>
      </c>
    </row>
    <row customHeight="1" ht="14.25" hidden="1">
      <c r="A8" s="1373"/>
      <c r="B8" s="1373"/>
      <c r="C8" s="1373"/>
      <c r="D8" s="1373"/>
      <c r="E8" s="2269"/>
      <c r="F8" s="2269"/>
      <c r="G8" s="2269"/>
      <c r="H8" s="2269"/>
      <c r="I8" s="2296"/>
      <c r="J8" s="2296"/>
      <c r="K8" s="2266"/>
      <c r="L8" s="1374"/>
      <c r="P8" s="2267"/>
      <c r="Q8" s="2267"/>
      <c r="R8" s="367"/>
      <c r="S8" s="1500"/>
      <c r="T8" s="310"/>
      <c r="U8" s="310"/>
      <c r="V8" s="335"/>
      <c r="W8" s="335"/>
      <c r="X8" s="338" t="str">
        <f>Y7&amp;"-"&amp;AA7</f>
        <v>-</v>
      </c>
      <c r="Y8" s="2276"/>
      <c r="Z8" s="2117"/>
      <c r="AA8" s="2276"/>
      <c r="AB8" s="2117"/>
      <c r="AC8" s="335"/>
      <c r="AD8" s="335"/>
      <c r="AE8" s="338" t="str">
        <f>AF7&amp;"-"&amp;AH7</f>
        <v>-</v>
      </c>
      <c r="AF8" s="2276"/>
      <c r="AG8" s="2117"/>
      <c r="AH8" s="2298"/>
      <c r="AI8" s="2117"/>
      <c r="AJ8" s="1449"/>
      <c r="AK8" s="2359"/>
      <c r="AM8" s="510"/>
      <c r="AN8" s="510" t="str">
        <f>IF(T8="","",T8)</f>
        <v/>
      </c>
      <c r="AO8" s="510"/>
      <c r="AP8" s="510"/>
      <c r="AQ8" s="1165">
        <v>0</v>
      </c>
    </row>
    <row customHeight="1" ht="21" hidden="1">
      <c r="A9" s="1373"/>
      <c r="B9" s="1373"/>
      <c r="C9" s="1373"/>
      <c r="D9" s="1373"/>
      <c r="E9" s="2269"/>
      <c r="F9" s="2269"/>
      <c r="G9" s="2269"/>
      <c r="H9" s="2269"/>
      <c r="I9" s="2296"/>
      <c r="J9" s="2266"/>
      <c r="K9" s="1373"/>
      <c r="L9" s="1374"/>
      <c r="P9" s="2267"/>
      <c r="Q9" s="2267"/>
      <c r="R9" s="366"/>
      <c r="S9" s="1288"/>
      <c r="T9" s="297" t="s">
        <v>508</v>
      </c>
      <c r="U9" s="377"/>
      <c r="V9" s="377"/>
      <c r="W9" s="377"/>
      <c r="X9" s="377"/>
      <c r="Y9" s="377"/>
      <c r="Z9" s="377"/>
      <c r="AA9" s="377"/>
      <c r="AB9" s="377"/>
      <c r="AC9" s="377"/>
      <c r="AD9" s="377"/>
      <c r="AE9" s="377"/>
      <c r="AF9" s="377"/>
      <c r="AG9" s="377"/>
      <c r="AH9" s="377"/>
      <c r="AI9" s="377"/>
      <c r="AJ9" s="377"/>
      <c r="AK9" s="1268" t="s">
        <v>509</v>
      </c>
      <c r="AM9" s="510"/>
      <c r="AN9" s="510" t="str">
        <f>IF(T9="","",T9)</f>
        <v>Добавить значение признака дифференциации</v>
      </c>
      <c r="AO9" s="510"/>
      <c r="AP9" s="510"/>
      <c r="AQ9" s="1165">
        <v>0</v>
      </c>
    </row>
    <row customHeight="1" ht="21" hidden="1">
      <c r="A10" s="1373"/>
      <c r="B10" s="1373"/>
      <c r="C10" s="1373"/>
      <c r="D10" s="1373"/>
      <c r="E10" s="2269"/>
      <c r="F10" s="2269"/>
      <c r="G10" s="2269"/>
      <c r="H10" s="2269"/>
      <c r="I10" s="2266"/>
      <c r="J10" s="1373"/>
      <c r="K10" s="1373"/>
      <c r="L10" s="1374"/>
      <c r="P10" s="2267"/>
      <c r="Q10" s="1491"/>
      <c r="R10" s="366"/>
      <c r="S10" s="1288"/>
      <c r="T10" s="375" t="s">
        <v>434</v>
      </c>
      <c r="U10" s="377"/>
      <c r="V10" s="377"/>
      <c r="W10" s="377"/>
      <c r="X10" s="377"/>
      <c r="Y10" s="377"/>
      <c r="Z10" s="377"/>
      <c r="AA10" s="377"/>
      <c r="AB10" s="376"/>
      <c r="AC10" s="377"/>
      <c r="AD10" s="377"/>
      <c r="AE10" s="377"/>
      <c r="AF10" s="377"/>
      <c r="AG10" s="377"/>
      <c r="AH10" s="377"/>
      <c r="AI10" s="376"/>
      <c r="AJ10" s="377"/>
      <c r="AK10" s="1450"/>
      <c r="AM10" s="510"/>
      <c r="AN10" s="510" t="str">
        <f>IF(T10="","",T10)</f>
        <v>Добавить группу потребителей</v>
      </c>
      <c r="AO10" s="510"/>
      <c r="AP10" s="510"/>
      <c r="AQ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510</v>
      </c>
      <c r="U11" s="377"/>
      <c r="V11" s="377"/>
      <c r="W11" s="377"/>
      <c r="X11" s="377"/>
      <c r="Y11" s="377"/>
      <c r="Z11" s="377"/>
      <c r="AA11" s="377"/>
      <c r="AB11" s="376"/>
      <c r="AC11" s="377"/>
      <c r="AD11" s="377"/>
      <c r="AE11" s="377"/>
      <c r="AF11" s="377"/>
      <c r="AG11" s="377"/>
      <c r="AH11" s="377"/>
      <c r="AI11" s="376"/>
      <c r="AJ11" s="377"/>
      <c r="AK11" s="313"/>
      <c r="AM11" s="510"/>
      <c r="AN11" s="510" t="str">
        <f>IF(T11="","",T11)</f>
        <v>Добавить наименование признака дифференциации</v>
      </c>
      <c r="AO11" s="510"/>
      <c r="AP11" s="510"/>
      <c r="AQ11" s="1165">
        <v>0</v>
      </c>
    </row>
    <row s="1652" customFormat="1" customHeight="1" ht="14.25" hidden="1">
      <c r="A12" s="1353"/>
      <c r="B12" s="1353"/>
      <c r="C12" s="1324"/>
      <c r="D12" s="1324"/>
      <c r="E12" s="2269"/>
      <c r="F12" s="2268"/>
      <c r="G12" s="1324"/>
      <c r="H12" s="1324"/>
      <c r="I12" s="1324"/>
      <c r="J12" s="1324"/>
      <c r="K12" s="1324"/>
      <c r="L12" s="1504"/>
      <c r="M12" s="1331"/>
      <c r="N12" s="1331"/>
      <c r="P12" s="1326"/>
      <c r="Q12" s="1327"/>
      <c r="R12" s="1326"/>
      <c r="S12" s="1332"/>
      <c r="T12" s="1335" t="s">
        <v>437</v>
      </c>
      <c r="U12" s="1334"/>
      <c r="V12" s="1334"/>
      <c r="W12" s="1334"/>
      <c r="X12" s="1334"/>
      <c r="Y12" s="1334"/>
      <c r="Z12" s="1334"/>
      <c r="AA12" s="1334"/>
      <c r="AB12" s="1334"/>
      <c r="AC12" s="1334"/>
      <c r="AD12" s="1334"/>
      <c r="AE12" s="1334"/>
      <c r="AF12" s="1334"/>
      <c r="AG12" s="1334"/>
      <c r="AH12" s="1334"/>
      <c r="AI12" s="1334"/>
      <c r="AJ12" s="1334"/>
      <c r="AK12" s="1334"/>
      <c r="AM12" s="799"/>
      <c r="AN12" s="799" t="str">
        <f>IF(T12="","",T12)</f>
        <v>Добавить централизованную систему для дифференциации</v>
      </c>
      <c r="AO12" s="799"/>
      <c r="AP12" s="799"/>
      <c r="AQ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438</v>
      </c>
      <c r="U13" s="1334"/>
      <c r="V13" s="1334"/>
      <c r="W13" s="1334"/>
      <c r="X13" s="1334"/>
      <c r="Y13" s="1334"/>
      <c r="Z13" s="1334"/>
      <c r="AA13" s="1334"/>
      <c r="AB13" s="1334"/>
      <c r="AC13" s="1334"/>
      <c r="AD13" s="1334"/>
      <c r="AE13" s="1334"/>
      <c r="AF13" s="1334"/>
      <c r="AG13" s="1334"/>
      <c r="AH13" s="1334"/>
      <c r="AI13" s="1334"/>
      <c r="AJ13" s="1334"/>
      <c r="AK13" s="1334"/>
      <c r="AM13" s="510"/>
      <c r="AN13" s="510" t="str">
        <f>IF(T13="","",T13)</f>
        <v>Добавить территорию для дифференциации</v>
      </c>
      <c r="AO13" s="510"/>
      <c r="AP13" s="510"/>
      <c r="AQ13" s="521">
        <v>0</v>
      </c>
    </row>
    <row customHeight="1" ht="14.25" hidden="1">
      <c r="AB14" s="337"/>
      <c r="AI14" s="337"/>
      <c r="AQ14" s="1165">
        <v>0</v>
      </c>
    </row>
    <row customHeight="1" ht="14.25" hidden="1">
      <c r="AC15" s="1370"/>
      <c r="AD15" s="1370"/>
      <c r="AE15" s="1371"/>
      <c r="AF15" s="2277"/>
      <c r="AG15" s="2278" t="s">
        <v>66</v>
      </c>
      <c r="AH15" s="2277"/>
      <c r="AI15" s="2278" t="s">
        <v>66</v>
      </c>
      <c r="AQ15" s="1165">
        <v>0</v>
      </c>
    </row>
    <row customHeight="1" ht="14.25" hidden="1">
      <c r="AC16" s="1370"/>
      <c r="AD16" s="1370"/>
      <c r="AE16" s="338" t="str">
        <f>AF15&amp;"-"&amp;AH15</f>
        <v>-</v>
      </c>
      <c r="AF16" s="2278"/>
      <c r="AG16" s="2278"/>
      <c r="AH16" s="2278"/>
      <c r="AI16" s="2278"/>
      <c r="AQ16" s="1165">
        <v>0</v>
      </c>
    </row>
    <row customHeight="1" ht="14.25" hidden="1">
      <c r="AI17" s="337"/>
      <c r="AQ17" s="1165">
        <v>0</v>
      </c>
    </row>
    <row s="1376" customFormat="1" customHeight="1" ht="22.5" hidden="1">
      <c r="L18" s="1488"/>
      <c r="M18" s="1372"/>
      <c r="N18" s="1372"/>
      <c r="O18" s="1377" t="s">
        <v>439</v>
      </c>
      <c r="P18" s="1372"/>
      <c r="Q18" s="1381"/>
      <c r="R18" s="1381"/>
      <c r="S18" s="739"/>
      <c r="Y18" s="1377"/>
      <c r="AA18" s="1377"/>
      <c r="AB18" s="1376"/>
      <c r="AF18" s="1377"/>
      <c r="AH18" s="1377"/>
      <c r="AI18" s="1376"/>
      <c r="AL18" s="521"/>
      <c r="AM18" s="521"/>
      <c r="AN18" s="521"/>
      <c r="AO18" s="521"/>
      <c r="AP18" s="521"/>
      <c r="AQ18" s="1170">
        <v>0</v>
      </c>
    </row>
    <row s="1376" customFormat="1" customHeight="1" ht="14.25" hidden="1">
      <c r="L19" s="1488"/>
      <c r="M19" s="1372"/>
      <c r="N19" s="1372"/>
      <c r="O19" s="1372"/>
      <c r="P19" s="1372"/>
      <c r="Q19" s="1381"/>
      <c r="R19" s="1381"/>
      <c r="S19" s="739"/>
      <c r="AB19" s="1376"/>
      <c r="AI19" s="1376"/>
      <c r="AL19" s="521"/>
      <c r="AM19" s="521"/>
      <c r="AN19" s="521"/>
      <c r="AO19" s="521"/>
      <c r="AP19" s="521"/>
      <c r="AQ19" s="1170">
        <v>0</v>
      </c>
    </row>
    <row s="1376" customFormat="1" customHeight="1" ht="12" hidden="1">
      <c r="L20" s="1488"/>
      <c r="M20" s="1372"/>
      <c r="N20" s="1372"/>
      <c r="O20" s="1374" t="s">
        <v>440</v>
      </c>
      <c r="P20" s="1372"/>
      <c r="Q20" s="1452"/>
      <c r="R20" s="1452"/>
      <c r="S20" s="739"/>
      <c r="T20" s="1170" t="s">
        <v>441</v>
      </c>
      <c r="Z20" s="196" t="s">
        <v>442</v>
      </c>
      <c r="AB20" s="196" t="s">
        <v>443</v>
      </c>
      <c r="AC20" s="1170" t="s">
        <v>441</v>
      </c>
      <c r="AG20" s="196" t="s">
        <v>444</v>
      </c>
      <c r="AI20" s="196" t="s">
        <v>443</v>
      </c>
      <c r="AQ20" s="1170">
        <v>0</v>
      </c>
    </row>
    <row customHeight="1" ht="14.25" hidden="1">
      <c r="O21" s="1374"/>
      <c r="AQ21" s="1165">
        <v>0</v>
      </c>
    </row>
    <row customHeight="1" ht="14.25" hidden="1">
      <c r="O22" s="1374"/>
      <c r="AQ22" s="1165">
        <v>0</v>
      </c>
    </row>
    <row customHeight="1" ht="14.699999999999998">
      <c r="Q23" s="386"/>
      <c r="R23" s="386"/>
      <c r="S23" s="1285"/>
      <c r="T23" s="373"/>
      <c r="U23" s="373"/>
      <c r="V23" s="519"/>
      <c r="W23" s="519"/>
      <c r="X23" s="519"/>
      <c r="Y23" s="519"/>
      <c r="Z23" s="519"/>
      <c r="AA23" s="519"/>
      <c r="AB23" s="519"/>
      <c r="AC23" s="519"/>
      <c r="AD23" s="519"/>
      <c r="AE23" s="519"/>
      <c r="AF23" s="519"/>
      <c r="AG23" s="519"/>
      <c r="AH23" s="519"/>
      <c r="AI23" s="519"/>
      <c r="AQ23" s="1165">
        <v>14</v>
      </c>
    </row>
    <row customHeight="1" ht="14.699999999999998">
      <c r="Q24" s="386"/>
      <c r="R24" s="386"/>
      <c r="S24" s="225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8"/>
      <c r="U24" s="2258"/>
      <c r="V24" s="2258"/>
      <c r="W24" s="2258"/>
      <c r="X24" s="2258"/>
      <c r="Y24" s="2258"/>
      <c r="Z24" s="2258"/>
      <c r="AA24" s="2258"/>
      <c r="AB24" s="2258"/>
      <c r="AC24" s="2258"/>
      <c r="AD24" s="2258"/>
      <c r="AE24" s="2258"/>
      <c r="AF24" s="2258"/>
      <c r="AG24" s="2258"/>
      <c r="AH24" s="2258"/>
      <c r="AI24" s="1253"/>
      <c r="AQ24" s="1165">
        <v>14</v>
      </c>
    </row>
    <row customHeight="1" ht="14.699999999999998">
      <c r="Q25" s="386"/>
      <c r="R25" s="386"/>
      <c r="S25" s="2259" t="str">
        <f>IF(org=0,"Не определено",org)</f>
        <v>АО «ДГК» СП «Нерюнгринская ГРЭС»</v>
      </c>
      <c r="T25" s="2259"/>
      <c r="U25" s="2259"/>
      <c r="V25" s="2259"/>
      <c r="W25" s="2259"/>
      <c r="X25" s="2259"/>
      <c r="Y25" s="2259"/>
      <c r="Z25" s="2259"/>
      <c r="AA25" s="2259"/>
      <c r="AB25" s="2259"/>
      <c r="AC25" s="2259"/>
      <c r="AD25" s="2259"/>
      <c r="AE25" s="2259"/>
      <c r="AF25" s="2259"/>
      <c r="AG25" s="2259"/>
      <c r="AH25" s="2259"/>
      <c r="AI25" s="1253"/>
      <c r="AQ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519"/>
      <c r="AQ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336"/>
      <c r="AC27" s="2261" t="str">
        <f>IF(TITLE_NAME_OR_PR_CHANGE="",IF(TITLE_NAME_OR_PR="","",TITLE_NAME_OR_PR),TITLE_NAME_OR_PR_CHANGE)</f>
        <v/>
      </c>
      <c r="AD27" s="2261"/>
      <c r="AE27" s="2261"/>
      <c r="AF27" s="2261"/>
      <c r="AG27" s="2261"/>
      <c r="AH27" s="2261"/>
      <c r="AI27" s="336"/>
      <c r="AJ27" s="336"/>
      <c r="AK27" s="290"/>
      <c r="AL27" s="378"/>
      <c r="AM27" s="378"/>
      <c r="AN27" s="378"/>
      <c r="AO27" s="378"/>
      <c r="AP27" s="378"/>
      <c r="AQ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445</v>
      </c>
      <c r="T28" s="2260"/>
      <c r="U28" s="1382"/>
      <c r="V28" s="2274" t="str">
        <f>IF(TITLE_DATE_PR_CHANGE="",IF(TITLE_DATE_PR="","",TITLE_DATE_PR),TITLE_DATE_PR_CHANGE)</f>
        <v/>
      </c>
      <c r="W28" s="2274"/>
      <c r="X28" s="2274"/>
      <c r="Y28" s="2274"/>
      <c r="Z28" s="2274"/>
      <c r="AA28" s="2274"/>
      <c r="AB28" s="336"/>
      <c r="AC28" s="2274" t="str">
        <f>IF(TITLE_DATE_PR_CHANGE="",IF(TITLE_DATE_PR="","",TITLE_DATE_PR),TITLE_DATE_PR_CHANGE)</f>
        <v/>
      </c>
      <c r="AD28" s="2274"/>
      <c r="AE28" s="2274"/>
      <c r="AF28" s="2274"/>
      <c r="AG28" s="2274"/>
      <c r="AH28" s="2274"/>
      <c r="AI28" s="336"/>
      <c r="AJ28" s="336"/>
      <c r="AK28" s="290"/>
      <c r="AL28" s="378"/>
      <c r="AM28" s="378"/>
      <c r="AN28" s="378"/>
      <c r="AO28" s="378"/>
      <c r="AP28" s="378"/>
      <c r="AQ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446</v>
      </c>
      <c r="T29" s="2260"/>
      <c r="U29" s="1382"/>
      <c r="V29" s="2261" t="str">
        <f>IF(TITLE_NUMBER_PR_CHANGE="",IF(TITLE_NUMBER_PR="","",TITLE_NUMBER_PR),TITLE_NUMBER_PR_CHANGE)</f>
        <v/>
      </c>
      <c r="W29" s="2261"/>
      <c r="X29" s="2261"/>
      <c r="Y29" s="2261"/>
      <c r="Z29" s="2261"/>
      <c r="AA29" s="2261"/>
      <c r="AB29" s="336"/>
      <c r="AC29" s="2261" t="str">
        <f>IF(TITLE_NUMBER_PR_CHANGE="",IF(TITLE_NUMBER_PR="","",TITLE_NUMBER_PR),TITLE_NUMBER_PR_CHANGE)</f>
        <v/>
      </c>
      <c r="AD29" s="2261"/>
      <c r="AE29" s="2261"/>
      <c r="AF29" s="2261"/>
      <c r="AG29" s="2261"/>
      <c r="AH29" s="2261"/>
      <c r="AI29" s="336"/>
      <c r="AJ29" s="336"/>
      <c r="AK29" s="290"/>
      <c r="AL29" s="378"/>
      <c r="AM29" s="378"/>
      <c r="AN29" s="378"/>
      <c r="AO29" s="378"/>
      <c r="AP29" s="378"/>
      <c r="AQ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336"/>
      <c r="AC30" s="2261" t="str">
        <f>IF(TITLE_IST_PUB_CHANGE="",IF(TITLE_IST_PUB="","",TITLE_IST_PUB),TITLE_IST_PUB_CHANGE)</f>
        <v/>
      </c>
      <c r="AD30" s="2261"/>
      <c r="AE30" s="2261"/>
      <c r="AF30" s="2261"/>
      <c r="AG30" s="2261"/>
      <c r="AH30" s="2261"/>
      <c r="AI30" s="336"/>
      <c r="AJ30" s="336"/>
      <c r="AK30" s="290"/>
      <c r="AL30" s="378"/>
      <c r="AM30" s="378"/>
      <c r="AN30" s="378"/>
      <c r="AO30" s="378"/>
      <c r="AP30" s="378"/>
      <c r="AQ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519"/>
      <c r="AQ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447</v>
      </c>
      <c r="T32" s="2260"/>
      <c r="U32" s="1382"/>
      <c r="V32" s="2274" t="str">
        <f>IF(TITLE_DATE_PR_CHANGE="",IF(TITLE_DATE_PR="","",TITLE_DATE_PR),TITLE_DATE_PR_CHANGE)</f>
        <v/>
      </c>
      <c r="W32" s="2274"/>
      <c r="X32" s="2274"/>
      <c r="Y32" s="2274"/>
      <c r="Z32" s="2274"/>
      <c r="AA32" s="2274"/>
      <c r="AB32" s="336"/>
      <c r="AC32" s="2274" t="str">
        <f>IF(TITLE_DATE_PR_CHANGE="",IF(TITLE_DATE_PR="","",TITLE_DATE_PR),TITLE_DATE_PR_CHANGE)</f>
        <v/>
      </c>
      <c r="AD32" s="2274"/>
      <c r="AE32" s="2274"/>
      <c r="AF32" s="2274"/>
      <c r="AG32" s="2274"/>
      <c r="AH32" s="2274"/>
      <c r="AI32" s="336"/>
      <c r="AJ32" s="336"/>
      <c r="AK32" s="290"/>
      <c r="AL32" s="378"/>
      <c r="AM32" s="378"/>
      <c r="AN32" s="378"/>
      <c r="AO32" s="378"/>
      <c r="AP32" s="378"/>
      <c r="AQ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448</v>
      </c>
      <c r="T33" s="2260"/>
      <c r="U33" s="1382"/>
      <c r="V33" s="2261" t="str">
        <f>IF(TITLE_NUMBER_PR_CHANGE="",IF(TITLE_NUMBER_PR="","",TITLE_NUMBER_PR),TITLE_NUMBER_PR_CHANGE)</f>
        <v/>
      </c>
      <c r="W33" s="2261"/>
      <c r="X33" s="2261"/>
      <c r="Y33" s="2261"/>
      <c r="Z33" s="2261"/>
      <c r="AA33" s="2261"/>
      <c r="AB33" s="336"/>
      <c r="AC33" s="2261" t="str">
        <f>IF(TITLE_NUMBER_PR_CHANGE="",IF(TITLE_NUMBER_PR="","",TITLE_NUMBER_PR),TITLE_NUMBER_PR_CHANGE)</f>
        <v/>
      </c>
      <c r="AD33" s="2261"/>
      <c r="AE33" s="2261"/>
      <c r="AF33" s="2261"/>
      <c r="AG33" s="2261"/>
      <c r="AH33" s="2261"/>
      <c r="AI33" s="336"/>
      <c r="AJ33" s="336"/>
      <c r="AK33" s="290"/>
      <c r="AL33" s="378"/>
      <c r="AM33" s="378"/>
      <c r="AN33" s="378"/>
      <c r="AO33" s="378"/>
      <c r="AP33" s="378"/>
      <c r="AQ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98"/>
      <c r="V34" s="336"/>
      <c r="W34" s="336"/>
      <c r="X34" s="336"/>
      <c r="Y34" s="336"/>
      <c r="Z34" s="336"/>
      <c r="AA34" s="336"/>
      <c r="AB34" s="288" t="s">
        <v>449</v>
      </c>
      <c r="AC34" s="336"/>
      <c r="AD34" s="336"/>
      <c r="AE34" s="336"/>
      <c r="AF34" s="336"/>
      <c r="AG34" s="336"/>
      <c r="AH34" s="336"/>
      <c r="AI34" s="288" t="s">
        <v>449</v>
      </c>
      <c r="AL34" s="378"/>
      <c r="AM34" s="378"/>
      <c r="AN34" s="378"/>
      <c r="AO34" s="378"/>
      <c r="AP34" s="378"/>
      <c r="AQ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Q35" s="1165">
        <v>14</v>
      </c>
    </row>
    <row customHeight="1" ht="14.699999999999998">
      <c r="Q36" s="386"/>
      <c r="R36" s="386"/>
      <c r="S36" s="2137" t="s">
        <v>322</v>
      </c>
      <c r="T36" s="2137"/>
      <c r="U36" s="2137"/>
      <c r="V36" s="2137"/>
      <c r="W36" s="2137"/>
      <c r="X36" s="2137"/>
      <c r="Y36" s="2137"/>
      <c r="Z36" s="2137"/>
      <c r="AA36" s="2137"/>
      <c r="AB36" s="2137"/>
      <c r="AC36" s="2137"/>
      <c r="AD36" s="2137"/>
      <c r="AE36" s="2137"/>
      <c r="AF36" s="2137"/>
      <c r="AG36" s="2137"/>
      <c r="AH36" s="2137"/>
      <c r="AI36" s="2137"/>
      <c r="AJ36" s="2137"/>
      <c r="AK36" s="2137" t="s">
        <v>323</v>
      </c>
      <c r="AQ36" s="1165">
        <v>14</v>
      </c>
    </row>
    <row customHeight="1" ht="14.699999999999998">
      <c r="Q37" s="386"/>
      <c r="R37" s="386"/>
      <c r="S37" s="2283" t="s">
        <v>88</v>
      </c>
      <c r="T37" s="2219" t="s">
        <v>450</v>
      </c>
      <c r="U37" s="311"/>
      <c r="V37" s="2284" t="s">
        <v>451</v>
      </c>
      <c r="W37" s="2285"/>
      <c r="X37" s="2285"/>
      <c r="Y37" s="2285"/>
      <c r="Z37" s="2285"/>
      <c r="AA37" s="2286"/>
      <c r="AB37" s="2287" t="s">
        <v>452</v>
      </c>
      <c r="AC37" s="2284" t="s">
        <v>451</v>
      </c>
      <c r="AD37" s="2285"/>
      <c r="AE37" s="2285"/>
      <c r="AF37" s="2285"/>
      <c r="AG37" s="2285"/>
      <c r="AH37" s="2286"/>
      <c r="AI37" s="2287" t="s">
        <v>453</v>
      </c>
      <c r="AJ37" s="2290" t="s">
        <v>454</v>
      </c>
      <c r="AK37" s="2137"/>
      <c r="AQ37" s="1165">
        <v>14</v>
      </c>
    </row>
    <row customHeight="1" ht="35.699999999999996">
      <c r="Q38" s="386"/>
      <c r="R38" s="386"/>
      <c r="S38" s="2283"/>
      <c r="T38" s="2219"/>
      <c r="U38" s="1041"/>
      <c r="V38" s="1493" t="s">
        <v>511</v>
      </c>
      <c r="W38" s="2272" t="s">
        <v>457</v>
      </c>
      <c r="X38" s="2273"/>
      <c r="Y38" s="2272" t="s">
        <v>458</v>
      </c>
      <c r="Z38" s="2279"/>
      <c r="AA38" s="2273"/>
      <c r="AB38" s="2288"/>
      <c r="AC38" s="1493" t="s">
        <v>511</v>
      </c>
      <c r="AD38" s="2272" t="s">
        <v>457</v>
      </c>
      <c r="AE38" s="2273"/>
      <c r="AF38" s="2272" t="s">
        <v>458</v>
      </c>
      <c r="AG38" s="2279"/>
      <c r="AH38" s="2273"/>
      <c r="AI38" s="2288"/>
      <c r="AJ38" s="2291"/>
      <c r="AK38" s="2137"/>
      <c r="AQ38" s="1165">
        <v>34</v>
      </c>
    </row>
    <row customHeight="1" ht="90.3">
      <c r="A39" s="1380"/>
      <c r="B39" s="1380" t="s">
        <v>159</v>
      </c>
      <c r="C39" s="1380" t="s">
        <v>160</v>
      </c>
      <c r="D39" s="1380" t="s">
        <v>161</v>
      </c>
      <c r="E39" s="1374" t="s">
        <v>459</v>
      </c>
      <c r="F39" s="1374" t="s">
        <v>460</v>
      </c>
      <c r="G39" s="1374" t="s">
        <v>461</v>
      </c>
      <c r="H39" s="1374"/>
      <c r="I39" s="1374" t="s">
        <v>512</v>
      </c>
      <c r="J39" s="1374" t="s">
        <v>464</v>
      </c>
      <c r="K39" s="1374" t="s">
        <v>513</v>
      </c>
      <c r="L39" s="1374" t="s">
        <v>440</v>
      </c>
      <c r="Q39" s="386"/>
      <c r="R39" s="386"/>
      <c r="S39" s="2283"/>
      <c r="T39" s="2219"/>
      <c r="U39" s="312"/>
      <c r="V39" s="1493" t="s">
        <v>540</v>
      </c>
      <c r="W39" s="1232" t="s">
        <v>541</v>
      </c>
      <c r="X39" s="1232" t="s">
        <v>516</v>
      </c>
      <c r="Y39" s="1499" t="s">
        <v>468</v>
      </c>
      <c r="Z39" s="2280" t="s">
        <v>469</v>
      </c>
      <c r="AA39" s="2281"/>
      <c r="AB39" s="2289"/>
      <c r="AC39" s="1493" t="s">
        <v>540</v>
      </c>
      <c r="AD39" s="1232" t="s">
        <v>541</v>
      </c>
      <c r="AE39" s="1232" t="s">
        <v>516</v>
      </c>
      <c r="AF39" s="1499" t="s">
        <v>468</v>
      </c>
      <c r="AG39" s="2280" t="s">
        <v>469</v>
      </c>
      <c r="AH39" s="2281"/>
      <c r="AI39" s="2289"/>
      <c r="AJ39" s="2292"/>
      <c r="AK39" s="2137"/>
      <c r="AQ39" s="1165">
        <v>86</v>
      </c>
    </row>
    <row s="1651" customFormat="1" customHeight="1" ht="0">
      <c r="A40" s="1380"/>
      <c r="B40" s="1380"/>
      <c r="C40" s="1380"/>
      <c r="D40" s="1380"/>
      <c r="E40" s="1380"/>
      <c r="F40" s="1380"/>
      <c r="G40" s="1380"/>
      <c r="H40" s="1380"/>
      <c r="I40" s="1380"/>
      <c r="J40" s="1380"/>
      <c r="K40" s="1380"/>
      <c r="L40" s="1374"/>
      <c r="M40" s="1372"/>
      <c r="N40" s="1372"/>
      <c r="O40" s="1372"/>
      <c r="P40" s="1256"/>
      <c r="Q40" s="1257"/>
      <c r="R40" s="1264">
        <v>1</v>
      </c>
      <c r="S40" s="1287" t="s">
        <v>124</v>
      </c>
      <c r="T40" s="1265" t="s">
        <v>104</v>
      </c>
      <c r="U40" s="1255" t="str">
        <f>OFFSET(U40,0,-1)</f>
        <v>2</v>
      </c>
      <c r="V40" s="1492">
        <f>OFFSET(V40,0,-1)+1</f>
        <v>3</v>
      </c>
      <c r="W40" s="1492">
        <f>OFFSET(W40,0,-1)+1</f>
        <v>4</v>
      </c>
      <c r="X40" s="1492">
        <f>OFFSET(X40,0,-1)+1</f>
        <v>5</v>
      </c>
      <c r="Y40" s="1492">
        <f>OFFSET(Y40,0,-1)+1</f>
        <v>6</v>
      </c>
      <c r="Z40" s="2282">
        <f>OFFSET(Z40,0,-1)+1</f>
        <v>7</v>
      </c>
      <c r="AA40" s="2282"/>
      <c r="AB40" s="1492">
        <f>OFFSET(AB40,0,-2)+1</f>
        <v>8</v>
      </c>
      <c r="AC40" s="1492">
        <f>OFFSET(AC40,0,-1)+1</f>
        <v>9</v>
      </c>
      <c r="AD40" s="1492">
        <f>OFFSET(AD40,0,-1)+1</f>
        <v>10</v>
      </c>
      <c r="AE40" s="1492">
        <f>OFFSET(AE40,0,-1)+1</f>
        <v>11</v>
      </c>
      <c r="AF40" s="1492">
        <f>OFFSET(AF40,0,-1)+1</f>
        <v>12</v>
      </c>
      <c r="AG40" s="2282">
        <f>OFFSET(AG40,0,-1)+1</f>
        <v>13</v>
      </c>
      <c r="AH40" s="2282"/>
      <c r="AI40" s="1492">
        <f>OFFSET(AI40,0,-2)+1</f>
        <v>14</v>
      </c>
      <c r="AJ40" s="1255">
        <f>OFFSET(AJ40,0,-1)</f>
        <v>14</v>
      </c>
      <c r="AK40" s="1492">
        <f>OFFSET(AK40,0,-1)+1</f>
        <v>15</v>
      </c>
      <c r="AL40" s="521"/>
      <c r="AM40" s="521"/>
      <c r="AN40" s="521"/>
      <c r="AO40" s="521"/>
      <c r="AP40" s="521"/>
      <c r="AQ40" s="506">
        <v>0</v>
      </c>
    </row>
    <row customHeight="1" ht="24">
      <c r="A41" s="1373" t="s">
        <v>293</v>
      </c>
      <c r="B41" s="1373"/>
      <c r="C41" s="1373"/>
      <c r="D41" s="1373"/>
      <c r="E41" s="2268">
        <v>1</v>
      </c>
      <c r="F41" s="1373"/>
      <c r="G41" s="1373"/>
      <c r="H41" s="1373"/>
      <c r="I41" s="1373"/>
      <c r="J41" s="1373"/>
      <c r="K41" s="1373"/>
      <c r="L41" s="1374"/>
      <c r="M41" s="1375"/>
      <c r="N41" s="1375"/>
      <c r="O41" s="1375"/>
      <c r="P41" s="371"/>
      <c r="Q41" s="370"/>
      <c r="R41" s="365"/>
      <c r="S41" s="1503">
        <f>INDEX(PT_DIFFERENTIATION_NUM_NTAR,MATCH(A41,PT_DIFFERENTIATION_NTAR_ID,0))</f>
        <v>0</v>
      </c>
      <c r="T41" s="308" t="s">
        <v>147</v>
      </c>
      <c r="U41" s="310"/>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0"/>
      <c r="AN41" s="510" t="str">
        <f>IF(T41="","",T41)</f>
        <v>Наименование тарифа</v>
      </c>
      <c r="AO41" s="510"/>
      <c r="AP41" s="510"/>
      <c r="AQ41" s="1165">
        <v>23</v>
      </c>
    </row>
    <row customHeight="1" ht="24">
      <c r="A42" s="1373" t="s">
        <v>293</v>
      </c>
      <c r="B42" s="1373" t="s">
        <v>294</v>
      </c>
      <c r="C42" s="1373"/>
      <c r="D42" s="1373"/>
      <c r="E42" s="2269"/>
      <c r="F42" s="2268">
        <v>1</v>
      </c>
      <c r="G42" s="1373"/>
      <c r="H42" s="1373"/>
      <c r="I42" s="1373"/>
      <c r="J42" s="1373"/>
      <c r="K42" s="1373"/>
      <c r="L42" s="1374"/>
      <c r="M42" s="1375"/>
      <c r="N42" s="1375"/>
      <c r="O42" s="1375"/>
      <c r="P42" s="1497"/>
      <c r="Q42" s="362"/>
      <c r="R42" s="363"/>
      <c r="S42" s="1503" t="str">
        <f>INDEX(PT_DIFFERENTIATION_NUM_TER,MATCH(B42,PT_DIFFERENTIATION_TER_ID,0))</f>
        <v>.</v>
      </c>
      <c r="T42" s="318" t="s">
        <v>419</v>
      </c>
      <c r="U42" s="310"/>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268" t="s">
        <v>420</v>
      </c>
      <c r="AM42" s="510"/>
      <c r="AN42" s="510" t="str">
        <f>IF(T42="","",T42)</f>
        <v>Территория действия тарифа</v>
      </c>
      <c r="AO42" s="510"/>
      <c r="AP42" s="510"/>
      <c r="AQ42" s="1165">
        <v>23</v>
      </c>
    </row>
    <row customHeight="1" ht="24">
      <c r="A43" s="1373" t="s">
        <v>293</v>
      </c>
      <c r="B43" s="1373" t="s">
        <v>294</v>
      </c>
      <c r="C43" s="1373" t="s">
        <v>295</v>
      </c>
      <c r="D43" s="1373"/>
      <c r="E43" s="2269"/>
      <c r="F43" s="2269"/>
      <c r="G43" s="2268">
        <v>1</v>
      </c>
      <c r="H43" s="1373"/>
      <c r="I43" s="1373"/>
      <c r="J43" s="1373"/>
      <c r="K43" s="1373"/>
      <c r="L43" s="1374"/>
      <c r="M43" s="1375"/>
      <c r="N43" s="1375"/>
      <c r="O43" s="1375"/>
      <c r="P43" s="364"/>
      <c r="Q43" s="362"/>
      <c r="R43" s="363"/>
      <c r="S43" s="1503" t="str">
        <f>INDEX(PT_DIFFERENTIATION_NUM_CS,MATCH(C43,PT_DIFFERENTIATION_CS_ID,0))</f>
        <v>..</v>
      </c>
      <c r="T43" s="319" t="s">
        <v>538</v>
      </c>
      <c r="U43" s="310"/>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268" t="s">
        <v>539</v>
      </c>
      <c r="AM43" s="510"/>
      <c r="AN43" s="510" t="str">
        <f>IF(T43="","",T43)</f>
        <v>Наименование централизованной системы водоотведения</v>
      </c>
      <c r="AO43" s="510"/>
      <c r="AP43" s="510"/>
      <c r="AQ43" s="1165">
        <v>23</v>
      </c>
    </row>
    <row customHeight="1" ht="24">
      <c r="A44" s="1373" t="s">
        <v>293</v>
      </c>
      <c r="B44" s="1373" t="s">
        <v>294</v>
      </c>
      <c r="C44" s="1373" t="s">
        <v>295</v>
      </c>
      <c r="D44" s="1373" t="s">
        <v>543</v>
      </c>
      <c r="E44" s="2269"/>
      <c r="F44" s="2269"/>
      <c r="G44" s="2269"/>
      <c r="H44" s="2269"/>
      <c r="I44" s="2266" t="str">
        <f>S43&amp;".1"</f>
        <v>...1</v>
      </c>
      <c r="J44" s="1373"/>
      <c r="K44" s="1373"/>
      <c r="L44" s="1374"/>
      <c r="P44" s="2267">
        <v>1</v>
      </c>
      <c r="Q44" s="1491"/>
      <c r="R44" s="366"/>
      <c r="S44" s="1503" t="str">
        <f>$I44</f>
        <v>...1</v>
      </c>
      <c r="T44" s="295" t="s">
        <v>505</v>
      </c>
      <c r="U44" s="310"/>
      <c r="V44" s="2360"/>
      <c r="W44" s="2361"/>
      <c r="X44" s="2361"/>
      <c r="Y44" s="2361"/>
      <c r="Z44" s="2361"/>
      <c r="AA44" s="2361"/>
      <c r="AB44" s="2362"/>
      <c r="AC44" s="2363"/>
      <c r="AD44" s="2364"/>
      <c r="AE44" s="2364"/>
      <c r="AF44" s="2364"/>
      <c r="AG44" s="2364"/>
      <c r="AH44" s="2364"/>
      <c r="AI44" s="2364"/>
      <c r="AJ44" s="2365"/>
      <c r="AK44" s="1268" t="s">
        <v>506</v>
      </c>
      <c r="AM44" s="510"/>
      <c r="AN44" s="510" t="str">
        <f>IF(T44="","",T44)</f>
        <v>Наименование признака дифференциации</v>
      </c>
      <c r="AO44" s="510"/>
      <c r="AP44" s="510"/>
      <c r="AQ44" s="1165">
        <v>23</v>
      </c>
    </row>
    <row customHeight="1" ht="24">
      <c r="A45" s="1373" t="s">
        <v>293</v>
      </c>
      <c r="B45" s="1373" t="s">
        <v>294</v>
      </c>
      <c r="C45" s="1373" t="s">
        <v>295</v>
      </c>
      <c r="D45" s="1373" t="s">
        <v>543</v>
      </c>
      <c r="E45" s="2269"/>
      <c r="F45" s="2269"/>
      <c r="G45" s="2269"/>
      <c r="H45" s="2269"/>
      <c r="I45" s="2296"/>
      <c r="J45" s="2266" t="str">
        <f>I44&amp;".1"</f>
        <v>...1.1</v>
      </c>
      <c r="K45" s="1373"/>
      <c r="L45" s="1374" t="s">
        <v>428</v>
      </c>
      <c r="P45" s="2267"/>
      <c r="Q45" s="2267">
        <v>1</v>
      </c>
      <c r="R45" s="367"/>
      <c r="S45" s="1503" t="str">
        <f>$J45</f>
        <v>...1.1</v>
      </c>
      <c r="T45" s="296" t="s">
        <v>429</v>
      </c>
      <c r="U45" s="310"/>
      <c r="V45" s="2255"/>
      <c r="W45" s="2256"/>
      <c r="X45" s="2256"/>
      <c r="Y45" s="2256"/>
      <c r="Z45" s="2256"/>
      <c r="AA45" s="2256"/>
      <c r="AB45" s="2257"/>
      <c r="AC45" s="2255"/>
      <c r="AD45" s="2256"/>
      <c r="AE45" s="2256"/>
      <c r="AF45" s="2256"/>
      <c r="AG45" s="2256"/>
      <c r="AH45" s="2256"/>
      <c r="AI45" s="2256"/>
      <c r="AJ45" s="2257"/>
      <c r="AK45" s="1317" t="s">
        <v>507</v>
      </c>
      <c r="AM45" s="510"/>
      <c r="AN45" s="510" t="str">
        <f>IF(T45="","",T45)</f>
        <v>Группа потребителей</v>
      </c>
      <c r="AO45" s="510"/>
      <c r="AP45" s="510"/>
      <c r="AQ45" s="1165">
        <v>23</v>
      </c>
    </row>
    <row customHeight="1" ht="24">
      <c r="A46" s="1373" t="s">
        <v>293</v>
      </c>
      <c r="B46" s="1373" t="s">
        <v>294</v>
      </c>
      <c r="C46" s="1373" t="s">
        <v>295</v>
      </c>
      <c r="D46" s="1373" t="s">
        <v>543</v>
      </c>
      <c r="E46" s="2269"/>
      <c r="F46" s="2269"/>
      <c r="G46" s="2269"/>
      <c r="H46" s="2269"/>
      <c r="I46" s="2296"/>
      <c r="J46" s="2296"/>
      <c r="K46" s="2266" t="str">
        <f>J45&amp;".1"</f>
        <v>...1.1.1</v>
      </c>
      <c r="L46" s="1374"/>
      <c r="P46" s="2267"/>
      <c r="Q46" s="2267"/>
      <c r="R46" s="367">
        <v>1</v>
      </c>
      <c r="S46" s="1503" t="str">
        <f>$K46</f>
        <v>...1.1.1</v>
      </c>
      <c r="T46" s="1447"/>
      <c r="U46" s="310"/>
      <c r="V46" s="1370"/>
      <c r="W46" s="1370"/>
      <c r="X46" s="1371"/>
      <c r="Y46" s="2277"/>
      <c r="Z46" s="2278" t="s">
        <v>66</v>
      </c>
      <c r="AA46" s="2277"/>
      <c r="AB46" s="2278" t="s">
        <v>66</v>
      </c>
      <c r="AC46" s="761"/>
      <c r="AD46" s="761"/>
      <c r="AE46" s="1267"/>
      <c r="AF46" s="2275"/>
      <c r="AG46" s="2117" t="s">
        <v>66</v>
      </c>
      <c r="AH46" s="2297"/>
      <c r="AI46" s="2117" t="s">
        <v>19</v>
      </c>
      <c r="AJ46" s="1448"/>
      <c r="AK46"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1">
        <f>STRCHECKDATE(V47:AJ47)</f>
      </c>
      <c r="AM46" s="510"/>
      <c r="AN46" s="510" t="str">
        <f>IF(T46="","",T46)</f>
        <v/>
      </c>
      <c r="AO46" s="510"/>
      <c r="AP46" s="510"/>
      <c r="AQ46" s="1165">
        <v>23</v>
      </c>
    </row>
    <row customHeight="1" ht="0">
      <c r="A47" s="1373" t="s">
        <v>293</v>
      </c>
      <c r="B47" s="1373" t="s">
        <v>294</v>
      </c>
      <c r="C47" s="1373" t="s">
        <v>295</v>
      </c>
      <c r="D47" s="1373" t="s">
        <v>543</v>
      </c>
      <c r="E47" s="2269"/>
      <c r="F47" s="2269"/>
      <c r="G47" s="2269"/>
      <c r="H47" s="2269"/>
      <c r="I47" s="2296"/>
      <c r="J47" s="2296"/>
      <c r="K47" s="2266"/>
      <c r="L47" s="1374"/>
      <c r="P47" s="2267"/>
      <c r="Q47" s="2267"/>
      <c r="R47" s="367"/>
      <c r="S47" s="1500"/>
      <c r="T47" s="310"/>
      <c r="U47" s="310"/>
      <c r="V47" s="1370"/>
      <c r="W47" s="1370"/>
      <c r="X47" s="338" t="str">
        <f>Y46&amp;"-"&amp;AA46</f>
        <v>-</v>
      </c>
      <c r="Y47" s="2278"/>
      <c r="Z47" s="2278"/>
      <c r="AA47" s="2278"/>
      <c r="AB47" s="2278"/>
      <c r="AC47" s="335"/>
      <c r="AD47" s="335"/>
      <c r="AE47" s="338" t="str">
        <f>AF46&amp;"-"&amp;AH46</f>
        <v>-</v>
      </c>
      <c r="AF47" s="2276"/>
      <c r="AG47" s="2117"/>
      <c r="AH47" s="2298"/>
      <c r="AI47" s="2117"/>
      <c r="AJ47" s="1449"/>
      <c r="AK47" s="2359"/>
      <c r="AM47" s="510"/>
      <c r="AN47" s="510" t="str">
        <f>IF(T47="","",T47)</f>
        <v/>
      </c>
      <c r="AO47" s="510"/>
      <c r="AP47" s="510"/>
      <c r="AQ47" s="1165">
        <v>0</v>
      </c>
    </row>
    <row customHeight="1" ht="21">
      <c r="A48" s="1373" t="s">
        <v>293</v>
      </c>
      <c r="B48" s="1373" t="s">
        <v>294</v>
      </c>
      <c r="C48" s="1373" t="s">
        <v>295</v>
      </c>
      <c r="D48" s="1373" t="s">
        <v>543</v>
      </c>
      <c r="E48" s="2269"/>
      <c r="F48" s="2269"/>
      <c r="G48" s="2269"/>
      <c r="H48" s="2269"/>
      <c r="I48" s="2296"/>
      <c r="J48" s="2266"/>
      <c r="K48" s="1373"/>
      <c r="L48" s="1374"/>
      <c r="P48" s="2267"/>
      <c r="Q48" s="2267"/>
      <c r="R48" s="366"/>
      <c r="S48" s="1288"/>
      <c r="T48" s="297" t="s">
        <v>508</v>
      </c>
      <c r="U48" s="377"/>
      <c r="V48" s="377"/>
      <c r="W48" s="377"/>
      <c r="X48" s="377"/>
      <c r="Y48" s="377"/>
      <c r="Z48" s="377"/>
      <c r="AA48" s="377"/>
      <c r="AB48" s="377"/>
      <c r="AC48" s="377"/>
      <c r="AD48" s="377"/>
      <c r="AE48" s="377"/>
      <c r="AF48" s="377"/>
      <c r="AG48" s="377"/>
      <c r="AH48" s="377"/>
      <c r="AI48" s="377"/>
      <c r="AJ48" s="377"/>
      <c r="AK48" s="1268" t="s">
        <v>509</v>
      </c>
      <c r="AM48" s="510"/>
      <c r="AN48" s="510" t="str">
        <f>IF(T48="","",T48)</f>
        <v>Добавить значение признака дифференциации</v>
      </c>
      <c r="AO48" s="510"/>
      <c r="AP48" s="510"/>
      <c r="AQ48" s="1165">
        <v>20</v>
      </c>
    </row>
    <row customHeight="1" ht="22.049999999999997">
      <c r="A49" s="1373" t="s">
        <v>293</v>
      </c>
      <c r="B49" s="1373" t="s">
        <v>294</v>
      </c>
      <c r="C49" s="1373" t="s">
        <v>295</v>
      </c>
      <c r="D49" s="1373" t="s">
        <v>543</v>
      </c>
      <c r="E49" s="2269"/>
      <c r="F49" s="2269"/>
      <c r="G49" s="2269"/>
      <c r="H49" s="2269"/>
      <c r="I49" s="2266"/>
      <c r="J49" s="1373"/>
      <c r="K49" s="1373"/>
      <c r="L49" s="1374"/>
      <c r="P49" s="2267"/>
      <c r="Q49" s="1491"/>
      <c r="R49" s="366"/>
      <c r="S49" s="1288"/>
      <c r="T49" s="375" t="s">
        <v>434</v>
      </c>
      <c r="U49" s="377"/>
      <c r="V49" s="377"/>
      <c r="W49" s="377"/>
      <c r="X49" s="377"/>
      <c r="Y49" s="377"/>
      <c r="Z49" s="377"/>
      <c r="AA49" s="377"/>
      <c r="AB49" s="376"/>
      <c r="AC49" s="377"/>
      <c r="AD49" s="377"/>
      <c r="AE49" s="377"/>
      <c r="AF49" s="377"/>
      <c r="AG49" s="377"/>
      <c r="AH49" s="377"/>
      <c r="AI49" s="376"/>
      <c r="AJ49" s="377"/>
      <c r="AK49" s="1450"/>
      <c r="AM49" s="510"/>
      <c r="AN49" s="510" t="str">
        <f>IF(T49="","",T49)</f>
        <v>Добавить группу потребителей</v>
      </c>
      <c r="AO49" s="510"/>
      <c r="AP49" s="510"/>
      <c r="AQ49" s="1165">
        <v>21</v>
      </c>
    </row>
    <row customHeight="1" ht="22.049999999999997">
      <c r="A50" s="1373" t="s">
        <v>293</v>
      </c>
      <c r="B50" s="1373" t="s">
        <v>294</v>
      </c>
      <c r="C50" s="1373" t="s">
        <v>295</v>
      </c>
      <c r="D50" s="1373" t="s">
        <v>543</v>
      </c>
      <c r="E50" s="2269"/>
      <c r="F50" s="2269"/>
      <c r="G50" s="2269"/>
      <c r="H50" s="2268"/>
      <c r="I50" s="1373"/>
      <c r="J50" s="1373"/>
      <c r="K50" s="1373"/>
      <c r="L50" s="1374"/>
      <c r="M50" s="1375"/>
      <c r="N50" s="1375"/>
      <c r="O50" s="547"/>
      <c r="P50" s="370"/>
      <c r="Q50" s="385"/>
      <c r="R50" s="365"/>
      <c r="S50" s="1288"/>
      <c r="T50" s="382" t="s">
        <v>510</v>
      </c>
      <c r="U50" s="377"/>
      <c r="V50" s="377"/>
      <c r="W50" s="377"/>
      <c r="X50" s="377"/>
      <c r="Y50" s="377"/>
      <c r="Z50" s="377"/>
      <c r="AA50" s="377"/>
      <c r="AB50" s="376"/>
      <c r="AC50" s="377"/>
      <c r="AD50" s="377"/>
      <c r="AE50" s="377"/>
      <c r="AF50" s="377"/>
      <c r="AG50" s="377"/>
      <c r="AH50" s="377"/>
      <c r="AI50" s="376"/>
      <c r="AJ50" s="377"/>
      <c r="AK50" s="313"/>
      <c r="AM50" s="510"/>
      <c r="AN50" s="510" t="str">
        <f>IF(T50="","",T50)</f>
        <v>Добавить наименование признака дифференциации</v>
      </c>
      <c r="AO50" s="510"/>
      <c r="AP50" s="510"/>
      <c r="AQ50" s="1165">
        <v>21</v>
      </c>
    </row>
    <row s="1652" customFormat="1" customHeight="1" ht="0">
      <c r="A51" s="1353" t="s">
        <v>293</v>
      </c>
      <c r="B51" s="1353" t="s">
        <v>294</v>
      </c>
      <c r="C51" s="1324"/>
      <c r="D51" s="1324"/>
      <c r="E51" s="2269"/>
      <c r="F51" s="2268"/>
      <c r="G51" s="1324"/>
      <c r="H51" s="1324"/>
      <c r="I51" s="1324"/>
      <c r="J51" s="1324"/>
      <c r="K51" s="1324"/>
      <c r="L51" s="1504"/>
      <c r="M51" s="1331"/>
      <c r="N51" s="1331"/>
      <c r="P51" s="1326"/>
      <c r="Q51" s="1327"/>
      <c r="R51" s="1326"/>
      <c r="S51" s="1332"/>
      <c r="T51" s="1335" t="s">
        <v>437</v>
      </c>
      <c r="U51" s="1334"/>
      <c r="V51" s="1334"/>
      <c r="W51" s="1334"/>
      <c r="X51" s="1334"/>
      <c r="Y51" s="1334"/>
      <c r="Z51" s="1334"/>
      <c r="AA51" s="1334"/>
      <c r="AB51" s="1334"/>
      <c r="AC51" s="1334"/>
      <c r="AD51" s="1334"/>
      <c r="AE51" s="1334"/>
      <c r="AF51" s="1334"/>
      <c r="AG51" s="1334"/>
      <c r="AH51" s="1334"/>
      <c r="AI51" s="1334"/>
      <c r="AJ51" s="1334"/>
      <c r="AK51" s="1334"/>
      <c r="AM51" s="799"/>
      <c r="AN51" s="799" t="str">
        <f>IF(T51="","",T51)</f>
        <v>Добавить централизованную систему для дифференциации</v>
      </c>
      <c r="AO51" s="799"/>
      <c r="AP51" s="799"/>
      <c r="AQ51" s="528">
        <v>0</v>
      </c>
    </row>
    <row s="1652" customFormat="1" customHeight="1" ht="0">
      <c r="A52" s="1353" t="s">
        <v>293</v>
      </c>
      <c r="B52" s="1353"/>
      <c r="C52" s="1353"/>
      <c r="D52" s="1353"/>
      <c r="E52" s="2268"/>
      <c r="F52" s="1353"/>
      <c r="G52" s="1353"/>
      <c r="H52" s="1353"/>
      <c r="I52" s="1353"/>
      <c r="J52" s="1353"/>
      <c r="K52" s="1353"/>
      <c r="L52" s="1356"/>
      <c r="M52" s="1331"/>
      <c r="N52" s="1331"/>
      <c r="O52" s="528"/>
      <c r="P52" s="390"/>
      <c r="Q52" s="1354"/>
      <c r="R52" s="390"/>
      <c r="S52" s="1332"/>
      <c r="T52" s="1335" t="s">
        <v>438</v>
      </c>
      <c r="U52" s="1334"/>
      <c r="V52" s="1334"/>
      <c r="W52" s="1334"/>
      <c r="X52" s="1334"/>
      <c r="Y52" s="1334"/>
      <c r="Z52" s="1334"/>
      <c r="AA52" s="1334"/>
      <c r="AB52" s="1334"/>
      <c r="AC52" s="1334"/>
      <c r="AD52" s="1334"/>
      <c r="AE52" s="1334"/>
      <c r="AF52" s="1334"/>
      <c r="AG52" s="1334"/>
      <c r="AH52" s="1334"/>
      <c r="AI52" s="1334"/>
      <c r="AJ52" s="1334"/>
      <c r="AK52" s="1334"/>
      <c r="AM52" s="510"/>
      <c r="AN52" s="510" t="str">
        <f>IF(T52="","",T52)</f>
        <v>Добавить территорию для дифференциации</v>
      </c>
      <c r="AO52" s="510"/>
      <c r="AP52" s="510"/>
      <c r="AQ52" s="521">
        <v>0</v>
      </c>
    </row>
    <row s="1652" customFormat="1" customHeight="1" ht="0">
      <c r="A53" s="1324"/>
      <c r="B53" s="1324"/>
      <c r="C53" s="1324"/>
      <c r="D53" s="1324"/>
      <c r="E53" s="1353"/>
      <c r="F53" s="1324"/>
      <c r="G53" s="1324"/>
      <c r="H53" s="1324"/>
      <c r="I53" s="1324"/>
      <c r="J53" s="1324"/>
      <c r="K53" s="1324"/>
      <c r="L53" s="1504"/>
      <c r="M53" s="1331"/>
      <c r="N53" s="1331"/>
      <c r="P53" s="1326"/>
      <c r="Q53" s="1327"/>
      <c r="R53" s="1326"/>
      <c r="S53" s="1332"/>
      <c r="T53" s="1335" t="s">
        <v>470</v>
      </c>
      <c r="U53" s="1334"/>
      <c r="V53" s="1334"/>
      <c r="W53" s="1334"/>
      <c r="X53" s="1334"/>
      <c r="Y53" s="1334"/>
      <c r="Z53" s="1334"/>
      <c r="AA53" s="1334"/>
      <c r="AB53" s="1334"/>
      <c r="AC53" s="1334"/>
      <c r="AD53" s="1334"/>
      <c r="AE53" s="1334"/>
      <c r="AF53" s="1334"/>
      <c r="AG53" s="1334"/>
      <c r="AH53" s="1334"/>
      <c r="AI53" s="1334"/>
      <c r="AJ53" s="1334"/>
      <c r="AK53" s="1334"/>
      <c r="AM53" s="799"/>
      <c r="AN53" s="799" t="str">
        <f>IF(T53="","",T53)</f>
        <v>Добавить наименование тарифа</v>
      </c>
      <c r="AO53" s="799"/>
      <c r="AP53" s="799"/>
      <c r="AQ53" s="528">
        <v>0</v>
      </c>
    </row>
    <row customHeight="1" ht="11.549999999999999">
      <c r="M54" s="1170"/>
      <c r="N54" s="1170"/>
      <c r="O54" s="547"/>
      <c r="P54" s="1165"/>
      <c r="Q54" s="1165"/>
      <c r="R54" s="1165"/>
      <c r="S54" s="1165"/>
      <c r="AL54" s="1165"/>
      <c r="AM54" s="1165"/>
      <c r="AN54" s="1165"/>
      <c r="AO54" s="1165"/>
      <c r="AP54" s="1165"/>
      <c r="AQ54" s="1165">
        <v>11</v>
      </c>
    </row>
    <row customHeight="1" ht="14.699999999999998">
      <c r="O55" s="547"/>
      <c r="S55" s="1263"/>
      <c r="T55" s="2295"/>
      <c r="U55" s="2295"/>
      <c r="V55" s="2295"/>
      <c r="W55" s="2295"/>
      <c r="X55" s="2295"/>
      <c r="Y55" s="2295"/>
      <c r="Z55" s="2295"/>
      <c r="AA55" s="2295"/>
      <c r="AB55" s="2295"/>
      <c r="AC55" s="2295"/>
      <c r="AD55" s="2295"/>
      <c r="AE55" s="2295"/>
      <c r="AF55" s="2295"/>
      <c r="AG55" s="2295"/>
      <c r="AH55" s="2295"/>
      <c r="AI55" s="2295"/>
      <c r="AJ55" s="2295"/>
      <c r="AK55" s="2295"/>
      <c r="AQ55" s="1165">
        <v>14</v>
      </c>
    </row>
    <row customHeight="1" ht="14.699999999999998">
      <c r="O56" s="547"/>
      <c r="AQ56" s="1165">
        <v>14</v>
      </c>
    </row>
    <row customHeight="1" ht="14.699999999999998">
      <c r="O57" s="547"/>
      <c r="S57" s="1263"/>
      <c r="T57" s="2295"/>
      <c r="U57" s="2295"/>
      <c r="V57" s="2295"/>
      <c r="W57" s="2295"/>
      <c r="X57" s="2295"/>
      <c r="Y57" s="2295"/>
      <c r="Z57" s="2295"/>
      <c r="AA57" s="2295"/>
      <c r="AB57" s="2295"/>
      <c r="AC57" s="2295"/>
      <c r="AD57" s="2295"/>
      <c r="AE57" s="2295"/>
      <c r="AF57" s="2295"/>
      <c r="AG57" s="2295"/>
      <c r="AH57" s="2295"/>
      <c r="AI57" s="2295"/>
      <c r="AJ57" s="2295"/>
      <c r="AK57" s="2295"/>
      <c r="AQ57" s="1165">
        <v>14</v>
      </c>
    </row>
    <row customHeight="1" ht="22.5" hidden="1">
      <c r="A58" s="1170" t="s">
        <v>82</v>
      </c>
      <c r="B58" s="1170">
        <v>0</v>
      </c>
      <c r="C58" s="1170">
        <v>0</v>
      </c>
      <c r="D58" s="1170">
        <v>0</v>
      </c>
      <c r="E58" s="1170">
        <v>0</v>
      </c>
      <c r="F58" s="1170">
        <v>0</v>
      </c>
      <c r="G58" s="1170">
        <v>0</v>
      </c>
      <c r="H58" s="1170">
        <v>0</v>
      </c>
      <c r="I58" s="1170">
        <v>0</v>
      </c>
      <c r="J58" s="1170">
        <v>0</v>
      </c>
      <c r="K58" s="1170">
        <v>0</v>
      </c>
      <c r="L58" s="1488">
        <v>0</v>
      </c>
      <c r="M58" s="1372">
        <v>0</v>
      </c>
      <c r="N58" s="1372">
        <v>0</v>
      </c>
      <c r="O58" s="1372">
        <v>0</v>
      </c>
      <c r="P58" s="1483">
        <v>3</v>
      </c>
      <c r="Q58" s="354">
        <v>3</v>
      </c>
      <c r="R58" s="354">
        <v>3</v>
      </c>
      <c r="S58" s="591">
        <v>12</v>
      </c>
      <c r="T58" s="1165">
        <v>35</v>
      </c>
      <c r="U58" s="1165">
        <v>0</v>
      </c>
      <c r="V58" s="1165">
        <v>0</v>
      </c>
      <c r="W58" s="1165">
        <v>0</v>
      </c>
      <c r="X58" s="1165">
        <v>0</v>
      </c>
      <c r="Y58" s="1165">
        <v>0</v>
      </c>
      <c r="Z58" s="1165">
        <v>0</v>
      </c>
      <c r="AA58" s="1165">
        <v>0</v>
      </c>
      <c r="AB58" s="1165">
        <v>0</v>
      </c>
      <c r="AC58" s="1165">
        <v>24</v>
      </c>
      <c r="AD58" s="1165">
        <v>24</v>
      </c>
      <c r="AE58" s="1165">
        <v>24</v>
      </c>
      <c r="AF58" s="1165">
        <v>11</v>
      </c>
      <c r="AG58" s="1165">
        <v>3</v>
      </c>
      <c r="AH58" s="1165">
        <v>11</v>
      </c>
      <c r="AI58" s="1165">
        <v>0</v>
      </c>
      <c r="AJ58" s="1165">
        <v>4</v>
      </c>
      <c r="AK58" s="1165">
        <v>115</v>
      </c>
      <c r="AL58" s="521">
        <v>10</v>
      </c>
      <c r="AM58" s="521">
        <v>10</v>
      </c>
      <c r="AN58" s="521">
        <v>10</v>
      </c>
      <c r="AO58" s="521">
        <v>10</v>
      </c>
      <c r="AP58" s="521">
        <v>10</v>
      </c>
      <c r="AQ58" s="116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E7A066-D52D-5E1E-1BCF-0.DA1313F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6" width="11.57421875" hidden="1" customWidth="1"/>
    <col min="2" max="2" style="1376" width="11.00390625" hidden="1" customWidth="1"/>
    <col min="3" max="3" style="1376" width="10.57421875" hidden="1"/>
    <col min="4" max="4" style="1376" width="12.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1786" width="3.7109375" hidden="1" customWidth="1"/>
    <col min="17" max="17" style="1381" width="3.7109375" hidden="1" customWidth="1"/>
    <col min="18" max="18" style="354" width="3.00390625" customWidth="1"/>
    <col min="19" max="19" style="2417" width="12.00390625" customWidth="1"/>
    <col min="20" max="20" style="1645" width="31.00390625" customWidth="1"/>
    <col min="21" max="21" style="1645" width="0.140625" customWidth="1"/>
    <col min="22" max="25" style="1645" width="21.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3.7109375" customWidth="1"/>
    <col min="31" max="32" style="1645" width="3.00390625" customWidth="1"/>
    <col min="33" max="33" style="1645" width="24.00390625" customWidth="1"/>
    <col min="34" max="34" style="1645" width="3.7109375" customWidth="1"/>
    <col min="35" max="36" style="1645" width="3.00390625" customWidth="1"/>
    <col min="37" max="37" style="1645" width="24.00390625" customWidth="1"/>
    <col min="38" max="38" style="1645" width="3.7109375" customWidth="1"/>
    <col min="39" max="40" style="1645" width="3.00390625" customWidth="1"/>
    <col min="41" max="41" style="1645" width="18.00390625" customWidth="1"/>
    <col min="42" max="42" style="1645" width="3.7109375" customWidth="1"/>
    <col min="43" max="44" style="1645" width="3.00390625" customWidth="1"/>
    <col min="45" max="45" style="1645" width="18.00390625" customWidth="1"/>
    <col min="46" max="49" style="1645" width="21.00390625" customWidth="1"/>
    <col min="50" max="50" style="1645" width="11.00390625" customWidth="1"/>
    <col min="51" max="51" style="1645" width="3.7109375" customWidth="1"/>
    <col min="52" max="52" style="1645" width="11.00390625" customWidth="1"/>
    <col min="53" max="53" style="1645" width="8.57421875" hidden="1" customWidth="1"/>
    <col min="54" max="54" style="1645" width="4.00390625" customWidth="1"/>
    <col min="55" max="55" style="1645" width="115.00390625" customWidth="1"/>
    <col min="56" max="60" style="1652" width="10.00390625" customWidth="1"/>
    <col min="61" max="61" style="1645" width="10.57421875" hidden="1"/>
  </cols>
  <sheetData>
    <row customHeight="1" ht="22.5" hidden="1">
      <c r="W1" s="337"/>
      <c r="Y1" s="337"/>
      <c r="Z1" s="337"/>
      <c r="AW1" s="337"/>
      <c r="AX1" s="337"/>
      <c r="BI1" s="1165" t="s">
        <v>14</v>
      </c>
    </row>
    <row customHeight="1" ht="21" hidden="1">
      <c r="A2" s="1373"/>
      <c r="B2" s="1373"/>
      <c r="C2" s="1373"/>
      <c r="D2" s="1373"/>
      <c r="E2" s="2268">
        <v>1</v>
      </c>
      <c r="F2" s="1373"/>
      <c r="G2" s="1373"/>
      <c r="H2" s="1373"/>
      <c r="I2" s="1373"/>
      <c r="J2" s="1373"/>
      <c r="K2" s="1373"/>
      <c r="L2" s="1374"/>
      <c r="M2" s="1375"/>
      <c r="N2" s="1375"/>
      <c r="O2" s="1375"/>
      <c r="P2" s="1419"/>
      <c r="Q2" s="883"/>
      <c r="R2" s="365"/>
      <c r="S2" s="1503">
        <f>INDEX(PT_DIFFERENTIATION_NUM_NTAR,MATCH(A2,PT_DIFFERENTIATION_NTAR_ID,0))</f>
      </c>
      <c r="T2" s="308" t="s">
        <v>147</v>
      </c>
      <c r="U2" s="310"/>
      <c r="V2" s="2253"/>
      <c r="W2" s="2253"/>
      <c r="X2" s="2253"/>
      <c r="Y2" s="2253"/>
      <c r="Z2" s="2253"/>
      <c r="AA2" s="2253"/>
      <c r="AB2" s="2253"/>
      <c r="AC2" s="2254"/>
      <c r="AD2" s="2252">
        <f>INDEX(PT_DIFFERENTIATION_NTAR,MATCH(A2,PT_DIFFERENTIATION_NTAR_ID,0))</f>
      </c>
      <c r="AE2" s="2253"/>
      <c r="AF2" s="2253"/>
      <c r="AG2" s="2253"/>
      <c r="AH2" s="2253"/>
      <c r="AI2" s="2253"/>
      <c r="AJ2" s="2253"/>
      <c r="AK2" s="2253"/>
      <c r="AL2" s="2253"/>
      <c r="AM2" s="2253"/>
      <c r="AN2" s="2253"/>
      <c r="AO2" s="2253"/>
      <c r="AP2" s="2253"/>
      <c r="AQ2" s="2253"/>
      <c r="AR2" s="2253"/>
      <c r="AS2" s="2253"/>
      <c r="AT2" s="2253"/>
      <c r="AU2" s="2253"/>
      <c r="AV2" s="2253"/>
      <c r="AW2" s="2253"/>
      <c r="AX2" s="2253"/>
      <c r="AY2" s="2253"/>
      <c r="AZ2" s="2253"/>
      <c r="BA2" s="2253"/>
      <c r="BB2" s="2254"/>
      <c r="BC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10"/>
      <c r="BF2" s="510" t="str">
        <f>IF(T2="","",T2)</f>
        <v>Наименование тарифа</v>
      </c>
      <c r="BG2" s="510"/>
      <c r="BH2" s="510"/>
      <c r="BI2" s="1165">
        <v>0</v>
      </c>
    </row>
    <row customHeight="1" ht="21" hidden="1">
      <c r="A3" s="1373"/>
      <c r="B3" s="1373"/>
      <c r="C3" s="1373"/>
      <c r="D3" s="1373"/>
      <c r="E3" s="2269"/>
      <c r="F3" s="2268">
        <v>1</v>
      </c>
      <c r="G3" s="1373"/>
      <c r="H3" s="1373"/>
      <c r="I3" s="1373"/>
      <c r="J3" s="1373"/>
      <c r="K3" s="1373"/>
      <c r="L3" s="1374"/>
      <c r="M3" s="1375"/>
      <c r="N3" s="1375"/>
      <c r="O3" s="1375"/>
      <c r="P3" s="1420"/>
      <c r="Q3" s="1421"/>
      <c r="R3" s="363"/>
      <c r="S3" s="1503">
        <f>INDEX(PT_DIFFERENTIATION_NUM_TER,MATCH(B3,PT_DIFFERENTIATION_TER_ID,0))</f>
      </c>
      <c r="T3" s="318" t="s">
        <v>419</v>
      </c>
      <c r="U3" s="310"/>
      <c r="V3" s="2253"/>
      <c r="W3" s="2253"/>
      <c r="X3" s="2253"/>
      <c r="Y3" s="2253"/>
      <c r="Z3" s="2253"/>
      <c r="AA3" s="2253"/>
      <c r="AB3" s="2253"/>
      <c r="AC3" s="2254"/>
      <c r="AD3" s="2252">
        <f>INDEX(PT_DIFFERENTIATION_TER,MATCH(B3,PT_DIFFERENTIATION_TER_ID,0))</f>
      </c>
      <c r="AE3" s="2253"/>
      <c r="AF3" s="2253"/>
      <c r="AG3" s="2253"/>
      <c r="AH3" s="2253"/>
      <c r="AI3" s="2253"/>
      <c r="AJ3" s="2253"/>
      <c r="AK3" s="2253"/>
      <c r="AL3" s="2253"/>
      <c r="AM3" s="2253"/>
      <c r="AN3" s="2253"/>
      <c r="AO3" s="2253"/>
      <c r="AP3" s="2253"/>
      <c r="AQ3" s="2253"/>
      <c r="AR3" s="2253"/>
      <c r="AS3" s="2253"/>
      <c r="AT3" s="2253"/>
      <c r="AU3" s="2253"/>
      <c r="AV3" s="2253"/>
      <c r="AW3" s="2253"/>
      <c r="AX3" s="2253"/>
      <c r="AY3" s="2253"/>
      <c r="AZ3" s="2253"/>
      <c r="BA3" s="2253"/>
      <c r="BB3" s="2254"/>
      <c r="BC3" s="1268" t="s">
        <v>420</v>
      </c>
      <c r="BE3" s="510"/>
      <c r="BF3" s="510" t="str">
        <f>IF(T3="","",T3)</f>
        <v>Территория действия тарифа</v>
      </c>
      <c r="BG3" s="510"/>
      <c r="BH3" s="510"/>
      <c r="BI3" s="1165">
        <v>0</v>
      </c>
    </row>
    <row customHeight="1" ht="33.75" hidden="1">
      <c r="A4" s="1373"/>
      <c r="B4" s="1373"/>
      <c r="C4" s="1373"/>
      <c r="D4" s="1373"/>
      <c r="E4" s="2269"/>
      <c r="F4" s="2269"/>
      <c r="G4" s="2268">
        <v>1</v>
      </c>
      <c r="H4" s="1373"/>
      <c r="I4" s="1373"/>
      <c r="J4" s="1373"/>
      <c r="K4" s="1373"/>
      <c r="L4" s="1374"/>
      <c r="M4" s="1375"/>
      <c r="N4" s="1375"/>
      <c r="O4" s="1375"/>
      <c r="P4" s="1422"/>
      <c r="Q4" s="1421"/>
      <c r="R4" s="363"/>
      <c r="S4" s="1503">
        <f>INDEX(PT_DIFFERENTIATION_NUM_CS,MATCH(C4,PT_DIFFERENTIATION_CS_ID,0))</f>
      </c>
      <c r="T4" s="319" t="s">
        <v>538</v>
      </c>
      <c r="U4" s="310"/>
      <c r="V4" s="2253"/>
      <c r="W4" s="2253"/>
      <c r="X4" s="2253"/>
      <c r="Y4" s="2253"/>
      <c r="Z4" s="2253"/>
      <c r="AA4" s="2253"/>
      <c r="AB4" s="2253"/>
      <c r="AC4" s="2254"/>
      <c r="AD4" s="2252">
        <f>INDEX(PT_DIFFERENTIATION_CS,MATCH(C4,PT_DIFFERENTIATION_CS_ID,0))</f>
      </c>
      <c r="AE4" s="2253"/>
      <c r="AF4" s="2253"/>
      <c r="AG4" s="2253"/>
      <c r="AH4" s="2253"/>
      <c r="AI4" s="2253"/>
      <c r="AJ4" s="2253"/>
      <c r="AK4" s="2253"/>
      <c r="AL4" s="2253"/>
      <c r="AM4" s="2253"/>
      <c r="AN4" s="2253"/>
      <c r="AO4" s="2253"/>
      <c r="AP4" s="2253"/>
      <c r="AQ4" s="2253"/>
      <c r="AR4" s="2253"/>
      <c r="AS4" s="2253"/>
      <c r="AT4" s="2253"/>
      <c r="AU4" s="2253"/>
      <c r="AV4" s="2253"/>
      <c r="AW4" s="2253"/>
      <c r="AX4" s="2253"/>
      <c r="AY4" s="2253"/>
      <c r="AZ4" s="2253"/>
      <c r="BA4" s="2253"/>
      <c r="BB4" s="2254"/>
      <c r="BC4" s="1268" t="s">
        <v>539</v>
      </c>
      <c r="BE4" s="510"/>
      <c r="BF4" s="510" t="str">
        <f>IF(T4="","",T4)</f>
        <v>Наименование централизованной системы водоотведения</v>
      </c>
      <c r="BG4" s="510"/>
      <c r="BH4" s="510"/>
      <c r="BI4" s="1165">
        <v>0</v>
      </c>
    </row>
    <row s="1652" customFormat="1" customHeight="1" ht="14.25" hidden="1">
      <c r="A5" s="1353"/>
      <c r="B5" s="1353"/>
      <c r="C5" s="1353"/>
      <c r="D5" s="1353"/>
      <c r="E5" s="2269"/>
      <c r="F5" s="2269"/>
      <c r="G5" s="2269"/>
      <c r="H5" s="2268">
        <v>1</v>
      </c>
      <c r="I5" s="1353"/>
      <c r="J5" s="1353"/>
      <c r="K5" s="1353"/>
      <c r="L5" s="1356"/>
      <c r="M5" s="1325"/>
      <c r="N5" s="1325"/>
      <c r="O5" s="1325"/>
      <c r="P5" s="1507"/>
      <c r="Q5" s="1508"/>
      <c r="R5" s="367"/>
      <c r="S5" s="1052"/>
      <c r="T5" s="1509"/>
      <c r="U5" s="1394"/>
      <c r="V5" s="2307"/>
      <c r="W5" s="2307"/>
      <c r="X5" s="2307"/>
      <c r="Y5" s="2307"/>
      <c r="Z5" s="2307"/>
      <c r="AA5" s="2307"/>
      <c r="AB5" s="2307"/>
      <c r="AC5" s="2308"/>
      <c r="AD5" s="2306"/>
      <c r="AE5" s="2307"/>
      <c r="AF5" s="2307"/>
      <c r="AG5" s="2307"/>
      <c r="AH5" s="2307"/>
      <c r="AI5" s="2307"/>
      <c r="AJ5" s="2307"/>
      <c r="AK5" s="2307"/>
      <c r="AL5" s="2307"/>
      <c r="AM5" s="2307"/>
      <c r="AN5" s="2307"/>
      <c r="AO5" s="2307"/>
      <c r="AP5" s="2307"/>
      <c r="AQ5" s="2307"/>
      <c r="AR5" s="2307"/>
      <c r="AS5" s="2307"/>
      <c r="AT5" s="2307"/>
      <c r="AU5" s="2307"/>
      <c r="AV5" s="2307"/>
      <c r="AW5" s="2307"/>
      <c r="AX5" s="2307"/>
      <c r="AY5" s="2307"/>
      <c r="AZ5" s="2307"/>
      <c r="BA5" s="2307"/>
      <c r="BB5" s="2308"/>
      <c r="BC5" s="1395" t="s">
        <v>424</v>
      </c>
      <c r="BE5" s="510"/>
      <c r="BF5" s="510" t="str">
        <f>IF(T5="","",T5)</f>
        <v/>
      </c>
      <c r="BG5" s="510"/>
      <c r="BH5" s="510"/>
      <c r="BI5" s="521">
        <v>0</v>
      </c>
    </row>
    <row s="1652" customFormat="1" customHeight="1" ht="14.25" hidden="1">
      <c r="A6" s="1353"/>
      <c r="B6" s="1353"/>
      <c r="C6" s="1353"/>
      <c r="D6" s="1353"/>
      <c r="E6" s="2269"/>
      <c r="F6" s="2269"/>
      <c r="G6" s="2269"/>
      <c r="H6" s="2269"/>
      <c r="I6" s="2266" t="str">
        <f>S5&amp;".1"</f>
        <v>.1</v>
      </c>
      <c r="J6" s="1353"/>
      <c r="K6" s="1353"/>
      <c r="L6" s="1356" t="s">
        <v>425</v>
      </c>
      <c r="M6" s="520"/>
      <c r="N6" s="520"/>
      <c r="O6" s="520"/>
      <c r="P6" s="2267">
        <v>1</v>
      </c>
      <c r="Q6" s="1491"/>
      <c r="R6" s="366"/>
      <c r="S6" s="1052"/>
      <c r="T6" s="1393"/>
      <c r="U6" s="1394"/>
      <c r="V6" s="2307"/>
      <c r="W6" s="2307"/>
      <c r="X6" s="2307"/>
      <c r="Y6" s="2307"/>
      <c r="Z6" s="2307"/>
      <c r="AA6" s="2307"/>
      <c r="AB6" s="2307"/>
      <c r="AC6" s="2308"/>
      <c r="AD6" s="2306"/>
      <c r="AE6" s="2307"/>
      <c r="AF6" s="2307"/>
      <c r="AG6" s="2307"/>
      <c r="AH6" s="2307"/>
      <c r="AI6" s="2307"/>
      <c r="AJ6" s="2307"/>
      <c r="AK6" s="2307"/>
      <c r="AL6" s="2307"/>
      <c r="AM6" s="2307"/>
      <c r="AN6" s="2307"/>
      <c r="AO6" s="2307"/>
      <c r="AP6" s="2307"/>
      <c r="AQ6" s="2307"/>
      <c r="AR6" s="2307"/>
      <c r="AS6" s="2307"/>
      <c r="AT6" s="2307"/>
      <c r="AU6" s="2307"/>
      <c r="AV6" s="2307"/>
      <c r="AW6" s="2307"/>
      <c r="AX6" s="2307"/>
      <c r="AY6" s="2307"/>
      <c r="AZ6" s="2307"/>
      <c r="BA6" s="2307"/>
      <c r="BB6" s="2308"/>
      <c r="BC6" s="1395"/>
      <c r="BE6" s="510"/>
      <c r="BF6" s="510" t="str">
        <f>IF(T6="","",T6)</f>
        <v/>
      </c>
      <c r="BG6" s="510"/>
      <c r="BH6" s="510"/>
      <c r="BI6" s="521">
        <v>0</v>
      </c>
    </row>
    <row s="1652" customFormat="1" customHeight="1" ht="14.25" hidden="1">
      <c r="A7" s="1353"/>
      <c r="B7" s="1353"/>
      <c r="C7" s="1353"/>
      <c r="D7" s="1353"/>
      <c r="E7" s="2269"/>
      <c r="F7" s="2269"/>
      <c r="G7" s="2269"/>
      <c r="H7" s="2269"/>
      <c r="I7" s="2296"/>
      <c r="J7" s="2266" t="str">
        <f>S5&amp;".1"</f>
        <v>.1</v>
      </c>
      <c r="K7" s="1353"/>
      <c r="L7" s="1356"/>
      <c r="M7" s="520"/>
      <c r="N7" s="520"/>
      <c r="O7" s="520"/>
      <c r="P7" s="2267"/>
      <c r="Q7" s="2267">
        <v>1</v>
      </c>
      <c r="R7" s="367"/>
      <c r="S7" s="1052"/>
      <c r="T7" s="1409"/>
      <c r="U7" s="1394"/>
      <c r="V7" s="2307"/>
      <c r="W7" s="2307"/>
      <c r="X7" s="2307"/>
      <c r="Y7" s="2307"/>
      <c r="Z7" s="2307"/>
      <c r="AA7" s="2307"/>
      <c r="AB7" s="2307"/>
      <c r="AC7" s="2308"/>
      <c r="AD7" s="2306"/>
      <c r="AE7" s="2307"/>
      <c r="AF7" s="2307"/>
      <c r="AG7" s="2307"/>
      <c r="AH7" s="2307"/>
      <c r="AI7" s="2307"/>
      <c r="AJ7" s="2307"/>
      <c r="AK7" s="2307"/>
      <c r="AL7" s="2307"/>
      <c r="AM7" s="2307"/>
      <c r="AN7" s="2307"/>
      <c r="AO7" s="2307"/>
      <c r="AP7" s="2307"/>
      <c r="AQ7" s="2307"/>
      <c r="AR7" s="2307"/>
      <c r="AS7" s="2307"/>
      <c r="AT7" s="2307"/>
      <c r="AU7" s="2307"/>
      <c r="AV7" s="2307"/>
      <c r="AW7" s="2307"/>
      <c r="AX7" s="2307"/>
      <c r="AY7" s="2307"/>
      <c r="AZ7" s="2307"/>
      <c r="BA7" s="2307"/>
      <c r="BB7" s="2308"/>
      <c r="BC7" s="1395"/>
      <c r="BE7" s="510"/>
      <c r="BF7" s="510" t="str">
        <f>IF(T7="","",T7)</f>
        <v/>
      </c>
      <c r="BG7" s="510"/>
      <c r="BH7" s="510"/>
      <c r="BI7" s="521">
        <v>0</v>
      </c>
    </row>
    <row customHeight="1" ht="11.25" hidden="1">
      <c r="A8" s="1373"/>
      <c r="B8" s="1373"/>
      <c r="C8" s="1373"/>
      <c r="D8" s="1373"/>
      <c r="E8" s="2269"/>
      <c r="F8" s="2269"/>
      <c r="G8" s="2269"/>
      <c r="H8" s="2269"/>
      <c r="I8" s="2296"/>
      <c r="J8" s="2296"/>
      <c r="K8" s="2266">
        <f>S4&amp;".1"</f>
      </c>
      <c r="L8" s="1374"/>
      <c r="P8" s="2267"/>
      <c r="Q8" s="2267"/>
      <c r="R8" s="2357">
        <v>1</v>
      </c>
      <c r="S8" s="2351">
        <f>$K8</f>
      </c>
      <c r="T8" s="2370"/>
      <c r="U8" s="310"/>
      <c r="V8" s="761"/>
      <c r="W8" s="1267"/>
      <c r="X8" s="761"/>
      <c r="Y8" s="1267"/>
      <c r="Z8" s="1744"/>
      <c r="AA8" s="1479" t="s">
        <v>66</v>
      </c>
      <c r="AB8" s="1744"/>
      <c r="AC8" s="1479" t="s">
        <v>66</v>
      </c>
      <c r="AD8" s="2195" t="s">
        <v>66</v>
      </c>
      <c r="AE8" s="2336"/>
      <c r="AF8" s="2215">
        <v>1</v>
      </c>
      <c r="AG8" s="2373"/>
      <c r="AH8" s="2117" t="s">
        <v>66</v>
      </c>
      <c r="AI8" s="2336"/>
      <c r="AJ8" s="2215">
        <v>1</v>
      </c>
      <c r="AK8" s="2337" t="s">
        <v>22</v>
      </c>
      <c r="AL8" s="2117" t="s">
        <v>66</v>
      </c>
      <c r="AM8" s="2202"/>
      <c r="AN8" s="2215">
        <v>1</v>
      </c>
      <c r="AO8" s="2367"/>
      <c r="AP8" s="2368" t="s">
        <v>66</v>
      </c>
      <c r="AQ8" s="321"/>
      <c r="AR8" s="1496">
        <v>1</v>
      </c>
      <c r="AS8" s="1502" t="s">
        <v>22</v>
      </c>
      <c r="AT8" s="761"/>
      <c r="AU8" s="1267"/>
      <c r="AV8" s="761"/>
      <c r="AW8" s="1267"/>
      <c r="AX8" s="1744"/>
      <c r="AY8" s="1479" t="s">
        <v>66</v>
      </c>
      <c r="AZ8" s="1744"/>
      <c r="BA8" s="1479" t="s">
        <v>66</v>
      </c>
      <c r="BB8" s="1358"/>
      <c r="BC8" s="2263" t="s">
        <v>523</v>
      </c>
      <c r="BE8" s="510"/>
      <c r="BF8" s="510" t="str">
        <f>IF(T8="","",T8)</f>
        <v/>
      </c>
      <c r="BG8" s="510"/>
      <c r="BH8" s="510"/>
      <c r="BI8" s="1165">
        <v>0</v>
      </c>
    </row>
    <row customHeight="1" ht="11.25" hidden="1">
      <c r="A9" s="1373"/>
      <c r="B9" s="1373"/>
      <c r="C9" s="1373"/>
      <c r="D9" s="1373"/>
      <c r="E9" s="2269"/>
      <c r="F9" s="2269"/>
      <c r="G9" s="2269"/>
      <c r="H9" s="2269"/>
      <c r="I9" s="2296"/>
      <c r="J9" s="2296"/>
      <c r="K9" s="2266"/>
      <c r="L9" s="1374"/>
      <c r="P9" s="2267"/>
      <c r="Q9" s="2267"/>
      <c r="R9" s="2357"/>
      <c r="S9" s="2352"/>
      <c r="T9" s="2371"/>
      <c r="U9" s="310"/>
      <c r="V9" s="1403"/>
      <c r="W9" s="1506"/>
      <c r="X9" s="1403"/>
      <c r="Y9" s="1506"/>
      <c r="Z9" s="1403"/>
      <c r="AA9" s="1403"/>
      <c r="AB9" s="1403"/>
      <c r="AC9" s="1403"/>
      <c r="AD9" s="2196"/>
      <c r="AE9" s="2336"/>
      <c r="AF9" s="2215"/>
      <c r="AG9" s="2373"/>
      <c r="AH9" s="2117"/>
      <c r="AI9" s="2336"/>
      <c r="AJ9" s="2215"/>
      <c r="AK9" s="2337"/>
      <c r="AL9" s="2117"/>
      <c r="AM9" s="2210"/>
      <c r="AN9" s="2215"/>
      <c r="AO9" s="2367"/>
      <c r="AP9" s="2369"/>
      <c r="AQ9" s="326"/>
      <c r="AR9" s="426"/>
      <c r="AS9" s="426" t="s">
        <v>524</v>
      </c>
      <c r="AT9" s="1403"/>
      <c r="AU9" s="1506"/>
      <c r="AV9" s="1403"/>
      <c r="AW9" s="1506"/>
      <c r="AX9" s="1403"/>
      <c r="AY9" s="1403"/>
      <c r="AZ9" s="1403"/>
      <c r="BA9" s="1403"/>
      <c r="BB9" s="1407"/>
      <c r="BC9" s="2264"/>
      <c r="BE9" s="510"/>
      <c r="BF9" s="510"/>
      <c r="BG9" s="510"/>
      <c r="BH9" s="510"/>
      <c r="BI9" s="1165">
        <v>0</v>
      </c>
    </row>
    <row customHeight="1" ht="11.25" hidden="1">
      <c r="A10" s="1373"/>
      <c r="B10" s="1373"/>
      <c r="C10" s="1373"/>
      <c r="D10" s="1373"/>
      <c r="E10" s="2269"/>
      <c r="F10" s="2269"/>
      <c r="G10" s="2269"/>
      <c r="H10" s="2269"/>
      <c r="I10" s="2296"/>
      <c r="J10" s="2296"/>
      <c r="K10" s="2266"/>
      <c r="L10" s="1374"/>
      <c r="P10" s="2267"/>
      <c r="Q10" s="2267"/>
      <c r="R10" s="2357"/>
      <c r="S10" s="2352"/>
      <c r="T10" s="2371"/>
      <c r="U10" s="310"/>
      <c r="V10" s="1403"/>
      <c r="W10" s="1506"/>
      <c r="X10" s="1403"/>
      <c r="Y10" s="1506"/>
      <c r="Z10" s="1403"/>
      <c r="AA10" s="1403"/>
      <c r="AB10" s="1403"/>
      <c r="AC10" s="1403"/>
      <c r="AD10" s="2196"/>
      <c r="AE10" s="2336"/>
      <c r="AF10" s="2215"/>
      <c r="AG10" s="2373"/>
      <c r="AH10" s="2117"/>
      <c r="AI10" s="2336"/>
      <c r="AJ10" s="2215"/>
      <c r="AK10" s="2337"/>
      <c r="AL10" s="2117"/>
      <c r="AM10" s="326"/>
      <c r="AN10" s="1510"/>
      <c r="AO10" s="1510" t="s">
        <v>544</v>
      </c>
      <c r="AP10" s="426"/>
      <c r="AQ10" s="426"/>
      <c r="AR10" s="426"/>
      <c r="AS10" s="1403"/>
      <c r="AT10" s="1403"/>
      <c r="AU10" s="1506"/>
      <c r="AV10" s="1403"/>
      <c r="AW10" s="1506"/>
      <c r="AX10" s="1403"/>
      <c r="AY10" s="1403"/>
      <c r="AZ10" s="1403"/>
      <c r="BA10" s="1403"/>
      <c r="BB10" s="1407"/>
      <c r="BC10" s="2264"/>
      <c r="BE10" s="510"/>
      <c r="BF10" s="510"/>
      <c r="BG10" s="510"/>
      <c r="BH10" s="510"/>
      <c r="BI10" s="1165">
        <v>0</v>
      </c>
    </row>
    <row customHeight="1" ht="11.25" hidden="1">
      <c r="A11" s="1373"/>
      <c r="B11" s="1373"/>
      <c r="C11" s="1373"/>
      <c r="D11" s="1373"/>
      <c r="E11" s="2269"/>
      <c r="F11" s="2269"/>
      <c r="G11" s="2269"/>
      <c r="H11" s="2269"/>
      <c r="I11" s="2296"/>
      <c r="J11" s="2296"/>
      <c r="K11" s="2266"/>
      <c r="L11" s="1374"/>
      <c r="P11" s="2267"/>
      <c r="Q11" s="2267"/>
      <c r="R11" s="2357"/>
      <c r="S11" s="2352"/>
      <c r="T11" s="2371"/>
      <c r="U11" s="310"/>
      <c r="V11" s="1403"/>
      <c r="W11" s="1506"/>
      <c r="X11" s="1403"/>
      <c r="Y11" s="1506"/>
      <c r="Z11" s="1403"/>
      <c r="AA11" s="1403"/>
      <c r="AB11" s="1403"/>
      <c r="AC11" s="1403"/>
      <c r="AD11" s="2196"/>
      <c r="AE11" s="2336"/>
      <c r="AF11" s="2215"/>
      <c r="AG11" s="2373"/>
      <c r="AH11" s="2117"/>
      <c r="AI11" s="304"/>
      <c r="AJ11" s="425"/>
      <c r="AK11" s="323" t="s">
        <v>545</v>
      </c>
      <c r="AL11" s="1403"/>
      <c r="AM11" s="1403"/>
      <c r="AN11" s="1403"/>
      <c r="AO11" s="1403"/>
      <c r="AP11" s="1403"/>
      <c r="AQ11" s="1403"/>
      <c r="AR11" s="1403"/>
      <c r="AS11" s="1403"/>
      <c r="AT11" s="1403"/>
      <c r="AU11" s="1506"/>
      <c r="AV11" s="1403"/>
      <c r="AW11" s="1506"/>
      <c r="AX11" s="1403"/>
      <c r="AY11" s="1403"/>
      <c r="AZ11" s="1403"/>
      <c r="BA11" s="1403"/>
      <c r="BB11" s="1407"/>
      <c r="BC11" s="2264"/>
      <c r="BE11" s="510"/>
      <c r="BF11" s="510"/>
      <c r="BG11" s="510"/>
      <c r="BH11" s="510"/>
      <c r="BI11" s="1165">
        <v>0</v>
      </c>
    </row>
    <row customHeight="1" ht="11.25" hidden="1">
      <c r="A12" s="1373"/>
      <c r="B12" s="1373"/>
      <c r="C12" s="1373"/>
      <c r="D12" s="1373"/>
      <c r="E12" s="2269"/>
      <c r="F12" s="2269"/>
      <c r="G12" s="2269"/>
      <c r="H12" s="2269"/>
      <c r="I12" s="2296"/>
      <c r="J12" s="2296"/>
      <c r="K12" s="2266"/>
      <c r="L12" s="1374"/>
      <c r="P12" s="2267"/>
      <c r="Q12" s="2267"/>
      <c r="R12" s="2357"/>
      <c r="S12" s="2353"/>
      <c r="T12" s="2372"/>
      <c r="U12" s="310"/>
      <c r="V12" s="1403"/>
      <c r="W12" s="1404" t="str">
        <f>Z8&amp;"-"&amp;AB8</f>
        <v>-</v>
      </c>
      <c r="X12" s="1403"/>
      <c r="Y12" s="1404" t="str">
        <f>AB8&amp;"-"&amp;AD8</f>
        <v>-да</v>
      </c>
      <c r="Z12" s="1403"/>
      <c r="AA12" s="1403"/>
      <c r="AB12" s="1403"/>
      <c r="AC12" s="1403"/>
      <c r="AD12" s="2122"/>
      <c r="AE12" s="322"/>
      <c r="AF12" s="324"/>
      <c r="AG12" s="426" t="s">
        <v>527</v>
      </c>
      <c r="AH12" s="1403"/>
      <c r="AI12" s="1403"/>
      <c r="AJ12" s="1403"/>
      <c r="AK12" s="1403"/>
      <c r="AL12" s="1403"/>
      <c r="AM12" s="1403"/>
      <c r="AN12" s="1403"/>
      <c r="AO12" s="1403"/>
      <c r="AP12" s="1403"/>
      <c r="AQ12" s="1403"/>
      <c r="AR12" s="1403"/>
      <c r="AS12" s="1403"/>
      <c r="AT12" s="1403"/>
      <c r="AU12" s="1404" t="str">
        <f>AX8&amp;"-"&amp;AZ8</f>
        <v>-</v>
      </c>
      <c r="AV12" s="1403"/>
      <c r="AW12" s="1404" t="str">
        <f>AZ8&amp;"-"&amp;BB8</f>
        <v>-</v>
      </c>
      <c r="AX12" s="1403"/>
      <c r="AY12" s="1403"/>
      <c r="AZ12" s="1403"/>
      <c r="BA12" s="1403"/>
      <c r="BB12" s="1406" t="str">
        <f>BE8&amp;"-"&amp;BG8</f>
        <v>-</v>
      </c>
      <c r="BC12" s="2264"/>
      <c r="BE12" s="510"/>
      <c r="BF12" s="510" t="str">
        <f>IF(T12="","",T12)</f>
        <v/>
      </c>
      <c r="BG12" s="510"/>
      <c r="BH12" s="510"/>
      <c r="BI12" s="1165">
        <v>0</v>
      </c>
    </row>
    <row customHeight="1" ht="11.25" hidden="1">
      <c r="A13" s="1373"/>
      <c r="B13" s="1373"/>
      <c r="C13" s="1373"/>
      <c r="D13" s="1373"/>
      <c r="E13" s="2269"/>
      <c r="F13" s="2269"/>
      <c r="G13" s="2269"/>
      <c r="H13" s="2269"/>
      <c r="I13" s="2296"/>
      <c r="J13" s="2266"/>
      <c r="K13" s="1373"/>
      <c r="L13" s="1374"/>
      <c r="P13" s="2267"/>
      <c r="Q13" s="2267"/>
      <c r="R13" s="366"/>
      <c r="S13" s="1288"/>
      <c r="T13" s="297" t="s">
        <v>490</v>
      </c>
      <c r="U13" s="377"/>
      <c r="V13" s="377"/>
      <c r="W13" s="377"/>
      <c r="X13" s="377"/>
      <c r="Y13" s="377"/>
      <c r="Z13" s="377"/>
      <c r="AA13" s="377"/>
      <c r="AB13" s="377"/>
      <c r="AC13" s="377"/>
      <c r="AD13" s="1515"/>
      <c r="AE13" s="377"/>
      <c r="AF13" s="377"/>
      <c r="AG13" s="377"/>
      <c r="AH13" s="377"/>
      <c r="AI13" s="377"/>
      <c r="AJ13" s="377"/>
      <c r="AK13" s="377"/>
      <c r="AL13" s="377"/>
      <c r="AM13" s="377"/>
      <c r="AN13" s="377"/>
      <c r="AO13" s="377"/>
      <c r="AP13" s="377"/>
      <c r="AQ13" s="377"/>
      <c r="AR13" s="377"/>
      <c r="AS13" s="377"/>
      <c r="AT13" s="377"/>
      <c r="AU13" s="377"/>
      <c r="AV13" s="377"/>
      <c r="AW13" s="377"/>
      <c r="AX13" s="377"/>
      <c r="AY13" s="377"/>
      <c r="AZ13" s="377"/>
      <c r="BA13" s="377"/>
      <c r="BB13" s="334"/>
      <c r="BC13" s="2265"/>
      <c r="BE13" s="510"/>
      <c r="BF13" s="510" t="str">
        <f>IF(T13="","",T13)</f>
        <v>Добавить строку</v>
      </c>
      <c r="BG13" s="510"/>
      <c r="BH13" s="510"/>
      <c r="BI13" s="1165">
        <v>0</v>
      </c>
    </row>
    <row s="1652" customFormat="1" customHeight="1" ht="14.25" hidden="1">
      <c r="A14" s="1353"/>
      <c r="B14" s="1353"/>
      <c r="C14" s="1353"/>
      <c r="D14" s="1353"/>
      <c r="E14" s="2269"/>
      <c r="F14" s="2269"/>
      <c r="G14" s="2269"/>
      <c r="H14" s="2269"/>
      <c r="I14" s="2266"/>
      <c r="J14" s="1353"/>
      <c r="K14" s="1353"/>
      <c r="L14" s="1356"/>
      <c r="M14" s="520"/>
      <c r="N14" s="520"/>
      <c r="O14" s="520"/>
      <c r="P14" s="2267"/>
      <c r="Q14" s="1491"/>
      <c r="R14" s="366"/>
      <c r="S14" s="1396"/>
      <c r="T14" s="1397"/>
      <c r="U14" s="1398"/>
      <c r="V14" s="1398"/>
      <c r="W14" s="1398"/>
      <c r="X14" s="1398"/>
      <c r="Y14" s="1398"/>
      <c r="Z14" s="1398"/>
      <c r="AA14" s="1398"/>
      <c r="AB14" s="1398"/>
      <c r="AC14" s="1398"/>
      <c r="AD14" s="1398"/>
      <c r="AE14" s="1398"/>
      <c r="AF14" s="1398"/>
      <c r="AG14" s="1398"/>
      <c r="AH14" s="1398"/>
      <c r="AI14" s="1398"/>
      <c r="AJ14" s="1398"/>
      <c r="AK14" s="1398"/>
      <c r="AL14" s="1398"/>
      <c r="AM14" s="1398"/>
      <c r="AN14" s="1398"/>
      <c r="AO14" s="1398"/>
      <c r="AP14" s="1398"/>
      <c r="AQ14" s="1398"/>
      <c r="AR14" s="1398"/>
      <c r="AS14" s="1398"/>
      <c r="AT14" s="1398"/>
      <c r="AU14" s="1398"/>
      <c r="AV14" s="1398"/>
      <c r="AW14" s="1398"/>
      <c r="AX14" s="1398"/>
      <c r="AY14" s="1398"/>
      <c r="AZ14" s="1398"/>
      <c r="BA14" s="1398"/>
      <c r="BB14" s="1398"/>
      <c r="BC14" s="1399"/>
      <c r="BE14" s="510"/>
      <c r="BF14" s="510" t="str">
        <f>IF(T14="","",T14)</f>
        <v/>
      </c>
      <c r="BG14" s="510"/>
      <c r="BH14" s="510"/>
      <c r="BI14" s="521">
        <v>0</v>
      </c>
    </row>
    <row s="1652" customFormat="1" customHeight="1" ht="14.25" hidden="1">
      <c r="A15" s="1353"/>
      <c r="B15" s="1353"/>
      <c r="C15" s="1353"/>
      <c r="D15" s="1353"/>
      <c r="E15" s="2269"/>
      <c r="F15" s="2269"/>
      <c r="G15" s="2269"/>
      <c r="H15" s="2268"/>
      <c r="I15" s="1353"/>
      <c r="J15" s="1353"/>
      <c r="K15" s="1353"/>
      <c r="L15" s="1356"/>
      <c r="M15" s="1325"/>
      <c r="N15" s="1325"/>
      <c r="O15" s="528"/>
      <c r="P15" s="390"/>
      <c r="Q15" s="1354"/>
      <c r="R15" s="1411"/>
      <c r="S15" s="1396"/>
      <c r="T15" s="1397"/>
      <c r="U15" s="1398"/>
      <c r="V15" s="1398"/>
      <c r="W15" s="1398"/>
      <c r="X15" s="1398"/>
      <c r="Y15" s="1398"/>
      <c r="Z15" s="1398"/>
      <c r="AA15" s="1398"/>
      <c r="AB15" s="1398"/>
      <c r="AC15" s="1398"/>
      <c r="AD15" s="1398"/>
      <c r="AE15" s="1398"/>
      <c r="AF15" s="1398"/>
      <c r="AG15" s="1398"/>
      <c r="AH15" s="1398"/>
      <c r="AI15" s="1398"/>
      <c r="AJ15" s="1398"/>
      <c r="AK15" s="1398"/>
      <c r="AL15" s="1398"/>
      <c r="AM15" s="1398"/>
      <c r="AN15" s="1398"/>
      <c r="AO15" s="1398"/>
      <c r="AP15" s="1398"/>
      <c r="AQ15" s="1398"/>
      <c r="AR15" s="1398"/>
      <c r="AS15" s="1398"/>
      <c r="AT15" s="1398"/>
      <c r="AU15" s="1398"/>
      <c r="AV15" s="1398"/>
      <c r="AW15" s="1398"/>
      <c r="AX15" s="1398"/>
      <c r="AY15" s="1398"/>
      <c r="AZ15" s="1398"/>
      <c r="BA15" s="1398"/>
      <c r="BB15" s="1398"/>
      <c r="BC15" s="1399"/>
      <c r="BE15" s="510"/>
      <c r="BF15" s="510" t="str">
        <f>IF(T15="","",T15)</f>
        <v/>
      </c>
      <c r="BG15" s="510"/>
      <c r="BH15" s="510"/>
      <c r="BI15" s="521">
        <v>0</v>
      </c>
    </row>
    <row s="1652" customFormat="1" customHeight="1" ht="14.25" hidden="1">
      <c r="A16" s="1353"/>
      <c r="B16" s="1353"/>
      <c r="C16" s="1353"/>
      <c r="D16" s="1324"/>
      <c r="E16" s="2269"/>
      <c r="F16" s="2269"/>
      <c r="G16" s="2268"/>
      <c r="H16" s="1324"/>
      <c r="I16" s="1324"/>
      <c r="J16" s="1324"/>
      <c r="K16" s="1324"/>
      <c r="L16" s="1504"/>
      <c r="M16" s="1325"/>
      <c r="N16" s="1325"/>
      <c r="P16" s="1326"/>
      <c r="Q16" s="1327"/>
      <c r="R16" s="1326"/>
      <c r="S16" s="1332"/>
      <c r="T16" s="1335"/>
      <c r="U16" s="1334"/>
      <c r="V16" s="1334"/>
      <c r="W16" s="1334"/>
      <c r="X16" s="1334"/>
      <c r="Y16" s="1334"/>
      <c r="Z16" s="1334"/>
      <c r="AA16" s="1334"/>
      <c r="AB16" s="1334"/>
      <c r="AC16" s="1334"/>
      <c r="AD16" s="1334"/>
      <c r="AE16" s="1334"/>
      <c r="AF16" s="1334"/>
      <c r="AG16" s="1334"/>
      <c r="AH16" s="1334"/>
      <c r="AI16" s="1334"/>
      <c r="AJ16" s="1334"/>
      <c r="AK16" s="1334"/>
      <c r="AL16" s="1334"/>
      <c r="AM16" s="1334"/>
      <c r="AN16" s="1334"/>
      <c r="AO16" s="1334"/>
      <c r="AP16" s="1334"/>
      <c r="AQ16" s="1334"/>
      <c r="AR16" s="1334"/>
      <c r="AS16" s="1334"/>
      <c r="AT16" s="1334"/>
      <c r="AU16" s="1334"/>
      <c r="AV16" s="1334"/>
      <c r="AW16" s="1334"/>
      <c r="AX16" s="1334"/>
      <c r="AY16" s="1334"/>
      <c r="AZ16" s="1334"/>
      <c r="BA16" s="1334"/>
      <c r="BB16" s="1334"/>
      <c r="BC16" s="1334"/>
      <c r="BE16" s="799"/>
      <c r="BF16" s="799" t="str">
        <f>IF(T16="","",T16)</f>
        <v/>
      </c>
      <c r="BG16" s="799"/>
      <c r="BH16" s="799"/>
      <c r="BI16" s="528">
        <v>0</v>
      </c>
    </row>
    <row s="1652" customFormat="1" customHeight="1" ht="14.25" hidden="1">
      <c r="A17" s="1353"/>
      <c r="B17" s="1353"/>
      <c r="C17" s="1324"/>
      <c r="D17" s="1324"/>
      <c r="E17" s="2269"/>
      <c r="F17" s="2268"/>
      <c r="G17" s="1324"/>
      <c r="H17" s="1324"/>
      <c r="I17" s="1324"/>
      <c r="J17" s="1324"/>
      <c r="K17" s="1324"/>
      <c r="L17" s="1504"/>
      <c r="M17" s="1331"/>
      <c r="N17" s="1331"/>
      <c r="P17" s="1326"/>
      <c r="Q17" s="1327"/>
      <c r="R17" s="1326"/>
      <c r="S17" s="1332"/>
      <c r="T17" s="1335" t="s">
        <v>437</v>
      </c>
      <c r="U17" s="1334"/>
      <c r="V17" s="1334"/>
      <c r="W17" s="1334"/>
      <c r="X17" s="1334"/>
      <c r="Y17" s="1334"/>
      <c r="Z17" s="1334"/>
      <c r="AA17" s="1334"/>
      <c r="AB17" s="1334"/>
      <c r="AC17" s="1334"/>
      <c r="AD17" s="1334"/>
      <c r="AE17" s="1334"/>
      <c r="AF17" s="1334"/>
      <c r="AG17" s="1334"/>
      <c r="AH17" s="1334"/>
      <c r="AI17" s="1334"/>
      <c r="AJ17" s="1334"/>
      <c r="AK17" s="1334"/>
      <c r="AL17" s="1334"/>
      <c r="AM17" s="1334"/>
      <c r="AN17" s="1334"/>
      <c r="AO17" s="1334"/>
      <c r="AP17" s="1334"/>
      <c r="AQ17" s="1334"/>
      <c r="AR17" s="1334"/>
      <c r="AS17" s="1334"/>
      <c r="AT17" s="1334"/>
      <c r="AU17" s="1334"/>
      <c r="AV17" s="1334"/>
      <c r="AW17" s="1334"/>
      <c r="AX17" s="1334"/>
      <c r="AY17" s="1334"/>
      <c r="AZ17" s="1334"/>
      <c r="BA17" s="1334"/>
      <c r="BB17" s="1334"/>
      <c r="BC17" s="1334"/>
      <c r="BE17" s="799"/>
      <c r="BF17" s="799" t="str">
        <f>IF(T17="","",T17)</f>
        <v>Добавить централизованную систему для дифференциации</v>
      </c>
      <c r="BG17" s="799"/>
      <c r="BH17" s="799"/>
      <c r="BI17" s="528">
        <v>0</v>
      </c>
    </row>
    <row s="1652" customFormat="1" customHeight="1" ht="14.25" hidden="1">
      <c r="A18" s="1353"/>
      <c r="B18" s="1353"/>
      <c r="C18" s="1353"/>
      <c r="D18" s="1353"/>
      <c r="E18" s="2268"/>
      <c r="F18" s="1353"/>
      <c r="G18" s="1353"/>
      <c r="H18" s="1353"/>
      <c r="I18" s="1353"/>
      <c r="J18" s="1353"/>
      <c r="K18" s="1353"/>
      <c r="L18" s="1356"/>
      <c r="M18" s="1331"/>
      <c r="N18" s="1331"/>
      <c r="O18" s="528"/>
      <c r="P18" s="390"/>
      <c r="Q18" s="1354"/>
      <c r="R18" s="390"/>
      <c r="S18" s="1332"/>
      <c r="T18" s="1335" t="s">
        <v>438</v>
      </c>
      <c r="U18" s="1334"/>
      <c r="V18" s="1334"/>
      <c r="W18" s="1334"/>
      <c r="X18" s="1334"/>
      <c r="Y18" s="1334"/>
      <c r="Z18" s="1334"/>
      <c r="AA18" s="1334"/>
      <c r="AB18" s="1334"/>
      <c r="AC18" s="1334"/>
      <c r="AD18" s="1334"/>
      <c r="AE18" s="1334"/>
      <c r="AF18" s="1334"/>
      <c r="AG18" s="1334"/>
      <c r="AH18" s="1334"/>
      <c r="AI18" s="1334"/>
      <c r="AJ18" s="1334"/>
      <c r="AK18" s="1334"/>
      <c r="AL18" s="1334"/>
      <c r="AM18" s="1334"/>
      <c r="AN18" s="1334"/>
      <c r="AO18" s="1334"/>
      <c r="AP18" s="1334"/>
      <c r="AQ18" s="1334"/>
      <c r="AR18" s="1334"/>
      <c r="AS18" s="1334"/>
      <c r="AT18" s="1334"/>
      <c r="AU18" s="1334"/>
      <c r="AV18" s="1334"/>
      <c r="AW18" s="1334"/>
      <c r="AX18" s="1334"/>
      <c r="AY18" s="1334"/>
      <c r="AZ18" s="1334"/>
      <c r="BA18" s="1334"/>
      <c r="BB18" s="1334"/>
      <c r="BC18" s="1334"/>
      <c r="BE18" s="510"/>
      <c r="BF18" s="510" t="str">
        <f>IF(T18="","",T18)</f>
        <v>Добавить территорию для дифференциации</v>
      </c>
      <c r="BG18" s="510"/>
      <c r="BH18" s="510"/>
      <c r="BI18" s="521">
        <v>0</v>
      </c>
    </row>
    <row customHeight="1" ht="14.25" hidden="1">
      <c r="AC19" s="337"/>
      <c r="BA19" s="337"/>
      <c r="BI19" s="1165">
        <v>0</v>
      </c>
    </row>
    <row customHeight="1" ht="14.25" hidden="1">
      <c r="AD20" s="1334" t="s">
        <v>19</v>
      </c>
      <c r="AE20" s="1511"/>
      <c r="AF20" s="558">
        <v>1</v>
      </c>
      <c r="AG20" s="1512"/>
      <c r="AH20" s="1334" t="s">
        <v>19</v>
      </c>
      <c r="AI20" s="1511"/>
      <c r="AJ20" s="558">
        <v>1</v>
      </c>
      <c r="AK20" s="1512"/>
      <c r="AL20" s="1334" t="s">
        <v>19</v>
      </c>
      <c r="AM20" s="1513"/>
      <c r="AN20" s="558">
        <v>1</v>
      </c>
      <c r="AO20" s="1514"/>
      <c r="AP20" s="1334" t="s">
        <v>19</v>
      </c>
      <c r="AQ20" s="1513"/>
      <c r="AR20" s="558">
        <v>1</v>
      </c>
      <c r="AS20" s="1514"/>
      <c r="AT20" s="335"/>
      <c r="AU20" s="394"/>
      <c r="AV20" s="335"/>
      <c r="AW20" s="394"/>
      <c r="AX20" s="1746"/>
      <c r="AY20" s="1495" t="s">
        <v>66</v>
      </c>
      <c r="AZ20" s="1746"/>
      <c r="BA20" s="1495" t="s">
        <v>66</v>
      </c>
      <c r="BI20" s="1165">
        <v>0</v>
      </c>
    </row>
    <row customHeight="1" ht="14.25" hidden="1">
      <c r="BD21" s="506"/>
      <c r="BE21" s="506"/>
      <c r="BF21" s="506"/>
      <c r="BG21" s="506"/>
      <c r="BH21" s="506"/>
      <c r="BI21" s="1165">
        <v>0</v>
      </c>
    </row>
    <row customHeight="1" ht="14.25" hidden="1">
      <c r="O22" s="1377" t="s">
        <v>439</v>
      </c>
      <c r="Z22" s="1355"/>
      <c r="AB22" s="1355"/>
      <c r="AC22" s="337"/>
      <c r="AX22" s="1355"/>
      <c r="AZ22" s="1355"/>
      <c r="BA22" s="337"/>
      <c r="BD22" s="506"/>
      <c r="BE22" s="506"/>
      <c r="BF22" s="506"/>
      <c r="BG22" s="506"/>
      <c r="BH22" s="506"/>
      <c r="BI22" s="1165">
        <v>0</v>
      </c>
    </row>
    <row customHeight="1" ht="14.25" hidden="1">
      <c r="AC23" s="337"/>
      <c r="BA23" s="337"/>
      <c r="BD23" s="506"/>
      <c r="BE23" s="506"/>
      <c r="BF23" s="506"/>
      <c r="BG23" s="506"/>
      <c r="BH23" s="506"/>
      <c r="BI23" s="1165">
        <v>0</v>
      </c>
    </row>
    <row s="1519" customFormat="1" customHeight="1" ht="14.25" hidden="1">
      <c r="M24" s="1518"/>
      <c r="N24" s="1518"/>
      <c r="O24" s="1519" t="s">
        <v>440</v>
      </c>
      <c r="P24" s="1518"/>
      <c r="Q24" s="1520"/>
      <c r="R24" s="1520"/>
      <c r="AA24" s="1517" t="s">
        <v>442</v>
      </c>
      <c r="AC24" s="1517" t="s">
        <v>443</v>
      </c>
      <c r="AD24" s="1517" t="s">
        <v>491</v>
      </c>
      <c r="AH24" s="1517" t="s">
        <v>491</v>
      </c>
      <c r="AK24" s="1517" t="s">
        <v>528</v>
      </c>
      <c r="AL24" s="1517" t="s">
        <v>491</v>
      </c>
      <c r="AP24" s="1517" t="s">
        <v>491</v>
      </c>
      <c r="AY24" s="1517" t="s">
        <v>442</v>
      </c>
      <c r="BA24" s="1517" t="s">
        <v>443</v>
      </c>
      <c r="BD24" s="1521"/>
      <c r="BE24" s="1521"/>
      <c r="BF24" s="1521"/>
      <c r="BG24" s="1521"/>
      <c r="BH24" s="1521"/>
      <c r="BI24" s="1517">
        <v>0</v>
      </c>
    </row>
    <row customHeight="1" ht="14.25" hidden="1">
      <c r="O25" s="1374"/>
      <c r="BD25" s="506"/>
      <c r="BE25" s="506"/>
      <c r="BF25" s="506"/>
      <c r="BG25" s="506"/>
      <c r="BH25" s="506"/>
      <c r="BI25" s="1165">
        <v>0</v>
      </c>
    </row>
    <row customHeight="1" ht="14.25" hidden="1">
      <c r="O26" s="1374"/>
      <c r="BD26" s="506"/>
      <c r="BE26" s="506"/>
      <c r="BF26" s="506"/>
      <c r="BG26" s="506"/>
      <c r="BH26" s="506"/>
      <c r="BI26" s="1165">
        <v>0</v>
      </c>
    </row>
    <row customHeight="1" ht="14.699999999999998">
      <c r="Q27" s="301"/>
      <c r="R27" s="386"/>
      <c r="S27" s="1285"/>
      <c r="T27" s="373"/>
      <c r="U27" s="373"/>
      <c r="V27" s="519"/>
      <c r="W27" s="519"/>
      <c r="X27" s="519"/>
      <c r="Y27" s="519"/>
      <c r="Z27" s="519"/>
      <c r="AA27" s="519"/>
      <c r="AB27" s="519"/>
      <c r="AC27" s="519"/>
      <c r="AD27" s="519"/>
      <c r="AE27" s="519"/>
      <c r="AF27" s="519"/>
      <c r="AG27" s="519"/>
      <c r="AH27" s="519"/>
      <c r="AI27" s="519"/>
      <c r="AJ27" s="519"/>
      <c r="AK27" s="519"/>
      <c r="AL27" s="519"/>
      <c r="AM27" s="519"/>
      <c r="AN27" s="519"/>
      <c r="AO27" s="519"/>
      <c r="AP27" s="519"/>
      <c r="AQ27" s="519"/>
      <c r="AR27" s="519"/>
      <c r="AS27" s="519"/>
      <c r="AT27" s="519"/>
      <c r="AU27" s="519"/>
      <c r="AV27" s="519"/>
      <c r="AW27" s="519"/>
      <c r="AX27" s="519"/>
      <c r="AY27" s="519"/>
      <c r="AZ27" s="519"/>
      <c r="BA27" s="519"/>
      <c r="BI27" s="1165">
        <v>14</v>
      </c>
    </row>
    <row customHeight="1" ht="14.699999999999998">
      <c r="Q28" s="301"/>
      <c r="R28" s="386"/>
      <c r="S28" s="2258"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8"/>
      <c r="U28" s="2258"/>
      <c r="V28" s="2258"/>
      <c r="W28" s="2258"/>
      <c r="X28" s="2258"/>
      <c r="Y28" s="2258"/>
      <c r="Z28" s="2258"/>
      <c r="AA28" s="2258"/>
      <c r="AB28" s="2258"/>
      <c r="AC28" s="2258"/>
      <c r="AD28" s="2258"/>
      <c r="AE28" s="2258"/>
      <c r="AF28" s="2258"/>
      <c r="AG28" s="2258"/>
      <c r="AH28" s="2258"/>
      <c r="AI28" s="2258"/>
      <c r="AJ28" s="2258"/>
      <c r="AK28" s="2258"/>
      <c r="AL28" s="2258"/>
      <c r="AM28" s="2258"/>
      <c r="AN28" s="2258"/>
      <c r="AO28" s="2258"/>
      <c r="AP28" s="2258"/>
      <c r="AQ28" s="2258"/>
      <c r="AR28" s="2258"/>
      <c r="AS28" s="2258"/>
      <c r="AT28" s="2258"/>
      <c r="AU28" s="2258"/>
      <c r="AV28" s="2258"/>
      <c r="AW28" s="2258"/>
      <c r="AX28" s="2258"/>
      <c r="AY28" s="2258"/>
      <c r="AZ28" s="2258"/>
      <c r="BA28" s="1253"/>
      <c r="BI28" s="1165">
        <v>14</v>
      </c>
    </row>
    <row customHeight="1" ht="14.699999999999998">
      <c r="Q29" s="301"/>
      <c r="R29" s="386"/>
      <c r="S29" s="2259" t="str">
        <f>IF(org=0,"Не определено",org)</f>
        <v>АО «ДГК» СП «Нерюнгринская ГРЭС»</v>
      </c>
      <c r="T29" s="2259"/>
      <c r="U29" s="2259"/>
      <c r="V29" s="2259"/>
      <c r="W29" s="2259"/>
      <c r="X29" s="2259"/>
      <c r="Y29" s="2259"/>
      <c r="Z29" s="2259"/>
      <c r="AA29" s="2259"/>
      <c r="AB29" s="2259"/>
      <c r="AC29" s="2259"/>
      <c r="AD29" s="2259"/>
      <c r="AE29" s="2259"/>
      <c r="AF29" s="2259"/>
      <c r="AG29" s="2259"/>
      <c r="AH29" s="2259"/>
      <c r="AI29" s="2259"/>
      <c r="AJ29" s="2259"/>
      <c r="AK29" s="2259"/>
      <c r="AL29" s="2259"/>
      <c r="AM29" s="2259"/>
      <c r="AN29" s="2259"/>
      <c r="AO29" s="2259"/>
      <c r="AP29" s="2259"/>
      <c r="AQ29" s="2259"/>
      <c r="AR29" s="2259"/>
      <c r="AS29" s="2259"/>
      <c r="AT29" s="2259"/>
      <c r="AU29" s="2259"/>
      <c r="AV29" s="2259"/>
      <c r="AW29" s="2259"/>
      <c r="AX29" s="2259"/>
      <c r="AY29" s="2259"/>
      <c r="AZ29" s="2259"/>
      <c r="BA29" s="1253"/>
      <c r="BI29" s="1165">
        <v>14</v>
      </c>
    </row>
    <row customHeight="1" ht="14.25" hidden="1">
      <c r="Q30" s="301"/>
      <c r="R30" s="386"/>
      <c r="S30" s="1285"/>
      <c r="T30" s="373"/>
      <c r="U30" s="373"/>
      <c r="V30" s="332"/>
      <c r="W30" s="332"/>
      <c r="X30" s="332"/>
      <c r="Y30" s="332"/>
      <c r="Z30" s="332"/>
      <c r="AA30" s="332"/>
      <c r="AB30" s="332"/>
      <c r="AC30" s="332"/>
      <c r="AD30" s="332"/>
      <c r="AE30" s="332"/>
      <c r="AF30" s="332"/>
      <c r="AG30" s="332"/>
      <c r="AH30" s="332"/>
      <c r="AI30" s="332"/>
      <c r="AJ30" s="332"/>
      <c r="AK30" s="332"/>
      <c r="AL30" s="332"/>
      <c r="AM30" s="332"/>
      <c r="AN30" s="332"/>
      <c r="AO30" s="332"/>
      <c r="AP30" s="332"/>
      <c r="AQ30" s="332"/>
      <c r="AR30" s="332"/>
      <c r="AS30" s="332"/>
      <c r="AT30" s="332"/>
      <c r="AU30" s="332"/>
      <c r="AV30" s="332"/>
      <c r="AW30" s="332"/>
      <c r="AX30" s="332"/>
      <c r="AY30" s="332"/>
      <c r="AZ30" s="332"/>
      <c r="BA30" s="332"/>
      <c r="BB30" s="519"/>
      <c r="BI30" s="1165">
        <v>0</v>
      </c>
    </row>
    <row s="1863" customFormat="1" customHeight="1" ht="25.5" hidden="1">
      <c r="A31" s="1378"/>
      <c r="B31" s="1378"/>
      <c r="C31" s="1378"/>
      <c r="D31" s="1378"/>
      <c r="E31" s="1378"/>
      <c r="F31" s="1378"/>
      <c r="G31" s="1378"/>
      <c r="H31" s="1378"/>
      <c r="I31" s="1378"/>
      <c r="J31" s="1378"/>
      <c r="K31" s="1378"/>
      <c r="L31" s="1379"/>
      <c r="M31" s="1378"/>
      <c r="N31" s="1378"/>
      <c r="O31" s="1378"/>
      <c r="P31" s="1378"/>
      <c r="Q31" s="1378"/>
      <c r="S31" s="2260" t="s">
        <v>42</v>
      </c>
      <c r="T31" s="2260"/>
      <c r="U31" s="1382"/>
      <c r="V31" s="2261" t="str">
        <f>IF(TITLE_NAME_OR_PR_CHANGE="",IF(TITLE_NAME_OR_PR="","",TITLE_NAME_OR_PR),TITLE_NAME_OR_PR_CHANGE)</f>
        <v/>
      </c>
      <c r="W31" s="2261"/>
      <c r="X31" s="2261"/>
      <c r="Y31" s="2261"/>
      <c r="Z31" s="2261"/>
      <c r="AA31" s="2261"/>
      <c r="AB31" s="2261"/>
      <c r="AC31" s="336"/>
      <c r="AD31" s="2261" t="str">
        <f>IF(TITLE_NAME_OR_PR_CHANGE="",IF(TITLE_NAME_OR_PR="","",TITLE_NAME_OR_PR),TITLE_NAME_OR_PR_CHANGE)</f>
        <v/>
      </c>
      <c r="AE31" s="2261"/>
      <c r="AF31" s="2261"/>
      <c r="AG31" s="2261"/>
      <c r="AH31" s="2261"/>
      <c r="AI31" s="2261"/>
      <c r="AJ31" s="2261"/>
      <c r="AK31" s="2261"/>
      <c r="AL31" s="2261"/>
      <c r="AM31" s="2261"/>
      <c r="AN31" s="2261"/>
      <c r="AO31" s="2261"/>
      <c r="AP31" s="2261"/>
      <c r="AQ31" s="2261"/>
      <c r="AR31" s="2261"/>
      <c r="AS31" s="2261"/>
      <c r="AT31" s="2261"/>
      <c r="AU31" s="2261"/>
      <c r="AV31" s="2261"/>
      <c r="AW31" s="2261"/>
      <c r="AX31" s="2261"/>
      <c r="AY31" s="2261"/>
      <c r="AZ31" s="2261"/>
      <c r="BA31" s="336"/>
      <c r="BB31" s="336"/>
      <c r="BC31" s="290"/>
      <c r="BD31" s="378"/>
      <c r="BE31" s="378"/>
      <c r="BF31" s="378"/>
      <c r="BG31" s="378"/>
      <c r="BH31" s="378"/>
      <c r="BI31" s="428">
        <v>0</v>
      </c>
    </row>
    <row s="1863" customFormat="1" customHeight="1" ht="18.75" hidden="1">
      <c r="A32" s="1378"/>
      <c r="B32" s="1378"/>
      <c r="C32" s="1378"/>
      <c r="D32" s="1378"/>
      <c r="E32" s="1378"/>
      <c r="F32" s="1378"/>
      <c r="G32" s="1378"/>
      <c r="H32" s="1378"/>
      <c r="I32" s="1378"/>
      <c r="J32" s="1378"/>
      <c r="K32" s="1378"/>
      <c r="L32" s="1379"/>
      <c r="M32" s="1378"/>
      <c r="N32" s="1378"/>
      <c r="O32" s="1378"/>
      <c r="P32" s="1378"/>
      <c r="Q32" s="1378"/>
      <c r="S32" s="2260" t="s">
        <v>445</v>
      </c>
      <c r="T32" s="2260"/>
      <c r="U32" s="1382"/>
      <c r="V32" s="2274" t="str">
        <f>IF(TITLE_DATE_PR_CHANGE="",IF(TITLE_DATE_PR="","",TITLE_DATE_PR),TITLE_DATE_PR_CHANGE)</f>
        <v/>
      </c>
      <c r="W32" s="2274"/>
      <c r="X32" s="2274"/>
      <c r="Y32" s="2274"/>
      <c r="Z32" s="2274"/>
      <c r="AA32" s="2274"/>
      <c r="AB32" s="2274"/>
      <c r="AC32" s="336"/>
      <c r="AD32" s="2274" t="str">
        <f>IF(TITLE_DATE_PR_CHANGE="",IF(TITLE_DATE_PR="","",TITLE_DATE_PR),TITLE_DATE_PR_CHANGE)</f>
        <v/>
      </c>
      <c r="AE32" s="2274"/>
      <c r="AF32" s="2274"/>
      <c r="AG32" s="2274"/>
      <c r="AH32" s="2274"/>
      <c r="AI32" s="2274"/>
      <c r="AJ32" s="2274"/>
      <c r="AK32" s="2274"/>
      <c r="AL32" s="2274"/>
      <c r="AM32" s="2274"/>
      <c r="AN32" s="2274"/>
      <c r="AO32" s="2274"/>
      <c r="AP32" s="2274"/>
      <c r="AQ32" s="2274"/>
      <c r="AR32" s="2274"/>
      <c r="AS32" s="2274"/>
      <c r="AT32" s="2274"/>
      <c r="AU32" s="2274"/>
      <c r="AV32" s="2274"/>
      <c r="AW32" s="2274"/>
      <c r="AX32" s="2274"/>
      <c r="AY32" s="2274"/>
      <c r="AZ32" s="2274"/>
      <c r="BA32" s="336"/>
      <c r="BB32" s="336"/>
      <c r="BC32" s="290"/>
      <c r="BD32" s="378"/>
      <c r="BE32" s="378"/>
      <c r="BF32" s="378"/>
      <c r="BG32" s="378"/>
      <c r="BH32" s="378"/>
      <c r="BI32" s="428">
        <v>0</v>
      </c>
    </row>
    <row s="1863" customFormat="1" customHeight="1" ht="18.75" hidden="1">
      <c r="A33" s="1378"/>
      <c r="B33" s="1378"/>
      <c r="C33" s="1378"/>
      <c r="D33" s="1378"/>
      <c r="E33" s="1378"/>
      <c r="F33" s="1378"/>
      <c r="G33" s="1378"/>
      <c r="H33" s="1378"/>
      <c r="I33" s="1378"/>
      <c r="J33" s="1378"/>
      <c r="K33" s="1378"/>
      <c r="L33" s="1379"/>
      <c r="M33" s="1378"/>
      <c r="N33" s="1378"/>
      <c r="O33" s="1378"/>
      <c r="P33" s="1378"/>
      <c r="Q33" s="1378"/>
      <c r="S33" s="2260" t="s">
        <v>446</v>
      </c>
      <c r="T33" s="2260"/>
      <c r="U33" s="1382"/>
      <c r="V33" s="2261" t="str">
        <f>IF(TITLE_NUMBER_PR_CHANGE="",IF(TITLE_NUMBER_PR="","",TITLE_NUMBER_PR),TITLE_NUMBER_PR_CHANGE)</f>
        <v/>
      </c>
      <c r="W33" s="2261"/>
      <c r="X33" s="2261"/>
      <c r="Y33" s="2261"/>
      <c r="Z33" s="2261"/>
      <c r="AA33" s="2261"/>
      <c r="AB33" s="2261"/>
      <c r="AC33" s="336"/>
      <c r="AD33" s="2261" t="str">
        <f>IF(TITLE_NUMBER_PR_CHANGE="",IF(TITLE_NUMBER_PR="","",TITLE_NUMBER_PR),TITLE_NUMBER_PR_CHANGE)</f>
        <v/>
      </c>
      <c r="AE33" s="2261"/>
      <c r="AF33" s="2261"/>
      <c r="AG33" s="2261"/>
      <c r="AH33" s="2261"/>
      <c r="AI33" s="2261"/>
      <c r="AJ33" s="2261"/>
      <c r="AK33" s="2261"/>
      <c r="AL33" s="2261"/>
      <c r="AM33" s="2261"/>
      <c r="AN33" s="2261"/>
      <c r="AO33" s="2261"/>
      <c r="AP33" s="2261"/>
      <c r="AQ33" s="2261"/>
      <c r="AR33" s="2261"/>
      <c r="AS33" s="2261"/>
      <c r="AT33" s="2261"/>
      <c r="AU33" s="2261"/>
      <c r="AV33" s="2261"/>
      <c r="AW33" s="2261"/>
      <c r="AX33" s="2261"/>
      <c r="AY33" s="2261"/>
      <c r="AZ33" s="2261"/>
      <c r="BA33" s="336"/>
      <c r="BB33" s="336"/>
      <c r="BC33" s="290"/>
      <c r="BD33" s="378"/>
      <c r="BE33" s="378"/>
      <c r="BF33" s="378"/>
      <c r="BG33" s="378"/>
      <c r="BH33" s="378"/>
      <c r="BI33" s="428">
        <v>0</v>
      </c>
    </row>
    <row s="1863" customFormat="1" customHeight="1" ht="18.75" hidden="1">
      <c r="A34" s="1378"/>
      <c r="B34" s="1378"/>
      <c r="C34" s="1378"/>
      <c r="D34" s="1378"/>
      <c r="E34" s="1378"/>
      <c r="F34" s="1378"/>
      <c r="G34" s="1378"/>
      <c r="H34" s="1378"/>
      <c r="I34" s="1378"/>
      <c r="J34" s="1378"/>
      <c r="K34" s="1378"/>
      <c r="L34" s="1379"/>
      <c r="M34" s="1378"/>
      <c r="N34" s="1378"/>
      <c r="O34" s="1378"/>
      <c r="P34" s="1378"/>
      <c r="Q34" s="1378"/>
      <c r="S34" s="2260" t="s">
        <v>43</v>
      </c>
      <c r="T34" s="2260"/>
      <c r="U34" s="1382"/>
      <c r="V34" s="2261" t="str">
        <f>IF(TITLE_IST_PUB_CHANGE="",IF(TITLE_IST_PUB="","",TITLE_IST_PUB),TITLE_IST_PUB_CHANGE)</f>
        <v/>
      </c>
      <c r="W34" s="2261"/>
      <c r="X34" s="2261"/>
      <c r="Y34" s="2261"/>
      <c r="Z34" s="2261"/>
      <c r="AA34" s="2261"/>
      <c r="AB34" s="2261"/>
      <c r="AC34" s="336"/>
      <c r="AD34" s="2261" t="str">
        <f>IF(TITLE_IST_PUB_CHANGE="",IF(TITLE_IST_PUB="","",TITLE_IST_PUB),TITLE_IST_PUB_CHANGE)</f>
        <v/>
      </c>
      <c r="AE34" s="2261"/>
      <c r="AF34" s="2261"/>
      <c r="AG34" s="2261"/>
      <c r="AH34" s="2261"/>
      <c r="AI34" s="2261"/>
      <c r="AJ34" s="2261"/>
      <c r="AK34" s="2261"/>
      <c r="AL34" s="2261"/>
      <c r="AM34" s="2261"/>
      <c r="AN34" s="2261"/>
      <c r="AO34" s="2261"/>
      <c r="AP34" s="2261"/>
      <c r="AQ34" s="2261"/>
      <c r="AR34" s="2261"/>
      <c r="AS34" s="2261"/>
      <c r="AT34" s="2261"/>
      <c r="AU34" s="2261"/>
      <c r="AV34" s="2261"/>
      <c r="AW34" s="2261"/>
      <c r="AX34" s="2261"/>
      <c r="AY34" s="2261"/>
      <c r="AZ34" s="2261"/>
      <c r="BA34" s="336"/>
      <c r="BB34" s="336"/>
      <c r="BC34" s="290"/>
      <c r="BD34" s="378"/>
      <c r="BE34" s="378"/>
      <c r="BF34" s="378"/>
      <c r="BG34" s="378"/>
      <c r="BH34" s="378"/>
      <c r="BI34" s="428">
        <v>0</v>
      </c>
    </row>
    <row customHeight="1" ht="14.25" hidden="1">
      <c r="Q35" s="301"/>
      <c r="R35" s="386"/>
      <c r="S35" s="1285"/>
      <c r="T35" s="373"/>
      <c r="U35" s="373"/>
      <c r="V35" s="332"/>
      <c r="W35" s="332"/>
      <c r="X35" s="332"/>
      <c r="Y35" s="332"/>
      <c r="Z35" s="332"/>
      <c r="AA35" s="332"/>
      <c r="AB35" s="332"/>
      <c r="AC35" s="332"/>
      <c r="AD35" s="332"/>
      <c r="AE35" s="332"/>
      <c r="AF35" s="332"/>
      <c r="AG35" s="332"/>
      <c r="AH35" s="332"/>
      <c r="AI35" s="332"/>
      <c r="AJ35" s="332"/>
      <c r="AK35" s="332"/>
      <c r="AL35" s="332"/>
      <c r="AM35" s="332"/>
      <c r="AN35" s="332"/>
      <c r="AO35" s="332"/>
      <c r="AP35" s="332"/>
      <c r="AQ35" s="332"/>
      <c r="AR35" s="332"/>
      <c r="AS35" s="332"/>
      <c r="AT35" s="332"/>
      <c r="AU35" s="332"/>
      <c r="AV35" s="332"/>
      <c r="AW35" s="332"/>
      <c r="AX35" s="332"/>
      <c r="AY35" s="332"/>
      <c r="AZ35" s="332"/>
      <c r="BA35" s="332"/>
      <c r="BB35" s="519"/>
      <c r="BI35" s="1165">
        <v>0</v>
      </c>
    </row>
    <row s="1863" customFormat="1" customHeight="1" ht="18.75" hidden="1">
      <c r="A36" s="1378"/>
      <c r="B36" s="1378"/>
      <c r="C36" s="1378"/>
      <c r="D36" s="1378"/>
      <c r="E36" s="1378"/>
      <c r="F36" s="1378"/>
      <c r="G36" s="1378"/>
      <c r="H36" s="1378"/>
      <c r="I36" s="1378"/>
      <c r="J36" s="1378"/>
      <c r="K36" s="1378"/>
      <c r="L36" s="1379"/>
      <c r="M36" s="1378"/>
      <c r="N36" s="1378"/>
      <c r="O36" s="1378"/>
      <c r="P36" s="1378"/>
      <c r="Q36" s="1378"/>
      <c r="S36" s="2260" t="s">
        <v>445</v>
      </c>
      <c r="T36" s="2260"/>
      <c r="U36" s="1382"/>
      <c r="V36" s="2274" t="str">
        <f>IF(TITLE_DATE_PR_CHANGE="",IF(TITLE_DATE_PR="","",TITLE_DATE_PR),TITLE_DATE_PR_CHANGE)</f>
        <v/>
      </c>
      <c r="W36" s="2274"/>
      <c r="X36" s="2274"/>
      <c r="Y36" s="2274"/>
      <c r="Z36" s="2274"/>
      <c r="AA36" s="2274"/>
      <c r="AB36" s="2274"/>
      <c r="AC36" s="336"/>
      <c r="AD36" s="2274" t="str">
        <f>IF(TITLE_DATE_PR_CHANGE="",IF(TITLE_DATE_PR="","",TITLE_DATE_PR),TITLE_DATE_PR_CHANGE)</f>
        <v/>
      </c>
      <c r="AE36" s="2274"/>
      <c r="AF36" s="2274"/>
      <c r="AG36" s="2274"/>
      <c r="AH36" s="2274"/>
      <c r="AI36" s="2274"/>
      <c r="AJ36" s="2274"/>
      <c r="AK36" s="2274"/>
      <c r="AL36" s="2274"/>
      <c r="AM36" s="2274"/>
      <c r="AN36" s="2274"/>
      <c r="AO36" s="2274"/>
      <c r="AP36" s="2274"/>
      <c r="AQ36" s="2274"/>
      <c r="AR36" s="2274"/>
      <c r="AS36" s="2274"/>
      <c r="AT36" s="2274"/>
      <c r="AU36" s="2274"/>
      <c r="AV36" s="2274"/>
      <c r="AW36" s="2274"/>
      <c r="AX36" s="2274"/>
      <c r="AY36" s="2274"/>
      <c r="AZ36" s="2274"/>
      <c r="BA36" s="336"/>
      <c r="BB36" s="336"/>
      <c r="BC36" s="290"/>
      <c r="BD36" s="378"/>
      <c r="BE36" s="378"/>
      <c r="BF36" s="378"/>
      <c r="BG36" s="378"/>
      <c r="BH36" s="378"/>
      <c r="BI36" s="428">
        <v>0</v>
      </c>
    </row>
    <row s="1863" customFormat="1" customHeight="1" ht="18.75" hidden="1">
      <c r="A37" s="1378"/>
      <c r="B37" s="1378"/>
      <c r="C37" s="1378"/>
      <c r="D37" s="1378"/>
      <c r="E37" s="1378"/>
      <c r="F37" s="1378"/>
      <c r="G37" s="1378"/>
      <c r="H37" s="1378"/>
      <c r="I37" s="1378"/>
      <c r="J37" s="1378"/>
      <c r="K37" s="1378"/>
      <c r="L37" s="1379"/>
      <c r="M37" s="1378"/>
      <c r="N37" s="1378"/>
      <c r="O37" s="1378"/>
      <c r="P37" s="1378"/>
      <c r="Q37" s="1378"/>
      <c r="S37" s="2260" t="s">
        <v>446</v>
      </c>
      <c r="T37" s="2260"/>
      <c r="U37" s="1382"/>
      <c r="V37" s="2261" t="str">
        <f>IF(TITLE_NUMBER_PR_CHANGE="",IF(TITLE_NUMBER_PR="","",TITLE_NUMBER_PR),TITLE_NUMBER_PR_CHANGE)</f>
        <v/>
      </c>
      <c r="W37" s="2261"/>
      <c r="X37" s="2261"/>
      <c r="Y37" s="2261"/>
      <c r="Z37" s="2261"/>
      <c r="AA37" s="2261"/>
      <c r="AB37" s="2261"/>
      <c r="AC37" s="336"/>
      <c r="AD37" s="2261" t="str">
        <f>IF(TITLE_NUMBER_PR_CHANGE="",IF(TITLE_NUMBER_PR="","",TITLE_NUMBER_PR),TITLE_NUMBER_PR_CHANGE)</f>
        <v/>
      </c>
      <c r="AE37" s="2261"/>
      <c r="AF37" s="2261"/>
      <c r="AG37" s="2261"/>
      <c r="AH37" s="2261"/>
      <c r="AI37" s="2261"/>
      <c r="AJ37" s="2261"/>
      <c r="AK37" s="2261"/>
      <c r="AL37" s="2261"/>
      <c r="AM37" s="2261"/>
      <c r="AN37" s="2261"/>
      <c r="AO37" s="2261"/>
      <c r="AP37" s="2261"/>
      <c r="AQ37" s="2261"/>
      <c r="AR37" s="2261"/>
      <c r="AS37" s="2261"/>
      <c r="AT37" s="2261"/>
      <c r="AU37" s="2261"/>
      <c r="AV37" s="2261"/>
      <c r="AW37" s="2261"/>
      <c r="AX37" s="2261"/>
      <c r="AY37" s="2261"/>
      <c r="AZ37" s="2261"/>
      <c r="BA37" s="336"/>
      <c r="BB37" s="336"/>
      <c r="BC37" s="290"/>
      <c r="BD37" s="378"/>
      <c r="BE37" s="378"/>
      <c r="BF37" s="378"/>
      <c r="BG37" s="378"/>
      <c r="BH37" s="378"/>
      <c r="BI37" s="428">
        <v>0</v>
      </c>
    </row>
    <row s="1863" customFormat="1" customHeight="1" ht="0">
      <c r="A38" s="1378"/>
      <c r="B38" s="1378"/>
      <c r="C38" s="1378"/>
      <c r="D38" s="1378"/>
      <c r="E38" s="1378"/>
      <c r="F38" s="1378"/>
      <c r="G38" s="1378"/>
      <c r="H38" s="1378"/>
      <c r="I38" s="1378"/>
      <c r="J38" s="1378"/>
      <c r="K38" s="1378"/>
      <c r="L38" s="1379"/>
      <c r="M38" s="1378"/>
      <c r="N38" s="1378"/>
      <c r="O38" s="1378"/>
      <c r="P38" s="1378"/>
      <c r="Q38" s="1378"/>
      <c r="S38" s="333"/>
      <c r="T38" s="333"/>
      <c r="U38" s="1498"/>
      <c r="V38" s="336"/>
      <c r="W38" s="336"/>
      <c r="X38" s="336"/>
      <c r="Y38" s="336"/>
      <c r="Z38" s="336"/>
      <c r="AA38" s="336"/>
      <c r="AB38" s="336"/>
      <c r="AC38" s="288" t="s">
        <v>449</v>
      </c>
      <c r="AD38" s="336"/>
      <c r="AE38" s="336"/>
      <c r="AF38" s="336"/>
      <c r="AG38" s="336"/>
      <c r="AH38" s="336"/>
      <c r="AI38" s="336"/>
      <c r="AJ38" s="336"/>
      <c r="AK38" s="336"/>
      <c r="AL38" s="336"/>
      <c r="AM38" s="336"/>
      <c r="AN38" s="336"/>
      <c r="AO38" s="336"/>
      <c r="AP38" s="336"/>
      <c r="AQ38" s="336"/>
      <c r="AR38" s="336"/>
      <c r="AS38" s="336"/>
      <c r="AT38" s="336"/>
      <c r="AU38" s="336"/>
      <c r="AV38" s="336"/>
      <c r="AW38" s="336"/>
      <c r="AX38" s="336"/>
      <c r="AY38" s="336"/>
      <c r="AZ38" s="336"/>
      <c r="BA38" s="288" t="s">
        <v>449</v>
      </c>
      <c r="BD38" s="378"/>
      <c r="BE38" s="378"/>
      <c r="BF38" s="378"/>
      <c r="BG38" s="378"/>
      <c r="BH38" s="378"/>
      <c r="BI38" s="428">
        <v>0</v>
      </c>
    </row>
    <row customHeight="1" ht="14.699999999999998">
      <c r="Q39" s="301"/>
      <c r="R39" s="386"/>
      <c r="S39" s="1285"/>
      <c r="T39" s="373"/>
      <c r="U39" s="1254"/>
      <c r="V39" s="2262"/>
      <c r="W39" s="2262"/>
      <c r="X39" s="2262"/>
      <c r="Y39" s="2262"/>
      <c r="Z39" s="2262"/>
      <c r="AA39" s="2262"/>
      <c r="AB39" s="2262"/>
      <c r="AC39" s="2262"/>
      <c r="AD39" s="2262"/>
      <c r="AE39" s="2262"/>
      <c r="AF39" s="2262"/>
      <c r="AG39" s="2262"/>
      <c r="AH39" s="2262"/>
      <c r="AI39" s="2262"/>
      <c r="AJ39" s="2262"/>
      <c r="AK39" s="2262"/>
      <c r="AL39" s="2262"/>
      <c r="AM39" s="2262"/>
      <c r="AN39" s="2262"/>
      <c r="AO39" s="2262"/>
      <c r="AP39" s="2262"/>
      <c r="AQ39" s="2262"/>
      <c r="AR39" s="2262"/>
      <c r="AS39" s="2262"/>
      <c r="AT39" s="2262"/>
      <c r="AU39" s="2262"/>
      <c r="AV39" s="2262"/>
      <c r="AW39" s="2262"/>
      <c r="AX39" s="2262"/>
      <c r="AY39" s="2262"/>
      <c r="AZ39" s="2262"/>
      <c r="BA39" s="2262"/>
      <c r="BI39" s="1165">
        <v>14</v>
      </c>
    </row>
    <row customHeight="1" ht="14.699999999999998">
      <c r="Q40" s="301"/>
      <c r="R40" s="386"/>
      <c r="S40" s="2137" t="s">
        <v>322</v>
      </c>
      <c r="T40" s="2137"/>
      <c r="U40" s="2137"/>
      <c r="V40" s="2137"/>
      <c r="W40" s="2137"/>
      <c r="X40" s="2137"/>
      <c r="Y40" s="2137"/>
      <c r="Z40" s="2137"/>
      <c r="AA40" s="2137"/>
      <c r="AB40" s="2137"/>
      <c r="AC40" s="2137"/>
      <c r="AD40" s="2137"/>
      <c r="AE40" s="2137"/>
      <c r="AF40" s="2137"/>
      <c r="AG40" s="2137"/>
      <c r="AH40" s="2137"/>
      <c r="AI40" s="2137"/>
      <c r="AJ40" s="2137"/>
      <c r="AK40" s="2137"/>
      <c r="AL40" s="2137"/>
      <c r="AM40" s="2137"/>
      <c r="AN40" s="2137"/>
      <c r="AO40" s="2137"/>
      <c r="AP40" s="2137"/>
      <c r="AQ40" s="2137"/>
      <c r="AR40" s="2137"/>
      <c r="AS40" s="2137"/>
      <c r="AT40" s="2137"/>
      <c r="AU40" s="2137"/>
      <c r="AV40" s="2137"/>
      <c r="AW40" s="2137"/>
      <c r="AX40" s="2137"/>
      <c r="AY40" s="2137"/>
      <c r="AZ40" s="2137"/>
      <c r="BA40" s="2137"/>
      <c r="BB40" s="2137"/>
      <c r="BC40" s="2137" t="s">
        <v>323</v>
      </c>
      <c r="BI40" s="1165">
        <v>14</v>
      </c>
    </row>
    <row customHeight="1" ht="14.699999999999998">
      <c r="Q41" s="301"/>
      <c r="R41" s="386"/>
      <c r="S41" s="2283" t="s">
        <v>88</v>
      </c>
      <c r="T41" s="2219" t="s">
        <v>529</v>
      </c>
      <c r="U41" s="311"/>
      <c r="V41" s="2284" t="s">
        <v>451</v>
      </c>
      <c r="W41" s="2285"/>
      <c r="X41" s="2285"/>
      <c r="Y41" s="2285"/>
      <c r="Z41" s="2285"/>
      <c r="AA41" s="2285"/>
      <c r="AB41" s="2286"/>
      <c r="AC41" s="2287" t="s">
        <v>452</v>
      </c>
      <c r="AD41" s="2338" t="s">
        <v>546</v>
      </c>
      <c r="AE41" s="2301"/>
      <c r="AF41" s="2301"/>
      <c r="AG41" s="2339"/>
      <c r="AH41" s="2338" t="s">
        <v>547</v>
      </c>
      <c r="AI41" s="2301"/>
      <c r="AJ41" s="2301"/>
      <c r="AK41" s="2339"/>
      <c r="AL41" s="2338" t="s">
        <v>548</v>
      </c>
      <c r="AM41" s="2301"/>
      <c r="AN41" s="2301"/>
      <c r="AO41" s="2339"/>
      <c r="AP41" s="2338" t="s">
        <v>533</v>
      </c>
      <c r="AQ41" s="2301"/>
      <c r="AR41" s="2301"/>
      <c r="AS41" s="2339"/>
      <c r="AT41" s="2284" t="s">
        <v>451</v>
      </c>
      <c r="AU41" s="2285"/>
      <c r="AV41" s="2285"/>
      <c r="AW41" s="2285"/>
      <c r="AX41" s="2285"/>
      <c r="AY41" s="2285"/>
      <c r="AZ41" s="2286"/>
      <c r="BA41" s="2287" t="s">
        <v>452</v>
      </c>
      <c r="BB41" s="2290" t="s">
        <v>454</v>
      </c>
      <c r="BC41" s="2137"/>
      <c r="BI41" s="1165">
        <v>14</v>
      </c>
    </row>
    <row customHeight="1" ht="35.699999999999996">
      <c r="Q42" s="301"/>
      <c r="R42" s="386"/>
      <c r="S42" s="2283"/>
      <c r="T42" s="2219"/>
      <c r="U42" s="1041"/>
      <c r="V42" s="2202" t="s">
        <v>534</v>
      </c>
      <c r="W42" s="2203"/>
      <c r="X42" s="2202" t="s">
        <v>535</v>
      </c>
      <c r="Y42" s="2203"/>
      <c r="Z42" s="2304" t="s">
        <v>536</v>
      </c>
      <c r="AA42" s="2323"/>
      <c r="AB42" s="2324"/>
      <c r="AC42" s="2288"/>
      <c r="AD42" s="2340"/>
      <c r="AE42" s="2341"/>
      <c r="AF42" s="2341"/>
      <c r="AG42" s="2342"/>
      <c r="AH42" s="2340"/>
      <c r="AI42" s="2341"/>
      <c r="AJ42" s="2341"/>
      <c r="AK42" s="2342"/>
      <c r="AL42" s="2340"/>
      <c r="AM42" s="2341"/>
      <c r="AN42" s="2341"/>
      <c r="AO42" s="2342"/>
      <c r="AP42" s="2340"/>
      <c r="AQ42" s="2341"/>
      <c r="AR42" s="2341"/>
      <c r="AS42" s="2342"/>
      <c r="AT42" s="2202" t="s">
        <v>549</v>
      </c>
      <c r="AU42" s="2203"/>
      <c r="AV42" s="2202" t="s">
        <v>550</v>
      </c>
      <c r="AW42" s="2203"/>
      <c r="AX42" s="2304" t="s">
        <v>536</v>
      </c>
      <c r="AY42" s="2323"/>
      <c r="AZ42" s="2324"/>
      <c r="BA42" s="2288"/>
      <c r="BB42" s="2291"/>
      <c r="BC42" s="2137"/>
      <c r="BI42" s="1165">
        <v>34</v>
      </c>
    </row>
    <row customHeight="1" ht="14.699999999999998">
      <c r="Q43" s="301"/>
      <c r="R43" s="386"/>
      <c r="S43" s="2283"/>
      <c r="T43" s="2219"/>
      <c r="U43" s="1041"/>
      <c r="V43" s="2210"/>
      <c r="W43" s="2211"/>
      <c r="X43" s="2210"/>
      <c r="Y43" s="2211"/>
      <c r="Z43" s="2305"/>
      <c r="AA43" s="2325"/>
      <c r="AB43" s="2326"/>
      <c r="AC43" s="2288"/>
      <c r="AD43" s="2340"/>
      <c r="AE43" s="2341"/>
      <c r="AF43" s="2341"/>
      <c r="AG43" s="2342"/>
      <c r="AH43" s="2340"/>
      <c r="AI43" s="2341"/>
      <c r="AJ43" s="2341"/>
      <c r="AK43" s="2342"/>
      <c r="AL43" s="2340"/>
      <c r="AM43" s="2341"/>
      <c r="AN43" s="2341"/>
      <c r="AO43" s="2342"/>
      <c r="AP43" s="2340"/>
      <c r="AQ43" s="2341"/>
      <c r="AR43" s="2341"/>
      <c r="AS43" s="2342"/>
      <c r="AT43" s="2210"/>
      <c r="AU43" s="2211"/>
      <c r="AV43" s="2210"/>
      <c r="AW43" s="2211"/>
      <c r="AX43" s="2305"/>
      <c r="AY43" s="2325"/>
      <c r="AZ43" s="2326"/>
      <c r="BA43" s="2288"/>
      <c r="BB43" s="2291"/>
      <c r="BC43" s="2137"/>
      <c r="BI43" s="1165">
        <v>14</v>
      </c>
    </row>
    <row customHeight="1" ht="14.699999999999998">
      <c r="A44" s="1380"/>
      <c r="B44" s="1380" t="s">
        <v>159</v>
      </c>
      <c r="C44" s="1380" t="s">
        <v>160</v>
      </c>
      <c r="D44" s="1380" t="s">
        <v>161</v>
      </c>
      <c r="E44" s="1374" t="s">
        <v>459</v>
      </c>
      <c r="F44" s="1374" t="s">
        <v>460</v>
      </c>
      <c r="G44" s="1374" t="s">
        <v>461</v>
      </c>
      <c r="H44" s="1374" t="s">
        <v>462</v>
      </c>
      <c r="I44" s="1374" t="s">
        <v>463</v>
      </c>
      <c r="J44" s="1374" t="s">
        <v>464</v>
      </c>
      <c r="K44" s="1374" t="s">
        <v>465</v>
      </c>
      <c r="L44" s="1374" t="s">
        <v>440</v>
      </c>
      <c r="Q44" s="301"/>
      <c r="R44" s="386"/>
      <c r="S44" s="2283"/>
      <c r="T44" s="2219"/>
      <c r="U44" s="312"/>
      <c r="V44" s="1489" t="s">
        <v>500</v>
      </c>
      <c r="W44" s="1489" t="s">
        <v>501</v>
      </c>
      <c r="X44" s="1489" t="s">
        <v>500</v>
      </c>
      <c r="Y44" s="1489" t="s">
        <v>501</v>
      </c>
      <c r="Z44" s="1499" t="s">
        <v>468</v>
      </c>
      <c r="AA44" s="2280" t="s">
        <v>469</v>
      </c>
      <c r="AB44" s="2281"/>
      <c r="AC44" s="2289"/>
      <c r="AD44" s="2343"/>
      <c r="AE44" s="2344"/>
      <c r="AF44" s="2344"/>
      <c r="AG44" s="2345"/>
      <c r="AH44" s="2343"/>
      <c r="AI44" s="2344"/>
      <c r="AJ44" s="2344"/>
      <c r="AK44" s="2345"/>
      <c r="AL44" s="2343"/>
      <c r="AM44" s="2344"/>
      <c r="AN44" s="2344"/>
      <c r="AO44" s="2345"/>
      <c r="AP44" s="2343"/>
      <c r="AQ44" s="2344"/>
      <c r="AR44" s="2344"/>
      <c r="AS44" s="2345"/>
      <c r="AT44" s="1489" t="s">
        <v>500</v>
      </c>
      <c r="AU44" s="1489" t="s">
        <v>501</v>
      </c>
      <c r="AV44" s="1489" t="s">
        <v>500</v>
      </c>
      <c r="AW44" s="1489" t="s">
        <v>501</v>
      </c>
      <c r="AX44" s="1499" t="s">
        <v>468</v>
      </c>
      <c r="AY44" s="2280" t="s">
        <v>469</v>
      </c>
      <c r="AZ44" s="2281"/>
      <c r="BA44" s="2289"/>
      <c r="BB44" s="2292"/>
      <c r="BC44" s="2137"/>
      <c r="BI44" s="1165">
        <v>14</v>
      </c>
    </row>
    <row s="1651" customFormat="1" customHeight="1" ht="11.25" hidden="1">
      <c r="A45" s="1380"/>
      <c r="B45" s="1380"/>
      <c r="C45" s="1380"/>
      <c r="D45" s="1380"/>
      <c r="E45" s="1380"/>
      <c r="F45" s="1380"/>
      <c r="G45" s="1380"/>
      <c r="H45" s="1380"/>
      <c r="I45" s="1380"/>
      <c r="J45" s="1380"/>
      <c r="K45" s="1380"/>
      <c r="L45" s="1374"/>
      <c r="M45" s="1372"/>
      <c r="N45" s="1372"/>
      <c r="O45" s="1372"/>
      <c r="P45" s="520"/>
      <c r="Q45" s="1264"/>
      <c r="R45" s="1264">
        <v>1</v>
      </c>
      <c r="S45" s="1287" t="s">
        <v>124</v>
      </c>
      <c r="T45" s="1265" t="s">
        <v>104</v>
      </c>
      <c r="U45" s="1255" t="str">
        <f>OFFSET(U45,0,-1)</f>
        <v>2</v>
      </c>
      <c r="V45" s="1492">
        <f>OFFSET(V45,0,-1)+1</f>
        <v>3</v>
      </c>
      <c r="W45" s="1492">
        <f>OFFSET(W45,0,-1)+1</f>
        <v>4</v>
      </c>
      <c r="X45" s="1492">
        <f>OFFSET(X45,0,-1)+1</f>
        <v>5</v>
      </c>
      <c r="Y45" s="1492">
        <f>OFFSET(Y45,0,-1)+1</f>
        <v>6</v>
      </c>
      <c r="Z45" s="1492">
        <f>OFFSET(Z45,0,-1)+1</f>
        <v>7</v>
      </c>
      <c r="AA45" s="2282">
        <f>OFFSET(AA45,0,-1)+1</f>
        <v>8</v>
      </c>
      <c r="AB45" s="2282"/>
      <c r="AC45" s="1492">
        <f>OFFSET(AC45,0,-2)+1</f>
        <v>9</v>
      </c>
      <c r="AD45" s="1492">
        <f>OFFSET(AD45,0,-1)+1</f>
        <v>10</v>
      </c>
      <c r="AE45" s="1492"/>
      <c r="AF45" s="1492"/>
      <c r="AG45" s="1492"/>
      <c r="AH45" s="1492"/>
      <c r="AI45" s="1492"/>
      <c r="AJ45" s="1492"/>
      <c r="AK45" s="1492"/>
      <c r="AL45" s="1492"/>
      <c r="AM45" s="1492"/>
      <c r="AN45" s="1492"/>
      <c r="AO45" s="1492"/>
      <c r="AP45" s="1492"/>
      <c r="AQ45" s="1492"/>
      <c r="AR45" s="1492"/>
      <c r="AS45" s="1492"/>
      <c r="AT45" s="1492"/>
      <c r="AU45" s="1492"/>
      <c r="AV45" s="1492"/>
      <c r="AW45" s="1492">
        <f>OFFSET(AW45,0,-1)+1</f>
        <v>1</v>
      </c>
      <c r="AX45" s="1492">
        <f>OFFSET(AX45,0,-1)+1</f>
        <v>2</v>
      </c>
      <c r="AY45" s="2282">
        <f>OFFSET(AY45,0,-1)+1</f>
        <v>3</v>
      </c>
      <c r="AZ45" s="2282"/>
      <c r="BA45" s="1492">
        <f>OFFSET(BA45,0,-2)+1</f>
        <v>4</v>
      </c>
      <c r="BB45" s="1255">
        <f>OFFSET(BB45,0,-1)</f>
        <v>4</v>
      </c>
      <c r="BC45" s="1492">
        <f>OFFSET(BC45,0,-1)+1</f>
        <v>5</v>
      </c>
      <c r="BD45" s="521"/>
      <c r="BE45" s="521"/>
      <c r="BF45" s="521"/>
      <c r="BG45" s="521"/>
      <c r="BH45" s="521"/>
      <c r="BI45" s="506">
        <v>0</v>
      </c>
    </row>
    <row customHeight="1" ht="22.049999999999997">
      <c r="A46" s="1373" t="s">
        <v>298</v>
      </c>
      <c r="B46" s="1373"/>
      <c r="C46" s="1373"/>
      <c r="D46" s="1373"/>
      <c r="E46" s="2268">
        <v>1</v>
      </c>
      <c r="F46" s="1373"/>
      <c r="G46" s="1373"/>
      <c r="H46" s="1373"/>
      <c r="I46" s="1373"/>
      <c r="J46" s="1373"/>
      <c r="K46" s="1373"/>
      <c r="L46" s="1374"/>
      <c r="M46" s="1375"/>
      <c r="N46" s="1375"/>
      <c r="O46" s="1375"/>
      <c r="P46" s="1419"/>
      <c r="Q46" s="883"/>
      <c r="R46" s="365"/>
      <c r="S46" s="1503">
        <f>INDEX(PT_DIFFERENTIATION_NUM_NTAR,MATCH(A46,PT_DIFFERENTIATION_NTAR_ID,0))</f>
        <v>0</v>
      </c>
      <c r="T46" s="308" t="s">
        <v>147</v>
      </c>
      <c r="U46" s="310"/>
      <c r="V46" s="2253"/>
      <c r="W46" s="2253"/>
      <c r="X46" s="2253"/>
      <c r="Y46" s="2253"/>
      <c r="Z46" s="2253"/>
      <c r="AA46" s="2253"/>
      <c r="AB46" s="2253"/>
      <c r="AC46" s="2254"/>
      <c r="AD46" s="2252" t="str">
        <f>INDEX(PT_DIFFERENTIATION_NTAR,MATCH(A46,PT_DIFFERENTIATION_NTAR_ID,0))</f>
        <v/>
      </c>
      <c r="AE46" s="2253"/>
      <c r="AF46" s="2253"/>
      <c r="AG46" s="2253"/>
      <c r="AH46" s="2253"/>
      <c r="AI46" s="2253"/>
      <c r="AJ46" s="2253"/>
      <c r="AK46" s="2253"/>
      <c r="AL46" s="2253"/>
      <c r="AM46" s="2253"/>
      <c r="AN46" s="2253"/>
      <c r="AO46" s="2253"/>
      <c r="AP46" s="2253"/>
      <c r="AQ46" s="2253"/>
      <c r="AR46" s="2253"/>
      <c r="AS46" s="2253"/>
      <c r="AT46" s="2253"/>
      <c r="AU46" s="2253"/>
      <c r="AV46" s="2253"/>
      <c r="AW46" s="2253"/>
      <c r="AX46" s="2253"/>
      <c r="AY46" s="2253"/>
      <c r="AZ46" s="2253"/>
      <c r="BA46" s="2253"/>
      <c r="BB46" s="2254"/>
      <c r="BC46"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10"/>
      <c r="BF46" s="510" t="str">
        <f>IF(T46="","",T46)</f>
        <v>Наименование тарифа</v>
      </c>
      <c r="BG46" s="510"/>
      <c r="BH46" s="510"/>
      <c r="BI46" s="1165">
        <v>21</v>
      </c>
    </row>
    <row customHeight="1" ht="22.049999999999997">
      <c r="A47" s="1373" t="s">
        <v>298</v>
      </c>
      <c r="B47" s="1373" t="s">
        <v>299</v>
      </c>
      <c r="C47" s="1373"/>
      <c r="D47" s="1373"/>
      <c r="E47" s="2269"/>
      <c r="F47" s="2268">
        <v>1</v>
      </c>
      <c r="G47" s="1373"/>
      <c r="H47" s="1373"/>
      <c r="I47" s="1373"/>
      <c r="J47" s="1373"/>
      <c r="K47" s="1373"/>
      <c r="L47" s="1374"/>
      <c r="M47" s="1375"/>
      <c r="N47" s="1375"/>
      <c r="O47" s="1375"/>
      <c r="P47" s="1420"/>
      <c r="Q47" s="1421"/>
      <c r="R47" s="363"/>
      <c r="S47" s="1503" t="str">
        <f>INDEX(PT_DIFFERENTIATION_NUM_TER,MATCH(B47,PT_DIFFERENTIATION_TER_ID,0))</f>
        <v>.</v>
      </c>
      <c r="T47" s="318" t="s">
        <v>419</v>
      </c>
      <c r="U47" s="310"/>
      <c r="V47" s="2253"/>
      <c r="W47" s="2253"/>
      <c r="X47" s="2253"/>
      <c r="Y47" s="2253"/>
      <c r="Z47" s="2253"/>
      <c r="AA47" s="2253"/>
      <c r="AB47" s="2253"/>
      <c r="AC47" s="2254"/>
      <c r="AD47" s="2252" t="str">
        <f>INDEX(PT_DIFFERENTIATION_TER,MATCH(B47,PT_DIFFERENTIATION_TER_ID,0))</f>
        <v/>
      </c>
      <c r="AE47" s="2253"/>
      <c r="AF47" s="2253"/>
      <c r="AG47" s="2253"/>
      <c r="AH47" s="2253"/>
      <c r="AI47" s="2253"/>
      <c r="AJ47" s="2253"/>
      <c r="AK47" s="2253"/>
      <c r="AL47" s="2253"/>
      <c r="AM47" s="2253"/>
      <c r="AN47" s="2253"/>
      <c r="AO47" s="2253"/>
      <c r="AP47" s="2253"/>
      <c r="AQ47" s="2253"/>
      <c r="AR47" s="2253"/>
      <c r="AS47" s="2253"/>
      <c r="AT47" s="2253"/>
      <c r="AU47" s="2253"/>
      <c r="AV47" s="2253"/>
      <c r="AW47" s="2253"/>
      <c r="AX47" s="2253"/>
      <c r="AY47" s="2253"/>
      <c r="AZ47" s="2253"/>
      <c r="BA47" s="2253"/>
      <c r="BB47" s="2254"/>
      <c r="BC47" s="1268" t="s">
        <v>420</v>
      </c>
      <c r="BE47" s="510"/>
      <c r="BF47" s="510" t="str">
        <f>IF(T47="","",T47)</f>
        <v>Территория действия тарифа</v>
      </c>
      <c r="BG47" s="510"/>
      <c r="BH47" s="510"/>
      <c r="BI47" s="1165">
        <v>21</v>
      </c>
    </row>
    <row customHeight="1" ht="35.699999999999996">
      <c r="A48" s="1373" t="s">
        <v>298</v>
      </c>
      <c r="B48" s="1373" t="s">
        <v>299</v>
      </c>
      <c r="C48" s="1373" t="s">
        <v>300</v>
      </c>
      <c r="D48" s="1373"/>
      <c r="E48" s="2269"/>
      <c r="F48" s="2269"/>
      <c r="G48" s="2268">
        <v>1</v>
      </c>
      <c r="H48" s="1373"/>
      <c r="I48" s="1373"/>
      <c r="J48" s="1373"/>
      <c r="K48" s="1373"/>
      <c r="L48" s="1374"/>
      <c r="M48" s="1375"/>
      <c r="N48" s="1375"/>
      <c r="O48" s="1375"/>
      <c r="P48" s="1422"/>
      <c r="Q48" s="1421"/>
      <c r="R48" s="363"/>
      <c r="S48" s="1503" t="str">
        <f>INDEX(PT_DIFFERENTIATION_NUM_CS,MATCH(C48,PT_DIFFERENTIATION_CS_ID,0))</f>
        <v>..</v>
      </c>
      <c r="T48" s="319" t="s">
        <v>538</v>
      </c>
      <c r="U48" s="310"/>
      <c r="V48" s="2253"/>
      <c r="W48" s="2253"/>
      <c r="X48" s="2253"/>
      <c r="Y48" s="2253"/>
      <c r="Z48" s="2253"/>
      <c r="AA48" s="2253"/>
      <c r="AB48" s="2253"/>
      <c r="AC48" s="2254"/>
      <c r="AD48" s="2252" t="str">
        <f>INDEX(PT_DIFFERENTIATION_CS,MATCH(C48,PT_DIFFERENTIATION_CS_ID,0))</f>
        <v/>
      </c>
      <c r="AE48" s="2253"/>
      <c r="AF48" s="2253"/>
      <c r="AG48" s="2253"/>
      <c r="AH48" s="2253"/>
      <c r="AI48" s="2253"/>
      <c r="AJ48" s="2253"/>
      <c r="AK48" s="2253"/>
      <c r="AL48" s="2253"/>
      <c r="AM48" s="2253"/>
      <c r="AN48" s="2253"/>
      <c r="AO48" s="2253"/>
      <c r="AP48" s="2253"/>
      <c r="AQ48" s="2253"/>
      <c r="AR48" s="2253"/>
      <c r="AS48" s="2253"/>
      <c r="AT48" s="2253"/>
      <c r="AU48" s="2253"/>
      <c r="AV48" s="2253"/>
      <c r="AW48" s="2253"/>
      <c r="AX48" s="2253"/>
      <c r="AY48" s="2253"/>
      <c r="AZ48" s="2253"/>
      <c r="BA48" s="2253"/>
      <c r="BB48" s="2254"/>
      <c r="BC48" s="1268" t="s">
        <v>539</v>
      </c>
      <c r="BE48" s="510"/>
      <c r="BF48" s="510" t="str">
        <f>IF(T48="","",T48)</f>
        <v>Наименование централизованной системы водоотведения</v>
      </c>
      <c r="BG48" s="510"/>
      <c r="BH48" s="510"/>
      <c r="BI48" s="1165">
        <v>34</v>
      </c>
    </row>
    <row s="1652" customFormat="1" customHeight="1" ht="0">
      <c r="A49" s="1353" t="s">
        <v>298</v>
      </c>
      <c r="B49" s="1353" t="s">
        <v>299</v>
      </c>
      <c r="C49" s="1353" t="s">
        <v>300</v>
      </c>
      <c r="D49" s="1353" t="s">
        <v>551</v>
      </c>
      <c r="E49" s="2269"/>
      <c r="F49" s="2269"/>
      <c r="G49" s="2269"/>
      <c r="H49" s="2268">
        <v>1</v>
      </c>
      <c r="I49" s="1353"/>
      <c r="J49" s="1353"/>
      <c r="K49" s="1353"/>
      <c r="L49" s="1356"/>
      <c r="M49" s="1325"/>
      <c r="N49" s="1325"/>
      <c r="O49" s="1325"/>
      <c r="P49" s="1507"/>
      <c r="Q49" s="1508"/>
      <c r="R49" s="367"/>
      <c r="S49" s="1052"/>
      <c r="T49" s="1509"/>
      <c r="U49" s="1394"/>
      <c r="V49" s="2307"/>
      <c r="W49" s="2307"/>
      <c r="X49" s="2307"/>
      <c r="Y49" s="2307"/>
      <c r="Z49" s="2307"/>
      <c r="AA49" s="2307"/>
      <c r="AB49" s="2307"/>
      <c r="AC49" s="2308"/>
      <c r="AD49" s="2306"/>
      <c r="AE49" s="2307"/>
      <c r="AF49" s="2307"/>
      <c r="AG49" s="2307"/>
      <c r="AH49" s="2307"/>
      <c r="AI49" s="2307"/>
      <c r="AJ49" s="2307"/>
      <c r="AK49" s="2307"/>
      <c r="AL49" s="2307"/>
      <c r="AM49" s="2307"/>
      <c r="AN49" s="2307"/>
      <c r="AO49" s="2307"/>
      <c r="AP49" s="2307"/>
      <c r="AQ49" s="2307"/>
      <c r="AR49" s="2307"/>
      <c r="AS49" s="2307"/>
      <c r="AT49" s="2307"/>
      <c r="AU49" s="2307"/>
      <c r="AV49" s="2307"/>
      <c r="AW49" s="2307"/>
      <c r="AX49" s="2307"/>
      <c r="AY49" s="2307"/>
      <c r="AZ49" s="2307"/>
      <c r="BA49" s="2307"/>
      <c r="BB49" s="2308"/>
      <c r="BC49" s="1395" t="s">
        <v>424</v>
      </c>
      <c r="BE49" s="510"/>
      <c r="BF49" s="510" t="str">
        <f>IF(T49="","",T49)</f>
        <v/>
      </c>
      <c r="BG49" s="510"/>
      <c r="BH49" s="510"/>
      <c r="BI49" s="521">
        <v>0</v>
      </c>
    </row>
    <row s="1652" customFormat="1" customHeight="1" ht="0">
      <c r="A50" s="1353" t="s">
        <v>298</v>
      </c>
      <c r="B50" s="1353" t="s">
        <v>299</v>
      </c>
      <c r="C50" s="1353" t="s">
        <v>300</v>
      </c>
      <c r="D50" s="1353" t="s">
        <v>551</v>
      </c>
      <c r="E50" s="2269"/>
      <c r="F50" s="2269"/>
      <c r="G50" s="2269"/>
      <c r="H50" s="2269"/>
      <c r="I50" s="2266" t="str">
        <f>S49&amp;".1"</f>
        <v>.1</v>
      </c>
      <c r="J50" s="1353"/>
      <c r="K50" s="1353"/>
      <c r="L50" s="1356" t="s">
        <v>425</v>
      </c>
      <c r="M50" s="520"/>
      <c r="N50" s="520"/>
      <c r="O50" s="520"/>
      <c r="P50" s="2267">
        <v>1</v>
      </c>
      <c r="Q50" s="1491"/>
      <c r="R50" s="366"/>
      <c r="S50" s="1052"/>
      <c r="T50" s="1393"/>
      <c r="U50" s="1394"/>
      <c r="V50" s="2307"/>
      <c r="W50" s="2307"/>
      <c r="X50" s="2307"/>
      <c r="Y50" s="2307"/>
      <c r="Z50" s="2307"/>
      <c r="AA50" s="2307"/>
      <c r="AB50" s="2307"/>
      <c r="AC50" s="2308"/>
      <c r="AD50" s="2306"/>
      <c r="AE50" s="2307"/>
      <c r="AF50" s="2307"/>
      <c r="AG50" s="2307"/>
      <c r="AH50" s="2307"/>
      <c r="AI50" s="2307"/>
      <c r="AJ50" s="2307"/>
      <c r="AK50" s="2307"/>
      <c r="AL50" s="2307"/>
      <c r="AM50" s="2307"/>
      <c r="AN50" s="2307"/>
      <c r="AO50" s="2307"/>
      <c r="AP50" s="2307"/>
      <c r="AQ50" s="2307"/>
      <c r="AR50" s="2307"/>
      <c r="AS50" s="2307"/>
      <c r="AT50" s="2307"/>
      <c r="AU50" s="2307"/>
      <c r="AV50" s="2307"/>
      <c r="AW50" s="2307"/>
      <c r="AX50" s="2307"/>
      <c r="AY50" s="2307"/>
      <c r="AZ50" s="2307"/>
      <c r="BA50" s="2307"/>
      <c r="BB50" s="2308"/>
      <c r="BC50" s="1395"/>
      <c r="BE50" s="510"/>
      <c r="BF50" s="510" t="str">
        <f>IF(T50="","",T50)</f>
        <v/>
      </c>
      <c r="BG50" s="510"/>
      <c r="BH50" s="510"/>
      <c r="BI50" s="521">
        <v>0</v>
      </c>
    </row>
    <row s="1652" customFormat="1" customHeight="1" ht="0">
      <c r="A51" s="1353" t="s">
        <v>298</v>
      </c>
      <c r="B51" s="1353" t="s">
        <v>299</v>
      </c>
      <c r="C51" s="1353" t="s">
        <v>300</v>
      </c>
      <c r="D51" s="1353" t="s">
        <v>551</v>
      </c>
      <c r="E51" s="2269"/>
      <c r="F51" s="2269"/>
      <c r="G51" s="2269"/>
      <c r="H51" s="2269"/>
      <c r="I51" s="2296"/>
      <c r="J51" s="2266" t="str">
        <f>S49&amp;".1"</f>
        <v>.1</v>
      </c>
      <c r="K51" s="1353"/>
      <c r="L51" s="1356"/>
      <c r="M51" s="520"/>
      <c r="N51" s="520"/>
      <c r="O51" s="520"/>
      <c r="P51" s="2267"/>
      <c r="Q51" s="2267">
        <v>1</v>
      </c>
      <c r="R51" s="367"/>
      <c r="S51" s="1052"/>
      <c r="T51" s="1409"/>
      <c r="U51" s="1394"/>
      <c r="V51" s="2307"/>
      <c r="W51" s="2307"/>
      <c r="X51" s="2307"/>
      <c r="Y51" s="2307"/>
      <c r="Z51" s="2307"/>
      <c r="AA51" s="2307"/>
      <c r="AB51" s="2307"/>
      <c r="AC51" s="2308"/>
      <c r="AD51" s="2306"/>
      <c r="AE51" s="2307"/>
      <c r="AF51" s="2307"/>
      <c r="AG51" s="2307"/>
      <c r="AH51" s="2307"/>
      <c r="AI51" s="2307"/>
      <c r="AJ51" s="2307"/>
      <c r="AK51" s="2307"/>
      <c r="AL51" s="2307"/>
      <c r="AM51" s="2307"/>
      <c r="AN51" s="2374"/>
      <c r="AO51" s="2374"/>
      <c r="AP51" s="2307"/>
      <c r="AQ51" s="2307"/>
      <c r="AR51" s="2307"/>
      <c r="AS51" s="2307"/>
      <c r="AT51" s="2307"/>
      <c r="AU51" s="2307"/>
      <c r="AV51" s="2307"/>
      <c r="AW51" s="2307"/>
      <c r="AX51" s="2307"/>
      <c r="AY51" s="2307"/>
      <c r="AZ51" s="2307"/>
      <c r="BA51" s="2307"/>
      <c r="BB51" s="2308"/>
      <c r="BC51" s="1395"/>
      <c r="BE51" s="510"/>
      <c r="BF51" s="510" t="str">
        <f>IF(T51="","",T51)</f>
        <v/>
      </c>
      <c r="BG51" s="510"/>
      <c r="BH51" s="510"/>
      <c r="BI51" s="521">
        <v>0</v>
      </c>
    </row>
    <row customHeight="1" ht="11.549999999999999">
      <c r="A52" s="1373" t="s">
        <v>298</v>
      </c>
      <c r="B52" s="1373" t="s">
        <v>299</v>
      </c>
      <c r="C52" s="1373" t="s">
        <v>300</v>
      </c>
      <c r="D52" s="1373" t="s">
        <v>551</v>
      </c>
      <c r="E52" s="2269"/>
      <c r="F52" s="2269"/>
      <c r="G52" s="2269"/>
      <c r="H52" s="2269"/>
      <c r="I52" s="2296"/>
      <c r="J52" s="2296"/>
      <c r="K52" s="2266" t="str">
        <f>S48&amp;".1"</f>
        <v>...1</v>
      </c>
      <c r="L52" s="1374"/>
      <c r="P52" s="2267"/>
      <c r="Q52" s="2267"/>
      <c r="R52" s="367">
        <v>1</v>
      </c>
      <c r="S52" s="2351" t="str">
        <f>$K52</f>
        <v>...1</v>
      </c>
      <c r="T52" s="2370"/>
      <c r="U52" s="310"/>
      <c r="V52" s="761"/>
      <c r="W52" s="1267"/>
      <c r="X52" s="761"/>
      <c r="Y52" s="1267"/>
      <c r="Z52" s="1744"/>
      <c r="AA52" s="1479" t="s">
        <v>66</v>
      </c>
      <c r="AB52" s="1744"/>
      <c r="AC52" s="1479" t="s">
        <v>66</v>
      </c>
      <c r="AD52" s="2195" t="s">
        <v>66</v>
      </c>
      <c r="AE52" s="2336"/>
      <c r="AF52" s="2215">
        <v>1</v>
      </c>
      <c r="AG52" s="2373"/>
      <c r="AH52" s="2117" t="s">
        <v>66</v>
      </c>
      <c r="AI52" s="2336"/>
      <c r="AJ52" s="2215">
        <v>1</v>
      </c>
      <c r="AK52" s="2337" t="s">
        <v>22</v>
      </c>
      <c r="AL52" s="2117" t="s">
        <v>66</v>
      </c>
      <c r="AM52" s="2202"/>
      <c r="AN52" s="2215">
        <v>1</v>
      </c>
      <c r="AO52" s="2367"/>
      <c r="AP52" s="2368" t="s">
        <v>66</v>
      </c>
      <c r="AQ52" s="321"/>
      <c r="AR52" s="1496">
        <v>1</v>
      </c>
      <c r="AS52" s="1502" t="s">
        <v>22</v>
      </c>
      <c r="AT52" s="761"/>
      <c r="AU52" s="1267"/>
      <c r="AV52" s="761"/>
      <c r="AW52" s="1267"/>
      <c r="AX52" s="1744"/>
      <c r="AY52" s="1479" t="s">
        <v>66</v>
      </c>
      <c r="AZ52" s="1744"/>
      <c r="BA52" s="1479" t="s">
        <v>66</v>
      </c>
      <c r="BB52" s="1358"/>
      <c r="BC52" s="2263" t="s">
        <v>523</v>
      </c>
      <c r="BE52" s="510"/>
      <c r="BF52" s="510" t="str">
        <f>IF(T52="","",T52)</f>
        <v/>
      </c>
      <c r="BG52" s="510"/>
      <c r="BH52" s="510"/>
      <c r="BI52" s="1165">
        <v>11</v>
      </c>
    </row>
    <row customHeight="1" ht="11.549999999999999">
      <c r="A53" s="1373"/>
      <c r="B53" s="1373"/>
      <c r="C53" s="1373"/>
      <c r="D53" s="1373"/>
      <c r="E53" s="2269"/>
      <c r="F53" s="2269"/>
      <c r="G53" s="2269"/>
      <c r="H53" s="2269"/>
      <c r="I53" s="2296"/>
      <c r="J53" s="2296"/>
      <c r="K53" s="2266"/>
      <c r="L53" s="1374"/>
      <c r="P53" s="2267"/>
      <c r="Q53" s="2267"/>
      <c r="R53" s="367"/>
      <c r="S53" s="2352"/>
      <c r="T53" s="2371"/>
      <c r="U53" s="310"/>
      <c r="V53" s="1403"/>
      <c r="W53" s="1506"/>
      <c r="X53" s="1403"/>
      <c r="Y53" s="1506"/>
      <c r="Z53" s="1403"/>
      <c r="AA53" s="1403"/>
      <c r="AB53" s="1403"/>
      <c r="AC53" s="1403"/>
      <c r="AD53" s="2196"/>
      <c r="AE53" s="2336"/>
      <c r="AF53" s="2215"/>
      <c r="AG53" s="2373"/>
      <c r="AH53" s="2117"/>
      <c r="AI53" s="2336"/>
      <c r="AJ53" s="2215"/>
      <c r="AK53" s="2337"/>
      <c r="AL53" s="2117"/>
      <c r="AM53" s="2210"/>
      <c r="AN53" s="2215"/>
      <c r="AO53" s="2367"/>
      <c r="AP53" s="2369"/>
      <c r="AQ53" s="326"/>
      <c r="AR53" s="426"/>
      <c r="AS53" s="426" t="s">
        <v>524</v>
      </c>
      <c r="AT53" s="1403"/>
      <c r="AU53" s="1506"/>
      <c r="AV53" s="1403"/>
      <c r="AW53" s="1506"/>
      <c r="AX53" s="1403"/>
      <c r="AY53" s="1403"/>
      <c r="AZ53" s="1403"/>
      <c r="BA53" s="1403"/>
      <c r="BB53" s="1407"/>
      <c r="BC53" s="2264"/>
      <c r="BE53" s="510"/>
      <c r="BF53" s="510"/>
      <c r="BG53" s="510"/>
      <c r="BH53" s="510"/>
      <c r="BI53" s="1165">
        <v>11</v>
      </c>
    </row>
    <row customHeight="1" ht="11.549999999999999">
      <c r="A54" s="1373" t="s">
        <v>298</v>
      </c>
      <c r="B54" s="1373"/>
      <c r="C54" s="1373"/>
      <c r="D54" s="1373"/>
      <c r="E54" s="2269"/>
      <c r="F54" s="2269"/>
      <c r="G54" s="2269"/>
      <c r="H54" s="2269"/>
      <c r="I54" s="2296"/>
      <c r="J54" s="2296"/>
      <c r="K54" s="2266"/>
      <c r="L54" s="1374"/>
      <c r="P54" s="2267"/>
      <c r="Q54" s="2267"/>
      <c r="R54" s="367"/>
      <c r="S54" s="2352"/>
      <c r="T54" s="2371"/>
      <c r="U54" s="310"/>
      <c r="V54" s="1403"/>
      <c r="W54" s="1506"/>
      <c r="X54" s="1403"/>
      <c r="Y54" s="1506"/>
      <c r="Z54" s="1403"/>
      <c r="AA54" s="1403"/>
      <c r="AB54" s="1403"/>
      <c r="AC54" s="1403"/>
      <c r="AD54" s="2196"/>
      <c r="AE54" s="2336"/>
      <c r="AF54" s="2215"/>
      <c r="AG54" s="2373"/>
      <c r="AH54" s="2117"/>
      <c r="AI54" s="2336"/>
      <c r="AJ54" s="2215"/>
      <c r="AK54" s="2337"/>
      <c r="AL54" s="2117"/>
      <c r="AM54" s="326"/>
      <c r="AN54" s="1510"/>
      <c r="AO54" s="1510" t="s">
        <v>544</v>
      </c>
      <c r="AP54" s="426"/>
      <c r="AQ54" s="426"/>
      <c r="AR54" s="426"/>
      <c r="AS54" s="1403"/>
      <c r="AT54" s="1403"/>
      <c r="AU54" s="1506"/>
      <c r="AV54" s="1403"/>
      <c r="AW54" s="1506"/>
      <c r="AX54" s="1403"/>
      <c r="AY54" s="1403"/>
      <c r="AZ54" s="1403"/>
      <c r="BA54" s="1403"/>
      <c r="BB54" s="1407"/>
      <c r="BC54" s="2264"/>
      <c r="BE54" s="510"/>
      <c r="BF54" s="510"/>
      <c r="BG54" s="510"/>
      <c r="BH54" s="510"/>
      <c r="BI54" s="1165">
        <v>11</v>
      </c>
    </row>
    <row customHeight="1" ht="11.549999999999999">
      <c r="A55" s="1373" t="s">
        <v>298</v>
      </c>
      <c r="B55" s="1373"/>
      <c r="C55" s="1373"/>
      <c r="D55" s="1373"/>
      <c r="E55" s="2269"/>
      <c r="F55" s="2269"/>
      <c r="G55" s="2269"/>
      <c r="H55" s="2269"/>
      <c r="I55" s="2296"/>
      <c r="J55" s="2296"/>
      <c r="K55" s="2266"/>
      <c r="L55" s="1374"/>
      <c r="P55" s="2267"/>
      <c r="Q55" s="2267"/>
      <c r="R55" s="367"/>
      <c r="S55" s="2352"/>
      <c r="T55" s="2371"/>
      <c r="U55" s="310"/>
      <c r="V55" s="1403"/>
      <c r="W55" s="1506"/>
      <c r="X55" s="1403"/>
      <c r="Y55" s="1506"/>
      <c r="Z55" s="1403"/>
      <c r="AA55" s="1403"/>
      <c r="AB55" s="1403"/>
      <c r="AC55" s="1403"/>
      <c r="AD55" s="2196"/>
      <c r="AE55" s="2336"/>
      <c r="AF55" s="2215"/>
      <c r="AG55" s="2373"/>
      <c r="AH55" s="2117"/>
      <c r="AI55" s="304"/>
      <c r="AJ55" s="425"/>
      <c r="AK55" s="323" t="s">
        <v>545</v>
      </c>
      <c r="AL55" s="1403"/>
      <c r="AM55" s="1403"/>
      <c r="AN55" s="1403"/>
      <c r="AO55" s="1403"/>
      <c r="AP55" s="1403"/>
      <c r="AQ55" s="1403"/>
      <c r="AR55" s="1403"/>
      <c r="AS55" s="1403"/>
      <c r="AT55" s="1403"/>
      <c r="AU55" s="1506"/>
      <c r="AV55" s="1403"/>
      <c r="AW55" s="1506"/>
      <c r="AX55" s="1403"/>
      <c r="AY55" s="1403"/>
      <c r="AZ55" s="1403"/>
      <c r="BA55" s="1403"/>
      <c r="BB55" s="1407"/>
      <c r="BC55" s="2264"/>
      <c r="BE55" s="510"/>
      <c r="BF55" s="510"/>
      <c r="BG55" s="510"/>
      <c r="BH55" s="510"/>
      <c r="BI55" s="1165">
        <v>11</v>
      </c>
    </row>
    <row customHeight="1" ht="11.549999999999999">
      <c r="A56" s="1373" t="s">
        <v>298</v>
      </c>
      <c r="B56" s="1373" t="s">
        <v>299</v>
      </c>
      <c r="C56" s="1373" t="s">
        <v>300</v>
      </c>
      <c r="D56" s="1373" t="s">
        <v>551</v>
      </c>
      <c r="E56" s="2269"/>
      <c r="F56" s="2269"/>
      <c r="G56" s="2269"/>
      <c r="H56" s="2269"/>
      <c r="I56" s="2296"/>
      <c r="J56" s="2296"/>
      <c r="K56" s="2266"/>
      <c r="L56" s="1374"/>
      <c r="P56" s="2267"/>
      <c r="Q56" s="2267"/>
      <c r="R56" s="367"/>
      <c r="S56" s="2353"/>
      <c r="T56" s="2372"/>
      <c r="U56" s="310"/>
      <c r="V56" s="1403"/>
      <c r="W56" s="1404" t="str">
        <f>Z52&amp;"-"&amp;AB52</f>
        <v>-</v>
      </c>
      <c r="X56" s="1403"/>
      <c r="Y56" s="1404" t="str">
        <f>AB52&amp;"-"&amp;AD52</f>
        <v>-да</v>
      </c>
      <c r="Z56" s="1403"/>
      <c r="AA56" s="1403"/>
      <c r="AB56" s="1403"/>
      <c r="AC56" s="1403"/>
      <c r="AD56" s="2122"/>
      <c r="AE56" s="322"/>
      <c r="AF56" s="324"/>
      <c r="AG56" s="426" t="s">
        <v>527</v>
      </c>
      <c r="AH56" s="1403"/>
      <c r="AI56" s="1403"/>
      <c r="AJ56" s="1403"/>
      <c r="AK56" s="1403"/>
      <c r="AL56" s="1403"/>
      <c r="AM56" s="1403"/>
      <c r="AN56" s="1403"/>
      <c r="AO56" s="1403"/>
      <c r="AP56" s="1403"/>
      <c r="AQ56" s="1403"/>
      <c r="AR56" s="1403"/>
      <c r="AS56" s="1403"/>
      <c r="AT56" s="1403"/>
      <c r="AU56" s="1404" t="str">
        <f>AX52&amp;"-"&amp;AZ52</f>
        <v>-</v>
      </c>
      <c r="AV56" s="1403"/>
      <c r="AW56" s="1404" t="str">
        <f>AZ52&amp;"-"&amp;BB52</f>
        <v>-</v>
      </c>
      <c r="AX56" s="1403"/>
      <c r="AY56" s="1403"/>
      <c r="AZ56" s="1403"/>
      <c r="BA56" s="1403"/>
      <c r="BB56" s="1406" t="str">
        <f>BE52&amp;"-"&amp;BG52</f>
        <v>-</v>
      </c>
      <c r="BC56" s="2264"/>
      <c r="BE56" s="510"/>
      <c r="BF56" s="510" t="str">
        <f>IF(T56="","",T56)</f>
        <v/>
      </c>
      <c r="BG56" s="510"/>
      <c r="BH56" s="510"/>
      <c r="BI56" s="1165">
        <v>11</v>
      </c>
    </row>
    <row customHeight="1" ht="11.549999999999999">
      <c r="A57" s="1373" t="s">
        <v>298</v>
      </c>
      <c r="B57" s="1373" t="s">
        <v>299</v>
      </c>
      <c r="C57" s="1373" t="s">
        <v>300</v>
      </c>
      <c r="D57" s="1373" t="s">
        <v>551</v>
      </c>
      <c r="E57" s="2269"/>
      <c r="F57" s="2269"/>
      <c r="G57" s="2269"/>
      <c r="H57" s="2269"/>
      <c r="I57" s="2296"/>
      <c r="J57" s="2266"/>
      <c r="K57" s="1373"/>
      <c r="L57" s="1374"/>
      <c r="P57" s="2267"/>
      <c r="Q57" s="2267"/>
      <c r="R57" s="366"/>
      <c r="S57" s="1288"/>
      <c r="T57" s="297" t="s">
        <v>490</v>
      </c>
      <c r="U57" s="377"/>
      <c r="V57" s="377"/>
      <c r="W57" s="377"/>
      <c r="X57" s="377"/>
      <c r="Y57" s="377"/>
      <c r="Z57" s="377"/>
      <c r="AA57" s="377"/>
      <c r="AB57" s="377"/>
      <c r="AC57" s="334"/>
      <c r="AD57" s="1515"/>
      <c r="AE57" s="377"/>
      <c r="AF57" s="377"/>
      <c r="AG57" s="377"/>
      <c r="AH57" s="377"/>
      <c r="AI57" s="377"/>
      <c r="AJ57" s="377"/>
      <c r="AK57" s="377"/>
      <c r="AL57" s="377"/>
      <c r="AM57" s="377"/>
      <c r="AN57" s="377"/>
      <c r="AO57" s="377"/>
      <c r="AP57" s="377"/>
      <c r="AQ57" s="377"/>
      <c r="AR57" s="377"/>
      <c r="AS57" s="377"/>
      <c r="AT57" s="377"/>
      <c r="AU57" s="377"/>
      <c r="AV57" s="377"/>
      <c r="AW57" s="377"/>
      <c r="AX57" s="377"/>
      <c r="AY57" s="377"/>
      <c r="AZ57" s="377"/>
      <c r="BA57" s="377"/>
      <c r="BB57" s="334"/>
      <c r="BC57" s="2265"/>
      <c r="BE57" s="510"/>
      <c r="BF57" s="510" t="str">
        <f>IF(T57="","",T57)</f>
        <v>Добавить строку</v>
      </c>
      <c r="BG57" s="510"/>
      <c r="BH57" s="510"/>
      <c r="BI57" s="1165">
        <v>11</v>
      </c>
    </row>
    <row s="1652" customFormat="1" customHeight="1" ht="0">
      <c r="A58" s="1353" t="s">
        <v>298</v>
      </c>
      <c r="B58" s="1353" t="s">
        <v>299</v>
      </c>
      <c r="C58" s="1353" t="s">
        <v>300</v>
      </c>
      <c r="D58" s="1353" t="s">
        <v>551</v>
      </c>
      <c r="E58" s="2269"/>
      <c r="F58" s="2269"/>
      <c r="G58" s="2269"/>
      <c r="H58" s="2269"/>
      <c r="I58" s="2266"/>
      <c r="J58" s="1353"/>
      <c r="K58" s="1353"/>
      <c r="L58" s="1356"/>
      <c r="M58" s="520"/>
      <c r="N58" s="520"/>
      <c r="O58" s="520"/>
      <c r="P58" s="2267"/>
      <c r="Q58" s="1491"/>
      <c r="R58" s="366"/>
      <c r="S58" s="1396"/>
      <c r="T58" s="1397"/>
      <c r="U58" s="1398"/>
      <c r="V58" s="1398"/>
      <c r="W58" s="1398"/>
      <c r="X58" s="1398"/>
      <c r="Y58" s="1398"/>
      <c r="Z58" s="1398"/>
      <c r="AA58" s="1398"/>
      <c r="AB58" s="1398"/>
      <c r="AC58" s="1398"/>
      <c r="AD58" s="1398"/>
      <c r="AE58" s="1398"/>
      <c r="AF58" s="1398"/>
      <c r="AG58" s="1398"/>
      <c r="AH58" s="1398"/>
      <c r="AI58" s="1398"/>
      <c r="AJ58" s="1398"/>
      <c r="AK58" s="1398"/>
      <c r="AL58" s="1398"/>
      <c r="AM58" s="1398"/>
      <c r="AN58" s="1398"/>
      <c r="AO58" s="1398"/>
      <c r="AP58" s="1398"/>
      <c r="AQ58" s="1398"/>
      <c r="AR58" s="1398"/>
      <c r="AS58" s="1398"/>
      <c r="AT58" s="1398"/>
      <c r="AU58" s="1398"/>
      <c r="AV58" s="1398"/>
      <c r="AW58" s="1398"/>
      <c r="AX58" s="1398"/>
      <c r="AY58" s="1398"/>
      <c r="AZ58" s="1398"/>
      <c r="BA58" s="1398"/>
      <c r="BB58" s="1398"/>
      <c r="BC58" s="1399"/>
      <c r="BE58" s="510"/>
      <c r="BF58" s="510" t="str">
        <f>IF(T58="","",T58)</f>
        <v/>
      </c>
      <c r="BG58" s="510"/>
      <c r="BH58" s="510"/>
      <c r="BI58" s="521">
        <v>0</v>
      </c>
    </row>
    <row s="1652" customFormat="1" customHeight="1" ht="0">
      <c r="A59" s="1353" t="s">
        <v>298</v>
      </c>
      <c r="B59" s="1353" t="s">
        <v>299</v>
      </c>
      <c r="C59" s="1353" t="s">
        <v>300</v>
      </c>
      <c r="D59" s="1353" t="s">
        <v>551</v>
      </c>
      <c r="E59" s="2269"/>
      <c r="F59" s="2269"/>
      <c r="G59" s="2269"/>
      <c r="H59" s="2268"/>
      <c r="I59" s="1353"/>
      <c r="J59" s="1353"/>
      <c r="K59" s="1353"/>
      <c r="L59" s="1356"/>
      <c r="M59" s="1325"/>
      <c r="N59" s="1325"/>
      <c r="O59" s="528"/>
      <c r="P59" s="390"/>
      <c r="Q59" s="1354"/>
      <c r="R59" s="1411"/>
      <c r="S59" s="1396"/>
      <c r="T59" s="1397"/>
      <c r="U59" s="1398"/>
      <c r="V59" s="1398"/>
      <c r="W59" s="1398"/>
      <c r="X59" s="1398"/>
      <c r="Y59" s="1398"/>
      <c r="Z59" s="1398"/>
      <c r="AA59" s="1398"/>
      <c r="AB59" s="1398"/>
      <c r="AC59" s="1398"/>
      <c r="AD59" s="1398"/>
      <c r="AE59" s="1398"/>
      <c r="AF59" s="1398"/>
      <c r="AG59" s="1398"/>
      <c r="AH59" s="1398"/>
      <c r="AI59" s="1398"/>
      <c r="AJ59" s="1398"/>
      <c r="AK59" s="1398"/>
      <c r="AL59" s="1398"/>
      <c r="AM59" s="1398"/>
      <c r="AN59" s="1398"/>
      <c r="AO59" s="1398"/>
      <c r="AP59" s="1398"/>
      <c r="AQ59" s="1398"/>
      <c r="AR59" s="1398"/>
      <c r="AS59" s="1398"/>
      <c r="AT59" s="1398"/>
      <c r="AU59" s="1398"/>
      <c r="AV59" s="1398"/>
      <c r="AW59" s="1398"/>
      <c r="AX59" s="1398"/>
      <c r="AY59" s="1398"/>
      <c r="AZ59" s="1398"/>
      <c r="BA59" s="1398"/>
      <c r="BB59" s="1398"/>
      <c r="BC59" s="1399"/>
      <c r="BE59" s="510"/>
      <c r="BF59" s="510" t="str">
        <f>IF(T59="","",T59)</f>
        <v/>
      </c>
      <c r="BG59" s="510"/>
      <c r="BH59" s="510"/>
      <c r="BI59" s="521">
        <v>0</v>
      </c>
    </row>
    <row s="1652" customFormat="1" customHeight="1" ht="0">
      <c r="A60" s="1353" t="s">
        <v>298</v>
      </c>
      <c r="B60" s="1353" t="s">
        <v>299</v>
      </c>
      <c r="C60" s="1353" t="s">
        <v>300</v>
      </c>
      <c r="D60" s="1324"/>
      <c r="E60" s="2269"/>
      <c r="F60" s="2269"/>
      <c r="G60" s="2268"/>
      <c r="H60" s="1324"/>
      <c r="I60" s="1324"/>
      <c r="J60" s="1324"/>
      <c r="K60" s="1324"/>
      <c r="L60" s="1504"/>
      <c r="M60" s="1325"/>
      <c r="N60" s="1325"/>
      <c r="P60" s="1326"/>
      <c r="Q60" s="1327"/>
      <c r="R60" s="1326"/>
      <c r="S60" s="1332"/>
      <c r="T60" s="1335"/>
      <c r="U60" s="1334"/>
      <c r="V60" s="1334"/>
      <c r="W60" s="1334"/>
      <c r="X60" s="1334"/>
      <c r="Y60" s="1334"/>
      <c r="Z60" s="1334"/>
      <c r="AA60" s="1334"/>
      <c r="AB60" s="1334"/>
      <c r="AC60" s="1334"/>
      <c r="AD60" s="1334"/>
      <c r="AE60" s="1334"/>
      <c r="AF60" s="1334"/>
      <c r="AG60" s="1334"/>
      <c r="AH60" s="1334"/>
      <c r="AI60" s="1334"/>
      <c r="AJ60" s="1334"/>
      <c r="AK60" s="1334"/>
      <c r="AL60" s="1334"/>
      <c r="AM60" s="1334"/>
      <c r="AN60" s="1334"/>
      <c r="AO60" s="1334"/>
      <c r="AP60" s="1334"/>
      <c r="AQ60" s="1334"/>
      <c r="AR60" s="1334"/>
      <c r="AS60" s="1334"/>
      <c r="AT60" s="1334"/>
      <c r="AU60" s="1334"/>
      <c r="AV60" s="1334"/>
      <c r="AW60" s="1334"/>
      <c r="AX60" s="1334"/>
      <c r="AY60" s="1334"/>
      <c r="AZ60" s="1334"/>
      <c r="BA60" s="1334"/>
      <c r="BB60" s="1334"/>
      <c r="BC60" s="1334"/>
      <c r="BE60" s="799"/>
      <c r="BF60" s="799" t="str">
        <f>IF(T60="","",T60)</f>
        <v/>
      </c>
      <c r="BG60" s="799"/>
      <c r="BH60" s="799"/>
      <c r="BI60" s="528">
        <v>0</v>
      </c>
    </row>
    <row s="1652" customFormat="1" customHeight="1" ht="0">
      <c r="A61" s="1353" t="s">
        <v>298</v>
      </c>
      <c r="B61" s="1353" t="s">
        <v>299</v>
      </c>
      <c r="C61" s="1324"/>
      <c r="D61" s="1324"/>
      <c r="E61" s="2269"/>
      <c r="F61" s="2268"/>
      <c r="G61" s="1324"/>
      <c r="H61" s="1324"/>
      <c r="I61" s="1324"/>
      <c r="J61" s="1324"/>
      <c r="K61" s="1324"/>
      <c r="L61" s="1504"/>
      <c r="M61" s="1331"/>
      <c r="N61" s="1331"/>
      <c r="P61" s="1326"/>
      <c r="Q61" s="1327"/>
      <c r="R61" s="1326"/>
      <c r="S61" s="1332"/>
      <c r="T61" s="1335" t="s">
        <v>437</v>
      </c>
      <c r="U61" s="1334"/>
      <c r="V61" s="1334"/>
      <c r="W61" s="1334"/>
      <c r="X61" s="1334"/>
      <c r="Y61" s="1334"/>
      <c r="Z61" s="1334"/>
      <c r="AA61" s="1334"/>
      <c r="AB61" s="1334"/>
      <c r="AC61" s="1334"/>
      <c r="AD61" s="1334"/>
      <c r="AE61" s="1334"/>
      <c r="AF61" s="1334"/>
      <c r="AG61" s="1334"/>
      <c r="AH61" s="1334"/>
      <c r="AI61" s="1334"/>
      <c r="AJ61" s="1334"/>
      <c r="AK61" s="1334"/>
      <c r="AL61" s="1334"/>
      <c r="AM61" s="1334"/>
      <c r="AN61" s="1334"/>
      <c r="AO61" s="1334"/>
      <c r="AP61" s="1334"/>
      <c r="AQ61" s="1334"/>
      <c r="AR61" s="1334"/>
      <c r="AS61" s="1334"/>
      <c r="AT61" s="1334"/>
      <c r="AU61" s="1334"/>
      <c r="AV61" s="1334"/>
      <c r="AW61" s="1334"/>
      <c r="AX61" s="1334"/>
      <c r="AY61" s="1334"/>
      <c r="AZ61" s="1334"/>
      <c r="BA61" s="1334"/>
      <c r="BB61" s="1334"/>
      <c r="BC61" s="1334"/>
      <c r="BE61" s="799"/>
      <c r="BF61" s="799" t="str">
        <f>IF(T61="","",T61)</f>
        <v>Добавить централизованную систему для дифференциации</v>
      </c>
      <c r="BG61" s="799"/>
      <c r="BH61" s="799"/>
      <c r="BI61" s="528">
        <v>0</v>
      </c>
    </row>
    <row s="1652" customFormat="1" customHeight="1" ht="0">
      <c r="A62" s="1353" t="s">
        <v>298</v>
      </c>
      <c r="B62" s="1353"/>
      <c r="C62" s="1353"/>
      <c r="D62" s="1353"/>
      <c r="E62" s="2268"/>
      <c r="F62" s="1353"/>
      <c r="G62" s="1353"/>
      <c r="H62" s="1353"/>
      <c r="I62" s="1353"/>
      <c r="J62" s="1353"/>
      <c r="K62" s="1353"/>
      <c r="L62" s="1356"/>
      <c r="M62" s="1331"/>
      <c r="N62" s="1331"/>
      <c r="O62" s="528"/>
      <c r="P62" s="390"/>
      <c r="Q62" s="1354"/>
      <c r="R62" s="390"/>
      <c r="S62" s="1332"/>
      <c r="T62" s="1335" t="s">
        <v>438</v>
      </c>
      <c r="U62" s="1334"/>
      <c r="V62" s="1334"/>
      <c r="W62" s="1334"/>
      <c r="X62" s="1334"/>
      <c r="Y62" s="1334"/>
      <c r="Z62" s="1334"/>
      <c r="AA62" s="1334"/>
      <c r="AB62" s="1334"/>
      <c r="AC62" s="1334"/>
      <c r="AD62" s="1334"/>
      <c r="AE62" s="1334"/>
      <c r="AF62" s="1334"/>
      <c r="AG62" s="1334"/>
      <c r="AH62" s="1334"/>
      <c r="AI62" s="1334"/>
      <c r="AJ62" s="1334"/>
      <c r="AK62" s="1334"/>
      <c r="AL62" s="1334"/>
      <c r="AM62" s="1334"/>
      <c r="AN62" s="1334"/>
      <c r="AO62" s="1334"/>
      <c r="AP62" s="1334"/>
      <c r="AQ62" s="1334"/>
      <c r="AR62" s="1334"/>
      <c r="AS62" s="1334"/>
      <c r="AT62" s="1334"/>
      <c r="AU62" s="1334"/>
      <c r="AV62" s="1334"/>
      <c r="AW62" s="1334"/>
      <c r="AX62" s="1334"/>
      <c r="AY62" s="1334"/>
      <c r="AZ62" s="1334"/>
      <c r="BA62" s="1334"/>
      <c r="BB62" s="1334"/>
      <c r="BC62" s="1334"/>
      <c r="BE62" s="510"/>
      <c r="BF62" s="510" t="str">
        <f>IF(T62="","",T62)</f>
        <v>Добавить территорию для дифференциации</v>
      </c>
      <c r="BG62" s="510"/>
      <c r="BH62" s="510"/>
      <c r="BI62" s="521">
        <v>0</v>
      </c>
    </row>
    <row s="1652" customFormat="1" customHeight="1" ht="0">
      <c r="A63" s="1324"/>
      <c r="B63" s="1324"/>
      <c r="C63" s="1324"/>
      <c r="D63" s="1324"/>
      <c r="E63" s="1353"/>
      <c r="F63" s="1324"/>
      <c r="G63" s="1324"/>
      <c r="H63" s="1324"/>
      <c r="I63" s="1324"/>
      <c r="J63" s="1324"/>
      <c r="K63" s="1324"/>
      <c r="L63" s="1504"/>
      <c r="M63" s="1331"/>
      <c r="N63" s="1331"/>
      <c r="P63" s="1326"/>
      <c r="Q63" s="1327"/>
      <c r="R63" s="1326"/>
      <c r="S63" s="1332"/>
      <c r="T63" s="1335" t="s">
        <v>470</v>
      </c>
      <c r="U63" s="1334"/>
      <c r="V63" s="1334"/>
      <c r="W63" s="1334"/>
      <c r="X63" s="1334"/>
      <c r="Y63" s="1334"/>
      <c r="Z63" s="1334"/>
      <c r="AA63" s="1334"/>
      <c r="AB63" s="1334"/>
      <c r="AC63" s="1334"/>
      <c r="AD63" s="1334"/>
      <c r="AE63" s="1334"/>
      <c r="AF63" s="1334"/>
      <c r="AG63" s="1334"/>
      <c r="AH63" s="1334"/>
      <c r="AI63" s="1334"/>
      <c r="AJ63" s="1334"/>
      <c r="AK63" s="1334"/>
      <c r="AL63" s="1334"/>
      <c r="AM63" s="1334"/>
      <c r="AN63" s="1334"/>
      <c r="AO63" s="1334"/>
      <c r="AP63" s="1334"/>
      <c r="AQ63" s="1334"/>
      <c r="AR63" s="1334"/>
      <c r="AS63" s="1334"/>
      <c r="AT63" s="1334"/>
      <c r="AU63" s="1334"/>
      <c r="AV63" s="1334"/>
      <c r="AW63" s="1334"/>
      <c r="AX63" s="1334"/>
      <c r="AY63" s="1334"/>
      <c r="AZ63" s="1334"/>
      <c r="BA63" s="1334"/>
      <c r="BB63" s="1334"/>
      <c r="BC63" s="1334"/>
      <c r="BE63" s="799"/>
      <c r="BF63" s="799" t="str">
        <f>IF(T63="","",T63)</f>
        <v>Добавить наименование тарифа</v>
      </c>
      <c r="BG63" s="799"/>
      <c r="BH63" s="799"/>
      <c r="BI63" s="528">
        <v>0</v>
      </c>
    </row>
    <row customHeight="1" ht="11.549999999999999">
      <c r="M64" s="1170"/>
      <c r="N64" s="1170"/>
      <c r="O64" s="547"/>
      <c r="P64" s="1170"/>
      <c r="Q64" s="1170"/>
      <c r="R64" s="1165"/>
      <c r="S64" s="1165"/>
      <c r="BD64" s="1165"/>
      <c r="BE64" s="1165"/>
      <c r="BF64" s="1165"/>
      <c r="BG64" s="1165"/>
      <c r="BH64" s="1165"/>
      <c r="BI64" s="1165">
        <v>11</v>
      </c>
    </row>
    <row customHeight="1" ht="14.699999999999998">
      <c r="O65" s="547"/>
      <c r="S65" s="1263"/>
      <c r="T65" s="2295"/>
      <c r="U65" s="2295"/>
      <c r="V65" s="2295"/>
      <c r="W65" s="2295"/>
      <c r="X65" s="2295"/>
      <c r="Y65" s="2295"/>
      <c r="Z65" s="2295"/>
      <c r="AA65" s="2295"/>
      <c r="AB65" s="2295"/>
      <c r="AC65" s="2295"/>
      <c r="AD65" s="2295"/>
      <c r="AE65" s="2295"/>
      <c r="AF65" s="2295"/>
      <c r="AG65" s="2295"/>
      <c r="AH65" s="2295"/>
      <c r="AI65" s="2295"/>
      <c r="AJ65" s="2295"/>
      <c r="AK65" s="2295"/>
      <c r="AL65" s="2295"/>
      <c r="AM65" s="2295"/>
      <c r="AN65" s="2295"/>
      <c r="AO65" s="2295"/>
      <c r="AP65" s="2295"/>
      <c r="AQ65" s="2295"/>
      <c r="AR65" s="2295"/>
      <c r="AS65" s="2295"/>
      <c r="AT65" s="2295"/>
      <c r="AU65" s="2295"/>
      <c r="AV65" s="2295"/>
      <c r="AW65" s="2295"/>
      <c r="AX65" s="2295"/>
      <c r="AY65" s="2295"/>
      <c r="AZ65" s="2295"/>
      <c r="BA65" s="2295"/>
      <c r="BB65" s="2295"/>
      <c r="BC65" s="2295"/>
      <c r="BI65" s="1165">
        <v>14</v>
      </c>
    </row>
    <row customHeight="1" ht="14.699999999999998">
      <c r="O66" s="547"/>
      <c r="T66" s="1490"/>
      <c r="U66" s="1490"/>
      <c r="V66" s="1490"/>
      <c r="W66" s="1490"/>
      <c r="X66" s="1490"/>
      <c r="Y66" s="1490"/>
      <c r="Z66" s="1490"/>
      <c r="AA66" s="1490"/>
      <c r="AB66" s="1490"/>
      <c r="AC66" s="1490"/>
      <c r="AD66" s="1490"/>
      <c r="AE66" s="1490"/>
      <c r="AF66" s="1490"/>
      <c r="AG66" s="1490"/>
      <c r="AH66" s="1490"/>
      <c r="AI66" s="1490"/>
      <c r="AJ66" s="1490"/>
      <c r="AK66" s="1490"/>
      <c r="AL66" s="1490"/>
      <c r="AM66" s="1490"/>
      <c r="AN66" s="1490"/>
      <c r="AO66" s="1490"/>
      <c r="AP66" s="1490"/>
      <c r="AQ66" s="1490"/>
      <c r="AR66" s="1490"/>
      <c r="AS66" s="1490"/>
      <c r="AT66" s="1490"/>
      <c r="AU66" s="1490"/>
      <c r="AV66" s="1490"/>
      <c r="AW66" s="1490"/>
      <c r="AX66" s="1490"/>
      <c r="AY66" s="1490"/>
      <c r="AZ66" s="1490"/>
      <c r="BA66" s="1490"/>
      <c r="BB66" s="1490"/>
      <c r="BC66" s="1490"/>
      <c r="BI66" s="1165">
        <v>14</v>
      </c>
    </row>
    <row customHeight="1" ht="14.699999999999998">
      <c r="O67" s="547"/>
      <c r="S67" s="1263"/>
      <c r="T67" s="2295"/>
      <c r="U67" s="2295"/>
      <c r="V67" s="2295"/>
      <c r="W67" s="2295"/>
      <c r="X67" s="2295"/>
      <c r="Y67" s="2295"/>
      <c r="Z67" s="2295"/>
      <c r="AA67" s="2295"/>
      <c r="AB67" s="2295"/>
      <c r="AC67" s="2295"/>
      <c r="AD67" s="2295"/>
      <c r="AE67" s="2295"/>
      <c r="AF67" s="2295"/>
      <c r="AG67" s="2295"/>
      <c r="AH67" s="2295"/>
      <c r="AI67" s="2295"/>
      <c r="AJ67" s="2295"/>
      <c r="AK67" s="2295"/>
      <c r="AL67" s="2295"/>
      <c r="AM67" s="2295"/>
      <c r="AN67" s="2295"/>
      <c r="AO67" s="2295"/>
      <c r="AP67" s="2295"/>
      <c r="AQ67" s="2295"/>
      <c r="AR67" s="2295"/>
      <c r="AS67" s="2295"/>
      <c r="AT67" s="2295"/>
      <c r="AU67" s="2295"/>
      <c r="AV67" s="2295"/>
      <c r="AW67" s="2295"/>
      <c r="AX67" s="2295"/>
      <c r="AY67" s="2295"/>
      <c r="AZ67" s="2295"/>
      <c r="BA67" s="2295"/>
      <c r="BB67" s="2295"/>
      <c r="BC67" s="2295"/>
      <c r="BI67" s="1165">
        <v>14</v>
      </c>
    </row>
    <row customHeight="1" ht="14.699999999999998">
      <c r="O68" s="547"/>
      <c r="BI68" s="1165">
        <v>14</v>
      </c>
    </row>
    <row customHeight="1" ht="14.25" hidden="1">
      <c r="A69" s="1170" t="s">
        <v>82</v>
      </c>
      <c r="B69" s="1170">
        <v>0</v>
      </c>
      <c r="C69" s="1170">
        <v>0</v>
      </c>
      <c r="D69" s="1170">
        <v>0</v>
      </c>
      <c r="E69" s="1170">
        <v>0</v>
      </c>
      <c r="F69" s="1170">
        <v>0</v>
      </c>
      <c r="G69" s="1170">
        <v>0</v>
      </c>
      <c r="H69" s="1170">
        <v>0</v>
      </c>
      <c r="I69" s="1170">
        <v>0</v>
      </c>
      <c r="J69" s="1170">
        <v>0</v>
      </c>
      <c r="K69" s="1170">
        <v>0</v>
      </c>
      <c r="L69" s="1488">
        <v>0</v>
      </c>
      <c r="M69" s="1372">
        <v>0</v>
      </c>
      <c r="N69" s="1372">
        <v>0</v>
      </c>
      <c r="O69" s="1372">
        <v>0</v>
      </c>
      <c r="P69" s="1372">
        <v>0</v>
      </c>
      <c r="Q69" s="1381">
        <v>0</v>
      </c>
      <c r="R69" s="354">
        <v>3</v>
      </c>
      <c r="S69" s="591">
        <v>12</v>
      </c>
      <c r="T69" s="1165">
        <v>31</v>
      </c>
      <c r="U69" s="1165">
        <v>0</v>
      </c>
      <c r="V69" s="1165">
        <v>0</v>
      </c>
      <c r="W69" s="1165">
        <v>0</v>
      </c>
      <c r="X69" s="1165">
        <v>0</v>
      </c>
      <c r="Y69" s="1165">
        <v>0</v>
      </c>
      <c r="Z69" s="1165">
        <v>0</v>
      </c>
      <c r="AA69" s="1165">
        <v>0</v>
      </c>
      <c r="AB69" s="1165">
        <v>0</v>
      </c>
      <c r="AC69" s="1165">
        <v>0</v>
      </c>
      <c r="AD69" s="1165">
        <v>3</v>
      </c>
      <c r="AE69" s="1165">
        <v>3</v>
      </c>
      <c r="AF69" s="1165">
        <v>3</v>
      </c>
      <c r="AG69" s="1165">
        <v>24</v>
      </c>
      <c r="AH69" s="1165">
        <v>3</v>
      </c>
      <c r="AI69" s="1165">
        <v>3</v>
      </c>
      <c r="AJ69" s="1165">
        <v>3</v>
      </c>
      <c r="AK69" s="1165">
        <v>24</v>
      </c>
      <c r="AL69" s="1165">
        <v>3</v>
      </c>
      <c r="AM69" s="1165">
        <v>3</v>
      </c>
      <c r="AN69" s="1165">
        <v>3</v>
      </c>
      <c r="AO69" s="1165">
        <v>18</v>
      </c>
      <c r="AP69" s="1165">
        <v>3</v>
      </c>
      <c r="AQ69" s="1165">
        <v>3</v>
      </c>
      <c r="AR69" s="1165">
        <v>3</v>
      </c>
      <c r="AS69" s="1165">
        <v>18</v>
      </c>
      <c r="AT69" s="1165">
        <v>21</v>
      </c>
      <c r="AU69" s="1165">
        <v>21</v>
      </c>
      <c r="AV69" s="1165">
        <v>21</v>
      </c>
      <c r="AW69" s="1165">
        <v>21</v>
      </c>
      <c r="AX69" s="1165">
        <v>11</v>
      </c>
      <c r="AY69" s="1165">
        <v>3</v>
      </c>
      <c r="AZ69" s="1165">
        <v>11</v>
      </c>
      <c r="BA69" s="1165">
        <v>0</v>
      </c>
      <c r="BB69" s="1165">
        <v>4</v>
      </c>
      <c r="BC69" s="1165">
        <v>115</v>
      </c>
      <c r="BD69" s="521">
        <v>10</v>
      </c>
      <c r="BE69" s="521">
        <v>10</v>
      </c>
      <c r="BF69" s="521">
        <v>10</v>
      </c>
      <c r="BG69" s="521">
        <v>10</v>
      </c>
      <c r="BH69" s="521">
        <v>10</v>
      </c>
      <c r="BI69" s="1165">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5DB6A8-BF78-B22E-9861-0.BFF0A01}" mc:Ignorable="x14ac xr xr2 xr3">
  <sheetPr>
    <tabColor rgb="FFCCCCFF"/>
    <pageSetUpPr fitToPage="1"/>
  </sheetPr>
  <dimension ref="A1:AC38"/>
  <sheetViews>
    <sheetView showGridLines="0" zoomScale="90" workbookViewId="0">
      <pane xSplit="6" ySplit="11" topLeftCell="G12" activePane="bottomRight" state="frozen"/>
      <selection pane="bottomLeft" activeCell="A12" sqref="A12"/>
      <selection pane="topRight" activeCell="G1" sqref="G1"/>
      <selection pane="bottomRight" activeCell="G21" sqref="G21"/>
    </sheetView>
  </sheetViews>
  <sheetFormatPr defaultColWidth="9.140625" customHeight="1" defaultRowHeight="14.25"/>
  <cols>
    <col min="1" max="1" style="1645" width="8.00390625" hidden="1" customWidth="1"/>
    <col min="2" max="2" style="1376" width="6.00390625" hidden="1" customWidth="1"/>
    <col min="3" max="3" style="1645" width="3.00390625" customWidth="1"/>
    <col min="4" max="4" style="1852" width="3.00390625" customWidth="1"/>
    <col min="5" max="5" style="1645" width="6.00390625" customWidth="1"/>
    <col min="6" max="6" style="1645" width="2.7109375" hidden="1" customWidth="1"/>
    <col min="7" max="7" style="1645" width="46.7109375" customWidth="1"/>
    <col min="8" max="8" style="1645" width="42.00390625" customWidth="1"/>
    <col min="9" max="9" style="1645" width="14.00390625" customWidth="1"/>
    <col min="10" max="10" style="1634" width="3.00390625" customWidth="1"/>
    <col min="11" max="13" style="1634" width="9.140625" hidden="1"/>
    <col min="14" max="14" style="1634" width="25.7109375" hidden="1" customWidth="1"/>
    <col min="15" max="15" style="1634" width="14.421875" hidden="1" customWidth="1"/>
    <col min="16" max="19" style="235" width="9.140625" hidden="1"/>
    <col min="20" max="27" style="1645" width="9.140625" hidden="1"/>
    <col min="28" max="28" style="1645" width="8.00390625" customWidth="1"/>
    <col min="29" max="29" style="1645" width="9.140625" hidden="1"/>
  </cols>
  <sheetData>
    <row s="1652" customFormat="1" customHeight="1" ht="5.25" hidden="1">
      <c r="A1" s="506"/>
      <c r="B1" s="521"/>
      <c r="C1" s="521"/>
      <c r="D1" s="231"/>
      <c r="F1" s="521"/>
      <c r="G1" s="257" t="s">
        <v>83</v>
      </c>
      <c r="H1" s="504" t="s">
        <v>84</v>
      </c>
      <c r="I1" s="237" t="s">
        <v>85</v>
      </c>
      <c r="J1" s="257" t="s">
        <v>83</v>
      </c>
      <c r="K1" s="257"/>
      <c r="L1" s="257"/>
      <c r="M1" s="257"/>
      <c r="N1" s="258"/>
      <c r="O1" s="257"/>
      <c r="P1" s="257"/>
      <c r="Q1" s="257"/>
      <c r="R1" s="257"/>
      <c r="S1" s="257"/>
      <c r="T1" s="237"/>
      <c r="U1" s="237"/>
      <c r="V1" s="237"/>
      <c r="W1" s="237"/>
      <c r="X1" s="237"/>
      <c r="Y1" s="237"/>
      <c r="Z1" s="237"/>
      <c r="AA1" s="237"/>
      <c r="AB1" s="237"/>
      <c r="AC1" s="162" t="s">
        <v>14</v>
      </c>
    </row>
    <row s="1422" customFormat="1" customHeight="1" ht="11.25">
      <c r="A2" s="841"/>
      <c r="B2" s="238"/>
      <c r="C2" s="238"/>
      <c r="D2" s="239"/>
      <c r="E2" s="238"/>
      <c r="F2" s="238"/>
      <c r="G2" s="238"/>
      <c r="H2" s="238"/>
      <c r="I2" s="238"/>
      <c r="J2" s="257"/>
      <c r="K2" s="257"/>
      <c r="L2" s="257"/>
      <c r="M2" s="257"/>
      <c r="N2" s="258"/>
      <c r="O2" s="257"/>
      <c r="P2" s="240"/>
      <c r="Q2" s="240"/>
      <c r="R2" s="240"/>
      <c r="S2" s="240"/>
      <c r="T2" s="239"/>
      <c r="U2" s="239"/>
      <c r="V2" s="239"/>
      <c r="W2" s="239"/>
      <c r="X2" s="239"/>
      <c r="Y2" s="239"/>
      <c r="Z2" s="239"/>
      <c r="AA2" s="239"/>
      <c r="AB2" s="239"/>
      <c r="AC2" s="241">
        <v>11</v>
      </c>
    </row>
    <row s="1829" customFormat="1" customHeight="1" ht="3">
      <c r="A3" s="768"/>
      <c r="B3" s="427"/>
      <c r="C3" s="768"/>
      <c r="D3" s="174"/>
      <c r="E3" s="113"/>
      <c r="F3" s="519"/>
      <c r="G3" s="113"/>
      <c r="H3" s="113"/>
      <c r="I3" s="176"/>
      <c r="J3" s="257"/>
      <c r="K3" s="165"/>
      <c r="L3" s="165"/>
      <c r="M3" s="165"/>
      <c r="N3" s="236"/>
      <c r="O3" s="165"/>
      <c r="P3" s="235"/>
      <c r="Q3" s="235"/>
      <c r="R3" s="235"/>
      <c r="S3" s="235"/>
      <c r="AC3" s="126">
        <v>3</v>
      </c>
    </row>
    <row s="1829" customFormat="1" customHeight="1" ht="27.299999999999997">
      <c r="A4" s="768"/>
      <c r="B4" s="427"/>
      <c r="C4" s="768"/>
      <c r="D4" s="174"/>
      <c r="E4" s="2110" t="str">
        <f>NameTemplatesInListMO</f>
        <v>Перечень муниципальных районов и муниципальных образований (территорий действия тарифа)</v>
      </c>
      <c r="F4" s="2110"/>
      <c r="G4" s="2110"/>
      <c r="H4" s="2110"/>
      <c r="I4" s="2110"/>
      <c r="J4" s="257"/>
      <c r="K4" s="165"/>
      <c r="L4" s="165"/>
      <c r="M4" s="165"/>
      <c r="N4" s="236"/>
      <c r="O4" s="165"/>
      <c r="P4" s="235"/>
      <c r="Q4" s="235"/>
      <c r="R4" s="235"/>
      <c r="S4" s="235"/>
      <c r="AC4" s="126">
        <v>26</v>
      </c>
    </row>
    <row s="1829" customFormat="1" customHeight="1" ht="3">
      <c r="A5" s="768"/>
      <c r="B5" s="427"/>
      <c r="C5" s="768"/>
      <c r="D5" s="174"/>
      <c r="E5" s="113"/>
      <c r="F5" s="519"/>
      <c r="G5" s="177"/>
      <c r="H5" s="177"/>
      <c r="I5" s="178"/>
      <c r="J5" s="165"/>
      <c r="K5" s="165"/>
      <c r="L5" s="165"/>
      <c r="M5" s="165"/>
      <c r="N5" s="236"/>
      <c r="O5" s="165"/>
      <c r="P5" s="235"/>
      <c r="Q5" s="235"/>
      <c r="R5" s="235"/>
      <c r="S5" s="235"/>
      <c r="AC5" s="126">
        <v>3</v>
      </c>
    </row>
    <row s="1829" customFormat="1" customHeight="1" ht="20.25" hidden="1">
      <c r="A6" s="847"/>
      <c r="B6" s="843"/>
      <c r="C6" s="179"/>
      <c r="D6" s="174"/>
      <c r="E6" s="789"/>
      <c r="F6" s="789"/>
      <c r="G6" s="177"/>
      <c r="H6" s="180"/>
      <c r="I6" s="180"/>
      <c r="J6" s="165"/>
      <c r="K6" s="165"/>
      <c r="L6" s="165"/>
      <c r="M6" s="165"/>
      <c r="N6" s="236"/>
      <c r="O6" s="165"/>
      <c r="P6" s="235"/>
      <c r="Q6" s="235"/>
      <c r="R6" s="235"/>
      <c r="S6" s="235"/>
      <c r="AC6" s="126">
        <v>0</v>
      </c>
    </row>
    <row customHeight="1" ht="25.5" hidden="1">
      <c r="AC7" s="93">
        <v>0</v>
      </c>
    </row>
    <row s="1829" customFormat="1" customHeight="1" ht="14.699999999999998">
      <c r="A8" s="768"/>
      <c r="B8" s="427"/>
      <c r="C8" s="768"/>
      <c r="D8" s="174"/>
      <c r="E8" s="2111" t="s">
        <v>86</v>
      </c>
      <c r="F8" s="2112"/>
      <c r="G8" s="2113"/>
      <c r="H8" s="2114" t="s">
        <v>87</v>
      </c>
      <c r="I8" s="2114"/>
      <c r="J8" s="165"/>
      <c r="K8" s="165"/>
      <c r="L8" s="165"/>
      <c r="M8" s="165"/>
      <c r="N8" s="236"/>
      <c r="O8" s="165"/>
      <c r="P8" s="235"/>
      <c r="Q8" s="235"/>
      <c r="R8" s="235"/>
      <c r="S8" s="235"/>
      <c r="AC8" s="126">
        <v>14</v>
      </c>
    </row>
    <row s="1829" customFormat="1" customHeight="1" ht="21">
      <c r="A9" s="768"/>
      <c r="B9" s="427"/>
      <c r="C9" s="768"/>
      <c r="D9" s="174"/>
      <c r="E9" s="787" t="s">
        <v>88</v>
      </c>
      <c r="F9" s="787"/>
      <c r="G9" s="182" t="s">
        <v>89</v>
      </c>
      <c r="H9" s="182" t="s">
        <v>89</v>
      </c>
      <c r="I9" s="182" t="s">
        <v>85</v>
      </c>
      <c r="J9" s="165"/>
      <c r="K9" s="165"/>
      <c r="L9" s="165"/>
      <c r="M9" s="165"/>
      <c r="N9" s="236"/>
      <c r="O9" s="165"/>
      <c r="P9" s="235"/>
      <c r="Q9" s="235"/>
      <c r="R9" s="235"/>
      <c r="S9" s="235"/>
      <c r="AC9" s="126">
        <v>20</v>
      </c>
    </row>
    <row customHeight="1" ht="11.549999999999999">
      <c r="D10" s="186"/>
      <c r="E10" s="788" t="s">
        <v>90</v>
      </c>
      <c r="F10" s="788"/>
      <c r="G10" s="233" t="s">
        <v>91</v>
      </c>
      <c r="H10" s="233" t="s">
        <v>92</v>
      </c>
      <c r="I10" s="233" t="s">
        <v>93</v>
      </c>
      <c r="J10" s="196"/>
      <c r="K10" s="196"/>
      <c r="L10" s="196"/>
      <c r="M10" s="196"/>
      <c r="N10" s="181"/>
      <c r="O10" s="196"/>
      <c r="P10" s="234"/>
      <c r="Q10" s="234"/>
      <c r="R10" s="234"/>
      <c r="S10" s="234"/>
      <c r="AC10" s="93">
        <v>11</v>
      </c>
    </row>
    <row s="1829" customFormat="1" customHeight="1" ht="1.05">
      <c r="A11" s="768"/>
      <c r="B11" s="427"/>
      <c r="C11" s="768"/>
      <c r="D11" s="174"/>
      <c r="E11" s="800"/>
      <c r="F11" s="800"/>
      <c r="G11" s="183"/>
      <c r="H11" s="183"/>
      <c r="I11" s="185"/>
      <c r="J11" s="259" t="s">
        <v>94</v>
      </c>
      <c r="K11" s="165"/>
      <c r="L11" s="165"/>
      <c r="M11" s="165" t="s">
        <v>95</v>
      </c>
      <c r="N11" s="236" t="s">
        <v>96</v>
      </c>
      <c r="O11" s="165" t="s">
        <v>97</v>
      </c>
      <c r="P11" s="235"/>
      <c r="Q11" s="235"/>
      <c r="R11" s="235"/>
      <c r="S11" s="235"/>
      <c r="AC11" s="126">
        <v>1</v>
      </c>
    </row>
    <row s="1829" customFormat="1" customHeight="1" ht="15">
      <c r="A12" s="2109">
        <v>1</v>
      </c>
      <c r="B12" s="427"/>
      <c r="C12" s="768"/>
      <c r="D12" s="792"/>
      <c r="E12" s="229">
        <f>A12</f>
        <v>1</v>
      </c>
      <c r="F12" s="812" t="s">
        <v>98</v>
      </c>
      <c r="G12" s="550" t="str">
        <f>"Территория "&amp;E12</f>
        <v>Территория 1</v>
      </c>
      <c r="H12" s="802"/>
      <c r="I12" s="802"/>
      <c r="J12" s="799"/>
      <c r="K12" s="510"/>
      <c r="L12" s="510"/>
      <c r="M12" s="510"/>
      <c r="N12" s="236"/>
      <c r="O12" s="510"/>
      <c r="P12" s="235"/>
      <c r="Q12" s="235"/>
      <c r="R12" s="235"/>
      <c r="S12" s="235"/>
      <c r="AC12" s="517">
        <v>14</v>
      </c>
    </row>
    <row s="1860" customFormat="1" customHeight="1" ht="15.75">
      <c r="A13" s="2109"/>
      <c r="B13" s="427">
        <v>1</v>
      </c>
      <c r="C13" s="427"/>
      <c r="D13" s="810"/>
      <c r="E13" s="790" t="str">
        <f>A12&amp;"."&amp;B13</f>
        <v>1.1</v>
      </c>
      <c r="F13" s="805" t="s">
        <v>99</v>
      </c>
      <c r="G13" s="803" t="s">
        <v>100</v>
      </c>
      <c r="H13" s="803" t="s">
        <v>101</v>
      </c>
      <c r="I13" s="801" t="s">
        <v>102</v>
      </c>
      <c r="J13" s="510">
        <f>MERGEVALUE(G13)</f>
      </c>
      <c r="K13" s="521"/>
      <c r="L13" s="521"/>
      <c r="M13" s="510" t="str">
        <f t="array" ref="M13:M13">IF(ISERROR(MATCH(MID(N13,1,250),MID(note_ter,1,250),0)),"n","y")</f>
        <v>n</v>
      </c>
      <c r="N13" s="521"/>
      <c r="O13" s="510" t="str">
        <f>H13&amp;"("&amp;I13&amp;")"</f>
        <v>Город Нерюнгри(98660101)</v>
      </c>
      <c r="P13" s="427"/>
      <c r="Q13" s="427"/>
      <c r="R13" s="430"/>
      <c r="S13" s="427"/>
      <c r="T13" s="427"/>
      <c r="U13" s="427"/>
      <c r="V13" s="432"/>
      <c r="W13" s="432"/>
      <c r="X13" s="429"/>
      <c r="Y13" s="429"/>
      <c r="Z13" s="429"/>
      <c r="AA13" s="429"/>
      <c r="AB13" s="429"/>
      <c r="AC13" s="433">
        <v>15</v>
      </c>
    </row>
    <row s="1860" customFormat="1" customHeight="1" ht="15.75">
      <c r="A14" s="2109"/>
      <c r="B14" s="427"/>
      <c r="C14" s="422"/>
      <c r="D14" s="811"/>
      <c r="E14" s="431"/>
      <c r="F14" s="187"/>
      <c r="G14" s="425" t="s">
        <v>103</v>
      </c>
      <c r="H14" s="197"/>
      <c r="I14" s="434"/>
      <c r="J14" s="521"/>
      <c r="K14" s="521"/>
      <c r="L14" s="521"/>
      <c r="M14" s="521"/>
      <c r="N14" s="510"/>
      <c r="O14" s="521"/>
      <c r="P14" s="427"/>
      <c r="Q14" s="427"/>
      <c r="R14" s="430"/>
      <c r="S14" s="427"/>
      <c r="T14" s="427"/>
      <c r="U14" s="427"/>
      <c r="V14" s="432"/>
      <c r="W14" s="432"/>
      <c r="X14" s="429"/>
      <c r="Y14" s="429"/>
      <c r="Z14" s="429"/>
      <c r="AA14" s="429"/>
      <c r="AB14" s="429"/>
      <c r="AC14" s="433">
        <v>15</v>
      </c>
    </row>
    <row customHeight="1" ht="15">
      <c r="A15" s="2227" t="s">
        <v>104</v>
      </c>
      <c r="B15" s="1170"/>
      <c r="C15" s="811" t="s">
        <v>105</v>
      </c>
      <c r="D15" s="1828"/>
      <c r="E15" s="1815" t="str">
        <f>A15</f>
        <v>2</v>
      </c>
      <c r="F15" s="814" t="s">
        <v>106</v>
      </c>
      <c r="G15" s="550" t="str">
        <f>"Территория "&amp;E15</f>
        <v>Территория 2</v>
      </c>
      <c r="H15" s="802"/>
      <c r="I15" s="802"/>
      <c r="J15" s="799"/>
      <c r="K15" s="1634"/>
      <c r="L15" s="1634"/>
      <c r="M15" s="1634"/>
      <c r="N15" s="236"/>
      <c r="O15" s="1634"/>
      <c r="P15" s="235"/>
      <c r="Q15" s="235"/>
      <c r="R15" s="235"/>
      <c r="S15" s="235"/>
      <c r="T15" s="1829"/>
      <c r="U15" s="1829"/>
      <c r="V15" s="1829"/>
      <c r="W15" s="1829"/>
      <c r="X15" s="1829"/>
      <c r="Y15" s="1829"/>
      <c r="Z15" s="1829"/>
      <c r="AA15" s="1829"/>
      <c r="AB15" s="1829"/>
      <c r="AC15" s="1829"/>
    </row>
    <row customHeight="1" ht="15">
      <c r="A16" s="2227"/>
      <c r="B16" s="1170">
        <v>1</v>
      </c>
      <c r="C16" s="1170"/>
      <c r="D16" s="810"/>
      <c r="E16" s="1823" t="str">
        <f>A15&amp;"."&amp;B16</f>
        <v>2.1</v>
      </c>
      <c r="F16" s="813" t="s">
        <v>107</v>
      </c>
      <c r="G16" s="803" t="s">
        <v>100</v>
      </c>
      <c r="H16" s="803" t="s">
        <v>108</v>
      </c>
      <c r="I16" s="801" t="s">
        <v>109</v>
      </c>
      <c r="J16" s="1634"/>
      <c r="K16" s="1646"/>
      <c r="L16" s="1646"/>
      <c r="M16" s="1634" t="str">
        <f t="array" ref="M16:M16">IF(ISERROR(MATCH(MID(N16,1,250),MID(note_ter,1,250),0)),"n","y")</f>
        <v>n</v>
      </c>
      <c r="N16" s="1646"/>
      <c r="O16" s="1634" t="str">
        <f>H16&amp;"("&amp;I16&amp;")"</f>
        <v>Поселок Серебряный Бор(98660158)</v>
      </c>
      <c r="P16" s="1170"/>
      <c r="Q16" s="1170"/>
      <c r="R16" s="430"/>
      <c r="S16" s="1170"/>
      <c r="T16" s="1170"/>
      <c r="U16" s="1170"/>
      <c r="V16" s="432"/>
      <c r="W16" s="432"/>
      <c r="X16" s="429"/>
      <c r="Y16" s="429"/>
      <c r="Z16" s="429"/>
      <c r="AA16" s="429"/>
      <c r="AB16" s="429"/>
      <c r="AC16" s="429"/>
    </row>
    <row customHeight="1" ht="15">
      <c r="A17" s="2227"/>
      <c r="B17" s="1170"/>
      <c r="C17" s="422"/>
      <c r="D17" s="811"/>
      <c r="E17" s="431"/>
      <c r="F17" s="187"/>
      <c r="G17" s="425" t="s">
        <v>103</v>
      </c>
      <c r="H17" s="197"/>
      <c r="I17" s="434"/>
      <c r="J17" s="1646"/>
      <c r="K17" s="1646"/>
      <c r="L17" s="1646"/>
      <c r="M17" s="1646"/>
      <c r="N17" s="1634"/>
      <c r="O17" s="1646"/>
      <c r="P17" s="1170"/>
      <c r="Q17" s="1170"/>
      <c r="R17" s="430"/>
      <c r="S17" s="1170"/>
      <c r="T17" s="1170"/>
      <c r="U17" s="1170"/>
      <c r="V17" s="432"/>
      <c r="W17" s="432"/>
      <c r="X17" s="429"/>
      <c r="Y17" s="429"/>
      <c r="Z17" s="429"/>
      <c r="AA17" s="429"/>
      <c r="AB17" s="429"/>
      <c r="AC17" s="429"/>
    </row>
    <row customHeight="1" ht="15">
      <c r="A18" s="2227" t="s">
        <v>90</v>
      </c>
      <c r="B18" s="1170"/>
      <c r="C18" s="811" t="s">
        <v>105</v>
      </c>
      <c r="D18" s="1828"/>
      <c r="E18" s="1815" t="str">
        <f>A18</f>
        <v>3</v>
      </c>
      <c r="F18" s="814" t="s">
        <v>110</v>
      </c>
      <c r="G18" s="550" t="str">
        <f>"Территория "&amp;E18</f>
        <v>Территория 3</v>
      </c>
      <c r="H18" s="802"/>
      <c r="I18" s="802"/>
      <c r="J18" s="799"/>
      <c r="K18" s="1634"/>
      <c r="L18" s="1634"/>
      <c r="M18" s="1634"/>
      <c r="N18" s="236"/>
      <c r="O18" s="1634"/>
      <c r="P18" s="235"/>
      <c r="Q18" s="235"/>
      <c r="R18" s="235"/>
      <c r="S18" s="235"/>
      <c r="T18" s="1829"/>
      <c r="U18" s="1829"/>
      <c r="V18" s="1829"/>
      <c r="W18" s="1829"/>
      <c r="X18" s="1829"/>
      <c r="Y18" s="1829"/>
      <c r="Z18" s="1829"/>
      <c r="AA18" s="1829"/>
      <c r="AB18" s="1829"/>
      <c r="AC18" s="1829"/>
    </row>
    <row customHeight="1" ht="15">
      <c r="A19" s="2227"/>
      <c r="B19" s="1170">
        <v>1</v>
      </c>
      <c r="C19" s="1170"/>
      <c r="D19" s="810"/>
      <c r="E19" s="1823" t="str">
        <f>A18&amp;"."&amp;B19</f>
        <v>3.1</v>
      </c>
      <c r="F19" s="813" t="s">
        <v>111</v>
      </c>
      <c r="G19" s="803" t="s">
        <v>100</v>
      </c>
      <c r="H19" s="803" t="s">
        <v>112</v>
      </c>
      <c r="I19" s="801" t="s">
        <v>113</v>
      </c>
      <c r="J19" s="1634"/>
      <c r="K19" s="1646"/>
      <c r="L19" s="1646"/>
      <c r="M19" s="1634" t="str">
        <f t="array" ref="M19:M19">IF(ISERROR(MATCH(MID(N19,1,250),MID(note_ter,1,250),0)),"n","y")</f>
        <v>n</v>
      </c>
      <c r="N19" s="1646"/>
      <c r="O19" s="1634" t="str">
        <f>H19&amp;"("&amp;I19&amp;")"</f>
        <v>Посёлок Беркакит(98660152)</v>
      </c>
      <c r="P19" s="1170"/>
      <c r="Q19" s="1170"/>
      <c r="R19" s="430"/>
      <c r="S19" s="1170"/>
      <c r="T19" s="1170"/>
      <c r="U19" s="1170"/>
      <c r="V19" s="432"/>
      <c r="W19" s="432"/>
      <c r="X19" s="429"/>
      <c r="Y19" s="429"/>
      <c r="Z19" s="429"/>
      <c r="AA19" s="429"/>
      <c r="AB19" s="429"/>
      <c r="AC19" s="429"/>
    </row>
    <row customHeight="1" ht="15">
      <c r="A20" s="2227"/>
      <c r="B20" s="1170"/>
      <c r="C20" s="422"/>
      <c r="D20" s="811"/>
      <c r="E20" s="431"/>
      <c r="F20" s="187"/>
      <c r="G20" s="425" t="s">
        <v>103</v>
      </c>
      <c r="H20" s="197"/>
      <c r="I20" s="434"/>
      <c r="J20" s="1646"/>
      <c r="K20" s="1646"/>
      <c r="L20" s="1646"/>
      <c r="M20" s="1646"/>
      <c r="N20" s="1634"/>
      <c r="O20" s="1646"/>
      <c r="P20" s="1170"/>
      <c r="Q20" s="1170"/>
      <c r="R20" s="430"/>
      <c r="S20" s="1170"/>
      <c r="T20" s="1170"/>
      <c r="U20" s="1170"/>
      <c r="V20" s="432"/>
      <c r="W20" s="432"/>
      <c r="X20" s="429"/>
      <c r="Y20" s="429"/>
      <c r="Z20" s="429"/>
      <c r="AA20" s="429"/>
      <c r="AB20" s="429"/>
      <c r="AC20" s="429"/>
    </row>
    <row customHeight="1" ht="15">
      <c r="A21" s="2227" t="s">
        <v>91</v>
      </c>
      <c r="B21" s="1170"/>
      <c r="C21" s="811" t="s">
        <v>105</v>
      </c>
      <c r="D21" s="1828"/>
      <c r="E21" s="1815" t="str">
        <f>A21</f>
        <v>4</v>
      </c>
      <c r="F21" s="814" t="s">
        <v>114</v>
      </c>
      <c r="G21" s="550" t="str">
        <f>"Территория "&amp;E21</f>
        <v>Территория 4</v>
      </c>
      <c r="H21" s="802"/>
      <c r="I21" s="802"/>
      <c r="J21" s="799"/>
      <c r="K21" s="1634"/>
      <c r="L21" s="1634"/>
      <c r="M21" s="1634"/>
      <c r="N21" s="236"/>
      <c r="O21" s="1634"/>
      <c r="P21" s="235"/>
      <c r="Q21" s="235"/>
      <c r="R21" s="235"/>
      <c r="S21" s="235"/>
      <c r="T21" s="1829"/>
      <c r="U21" s="1829"/>
      <c r="V21" s="1829"/>
      <c r="W21" s="1829"/>
      <c r="X21" s="1829"/>
      <c r="Y21" s="1829"/>
      <c r="Z21" s="1829"/>
      <c r="AA21" s="1829"/>
      <c r="AB21" s="1829"/>
      <c r="AC21" s="1829"/>
    </row>
    <row customHeight="1" ht="15">
      <c r="A22" s="2227"/>
      <c r="B22" s="1170">
        <v>1</v>
      </c>
      <c r="C22" s="1170"/>
      <c r="D22" s="810"/>
      <c r="E22" s="1823" t="str">
        <f>A21&amp;"."&amp;B22</f>
        <v>4.1</v>
      </c>
      <c r="F22" s="813" t="s">
        <v>115</v>
      </c>
      <c r="G22" s="803" t="s">
        <v>100</v>
      </c>
      <c r="H22" s="803" t="s">
        <v>116</v>
      </c>
      <c r="I22" s="801" t="s">
        <v>117</v>
      </c>
      <c r="J22" s="1634"/>
      <c r="K22" s="1646"/>
      <c r="L22" s="1646"/>
      <c r="M22" s="1634" t="str">
        <f t="array" ref="M22:M22">IF(ISERROR(MATCH(MID(N22,1,250),MID(note_ter,1,250),0)),"n","y")</f>
        <v>n</v>
      </c>
      <c r="N22" s="1646"/>
      <c r="O22" s="1634" t="str">
        <f>H22&amp;"("&amp;I22&amp;")"</f>
        <v>Поселок Чульман(98660165)</v>
      </c>
      <c r="P22" s="1170"/>
      <c r="Q22" s="1170"/>
      <c r="R22" s="430"/>
      <c r="S22" s="1170"/>
      <c r="T22" s="1170"/>
      <c r="U22" s="1170"/>
      <c r="V22" s="432"/>
      <c r="W22" s="432"/>
      <c r="X22" s="429"/>
      <c r="Y22" s="429"/>
      <c r="Z22" s="429"/>
      <c r="AA22" s="429"/>
      <c r="AB22" s="429"/>
      <c r="AC22" s="429"/>
    </row>
    <row customHeight="1" ht="15">
      <c r="A23" s="2227"/>
      <c r="B23" s="1170"/>
      <c r="C23" s="422"/>
      <c r="D23" s="811"/>
      <c r="E23" s="431"/>
      <c r="F23" s="187"/>
      <c r="G23" s="425" t="s">
        <v>103</v>
      </c>
      <c r="H23" s="197"/>
      <c r="I23" s="434"/>
      <c r="J23" s="1646"/>
      <c r="K23" s="1646"/>
      <c r="L23" s="1646"/>
      <c r="M23" s="1646"/>
      <c r="N23" s="1634"/>
      <c r="O23" s="1646"/>
      <c r="P23" s="1170"/>
      <c r="Q23" s="1170"/>
      <c r="R23" s="430"/>
      <c r="S23" s="1170"/>
      <c r="T23" s="1170"/>
      <c r="U23" s="1170"/>
      <c r="V23" s="432"/>
      <c r="W23" s="432"/>
      <c r="X23" s="429"/>
      <c r="Y23" s="429"/>
      <c r="Z23" s="429"/>
      <c r="AA23" s="429"/>
      <c r="AB23" s="429"/>
      <c r="AC23" s="429"/>
    </row>
    <row s="1829" customFormat="1" customHeight="1" ht="14.699999999999998">
      <c r="A24" s="768"/>
      <c r="B24" s="427"/>
      <c r="C24" s="768"/>
      <c r="D24" s="792"/>
      <c r="E24" s="804"/>
      <c r="F24" s="188"/>
      <c r="G24" s="426" t="s">
        <v>118</v>
      </c>
      <c r="H24" s="188"/>
      <c r="I24" s="189"/>
      <c r="J24" s="259"/>
      <c r="K24" s="165"/>
      <c r="L24" s="165"/>
      <c r="M24" s="165"/>
      <c r="N24" s="236" t="s">
        <v>119</v>
      </c>
      <c r="O24" s="165"/>
      <c r="P24" s="235"/>
      <c r="Q24" s="235"/>
      <c r="R24" s="235"/>
      <c r="S24" s="235"/>
      <c r="AC24" s="126">
        <v>14</v>
      </c>
    </row>
    <row s="1829" customFormat="1" customHeight="1" ht="22.049999999999997">
      <c r="A25" s="768"/>
      <c r="B25" s="427"/>
      <c r="C25" s="768"/>
      <c r="D25" s="175"/>
      <c r="E25" s="190"/>
      <c r="F25" s="190"/>
      <c r="G25" s="190"/>
      <c r="H25" s="190"/>
      <c r="I25" s="190"/>
      <c r="J25" s="165"/>
      <c r="K25" s="165"/>
      <c r="L25" s="165"/>
      <c r="M25" s="165"/>
      <c r="N25" s="236"/>
      <c r="O25" s="165"/>
      <c r="P25" s="235"/>
      <c r="Q25" s="235"/>
      <c r="R25" s="235"/>
      <c r="S25" s="235"/>
      <c r="AC25" s="126">
        <v>21</v>
      </c>
    </row>
    <row s="1829" customFormat="1" customHeight="1" ht="14.699999999999998">
      <c r="A26" s="768"/>
      <c r="B26" s="427"/>
      <c r="C26" s="768"/>
      <c r="D26" s="175"/>
      <c r="E26" s="93"/>
      <c r="F26" s="768"/>
      <c r="G26" s="93"/>
      <c r="H26" s="93"/>
      <c r="I26" s="93"/>
      <c r="J26" s="165"/>
      <c r="K26" s="165"/>
      <c r="L26" s="165"/>
      <c r="M26" s="165"/>
      <c r="N26" s="236"/>
      <c r="O26" s="165"/>
      <c r="P26" s="235"/>
      <c r="Q26" s="235"/>
      <c r="R26" s="235"/>
      <c r="S26" s="235"/>
      <c r="AC26" s="126">
        <v>14</v>
      </c>
    </row>
    <row s="1829" customFormat="1" customHeight="1" ht="1.05">
      <c r="A27" s="768"/>
      <c r="B27" s="427"/>
      <c r="C27" s="768"/>
      <c r="D27" s="175"/>
      <c r="E27" s="93"/>
      <c r="F27" s="768"/>
      <c r="G27" s="93"/>
      <c r="H27" s="93"/>
      <c r="I27" s="93"/>
      <c r="J27" s="165"/>
      <c r="K27" s="165"/>
      <c r="L27" s="165"/>
      <c r="M27" s="165"/>
      <c r="N27" s="236"/>
      <c r="O27" s="165"/>
      <c r="P27" s="235"/>
      <c r="Q27" s="235"/>
      <c r="R27" s="235"/>
      <c r="S27" s="235"/>
      <c r="AC27" s="126">
        <v>1</v>
      </c>
    </row>
    <row s="1074" customFormat="1" customHeight="1" ht="10.5">
      <c r="B28" s="844"/>
      <c r="D28" s="192"/>
      <c r="J28" s="165"/>
      <c r="K28" s="165"/>
      <c r="L28" s="165"/>
      <c r="M28" s="165"/>
      <c r="N28" s="236"/>
      <c r="O28" s="165"/>
      <c r="P28" s="235"/>
      <c r="Q28" s="235"/>
      <c r="R28" s="235"/>
      <c r="S28" s="235"/>
      <c r="AC28" s="191">
        <v>10</v>
      </c>
    </row>
    <row s="1074" customFormat="1" customHeight="1" ht="10.5">
      <c r="B29" s="844"/>
      <c r="D29" s="192"/>
      <c r="J29" s="165"/>
      <c r="K29" s="165"/>
      <c r="L29" s="165"/>
      <c r="M29" s="165"/>
      <c r="N29" s="236"/>
      <c r="O29" s="165"/>
      <c r="P29" s="235"/>
      <c r="Q29" s="235"/>
      <c r="R29" s="235"/>
      <c r="S29" s="235"/>
      <c r="AC29" s="191">
        <v>10</v>
      </c>
    </row>
    <row customHeight="1" ht="14.699999999999998">
      <c r="AC30" s="93">
        <v>14</v>
      </c>
    </row>
    <row customHeight="1" ht="14.699999999999998">
      <c r="AC31" s="93">
        <v>14</v>
      </c>
    </row>
    <row customHeight="1" ht="14.699999999999998">
      <c r="AC32" s="93">
        <v>14</v>
      </c>
    </row>
    <row customHeight="1" ht="14.699999999999998">
      <c r="H33" s="74"/>
      <c r="AC33" s="93">
        <v>14</v>
      </c>
    </row>
    <row customHeight="1" ht="14.699999999999998">
      <c r="AC34" s="93">
        <v>14</v>
      </c>
    </row>
    <row customHeight="1" ht="14.699999999999998">
      <c r="AC35" s="93">
        <v>14</v>
      </c>
    </row>
    <row customHeight="1" ht="14.699999999999998">
      <c r="AC36" s="93">
        <v>14</v>
      </c>
    </row>
    <row customHeight="1" ht="14.699999999999998">
      <c r="J37" s="93"/>
      <c r="K37" s="93"/>
      <c r="L37" s="93"/>
      <c r="AC37" s="93">
        <v>14</v>
      </c>
    </row>
    <row customHeight="1" ht="22.5" hidden="1">
      <c r="A38" s="768" t="s">
        <v>82</v>
      </c>
      <c r="B38" s="427">
        <v>0</v>
      </c>
      <c r="C38" s="768">
        <v>3</v>
      </c>
      <c r="D38" s="175">
        <v>3</v>
      </c>
      <c r="E38" s="93">
        <v>6</v>
      </c>
      <c r="F38" s="768">
        <v>0</v>
      </c>
      <c r="G38" s="93">
        <v>46</v>
      </c>
      <c r="H38" s="93">
        <v>42</v>
      </c>
      <c r="I38" s="93">
        <v>14</v>
      </c>
      <c r="J38" s="165">
        <v>3</v>
      </c>
      <c r="K38" s="165">
        <v>0</v>
      </c>
      <c r="L38" s="165">
        <v>0</v>
      </c>
      <c r="M38" s="165">
        <v>0</v>
      </c>
      <c r="N38" s="236">
        <v>0</v>
      </c>
      <c r="O38" s="165">
        <v>0</v>
      </c>
      <c r="P38" s="235">
        <v>0</v>
      </c>
      <c r="Q38" s="235">
        <v>0</v>
      </c>
      <c r="R38" s="235">
        <v>0</v>
      </c>
      <c r="S38" s="235">
        <v>0</v>
      </c>
      <c r="T38" s="93">
        <v>0</v>
      </c>
      <c r="U38" s="93">
        <v>0</v>
      </c>
      <c r="V38" s="93">
        <v>0</v>
      </c>
      <c r="W38" s="93">
        <v>0</v>
      </c>
      <c r="X38" s="93">
        <v>0</v>
      </c>
      <c r="Y38" s="93">
        <v>0</v>
      </c>
      <c r="Z38" s="93">
        <v>0</v>
      </c>
      <c r="AA38" s="93">
        <v>0</v>
      </c>
      <c r="AB38" s="93">
        <v>8</v>
      </c>
      <c r="AC38" s="93">
        <v>23</v>
      </c>
    </row>
  </sheetData>
  <sheetProtection sheet="1" formatColumns="0" formatRows="0" autoFilter="0" sort="1" insertRows="1" insertColumns="1" deleteRows="1" deleteColumns="1"/>
  <mergeCells count="7">
    <mergeCell ref="A12:A14"/>
    <mergeCell ref="E4:I4"/>
    <mergeCell ref="E8:G8"/>
    <mergeCell ref="H8:I8"/>
    <mergeCell ref="A15:A17"/>
    <mergeCell ref="A18:A20"/>
    <mergeCell ref="A21:A23"/>
  </mergeCells>
  <dataValidations count="4">
    <dataValidation type="textLength" operator="lessThanOrEqual" allowBlank="1" showInputMessage="1" showErrorMessage="1" errorTitle="Ошибка" error="Допускается ввод не более 900 символов!" sqref="G12">
      <formula1>900</formula1>
    </dataValidation>
    <dataValidation type="textLength" operator="lessThanOrEqual" allowBlank="1" showInputMessage="1" showErrorMessage="1" errorTitle="Ошибка" error="Допускается ввод не более 900 символов!" sqref="G15">
      <formula1>900</formula1>
    </dataValidation>
    <dataValidation type="textLength" operator="lessThanOrEqual" allowBlank="1" showInputMessage="1" showErrorMessage="1" errorTitle="Ошибка" error="Допускается ввод не более 900 символов!" sqref="G18">
      <formula1>900</formula1>
    </dataValidation>
    <dataValidation type="textLength" operator="lessThanOrEqual" allowBlank="1" showInputMessage="1" showErrorMessage="1" errorTitle="Ошибка" error="Допускается ввод не более 900 символов!" sqref="G21">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E27AF9-D00F-D4B6-3CFF-0.31ECC211}"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8" style="1645" width="19.7109375" hidden="1" customWidth="1"/>
    <col min="29" max="29" style="1645" width="11.7109375" hidden="1" customWidth="1"/>
    <col min="30" max="30" style="1645" width="3.7109375" hidden="1" customWidth="1"/>
    <col min="31" max="31" style="1645" width="11.7109375" hidden="1" customWidth="1"/>
    <col min="32" max="32" style="1645" width="8.57421875" hidden="1" customWidth="1"/>
    <col min="33" max="33" style="1645" width="19.7109375" customWidth="1"/>
    <col min="34" max="39" style="1645" width="19.00390625" customWidth="1"/>
    <col min="40" max="40" style="1645" width="11.00390625" customWidth="1"/>
    <col min="41" max="41" style="1645" width="3.7109375" customWidth="1"/>
    <col min="42" max="42" style="1645" width="11.00390625" customWidth="1"/>
    <col min="43" max="43" style="1645" width="8.57421875" hidden="1" customWidth="1"/>
    <col min="44" max="44" style="1645" width="4.00390625" customWidth="1"/>
    <col min="45" max="45" style="1645" width="115.00390625" customWidth="1"/>
    <col min="46" max="50" style="1652" width="10.00390625" customWidth="1"/>
    <col min="51" max="51" style="1645" width="10.57421875" hidden="1"/>
  </cols>
  <sheetData>
    <row customHeight="1" ht="22.5" hidden="1">
      <c r="AC1" s="337"/>
      <c r="AN1" s="337"/>
      <c r="AY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503">
        <f>INDEX(PT_DIFFERENTIATION_NUM_NTAR,MATCH(A2,PT_DIFFERENTIATION_NTAR_ID,0))</f>
      </c>
      <c r="T2" s="308" t="s">
        <v>147</v>
      </c>
      <c r="U2" s="310"/>
      <c r="V2" s="2252"/>
      <c r="W2" s="2253"/>
      <c r="X2" s="2253"/>
      <c r="Y2" s="2253"/>
      <c r="Z2" s="2253"/>
      <c r="AA2" s="2253"/>
      <c r="AB2" s="2253"/>
      <c r="AC2" s="2253"/>
      <c r="AD2" s="2253"/>
      <c r="AE2" s="2253"/>
      <c r="AF2" s="2254"/>
      <c r="AG2" s="2252">
        <f>INDEX(PT_DIFFERENTIATION_NTAR,MATCH(A2,PT_DIFFERENTIATION_NTAR_ID,0))</f>
      </c>
      <c r="AH2" s="2253"/>
      <c r="AI2" s="2253"/>
      <c r="AJ2" s="2253"/>
      <c r="AK2" s="2253"/>
      <c r="AL2" s="2253"/>
      <c r="AM2" s="2253"/>
      <c r="AN2" s="2253"/>
      <c r="AO2" s="2253"/>
      <c r="AP2" s="2253"/>
      <c r="AQ2" s="2253"/>
      <c r="AR2" s="2254"/>
      <c r="AS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10"/>
      <c r="AV2" s="510" t="str">
        <f>IF(T2="","",T2)</f>
        <v>Наименование тарифа</v>
      </c>
      <c r="AW2" s="510"/>
      <c r="AX2" s="510"/>
      <c r="AY2" s="1165">
        <v>0</v>
      </c>
    </row>
    <row customHeight="1" ht="23.25" hidden="1">
      <c r="A3" s="1373"/>
      <c r="B3" s="1373"/>
      <c r="C3" s="1373"/>
      <c r="D3" s="1373"/>
      <c r="E3" s="2269"/>
      <c r="F3" s="2268">
        <v>1</v>
      </c>
      <c r="G3" s="1373"/>
      <c r="H3" s="1373"/>
      <c r="I3" s="1373"/>
      <c r="J3" s="1373"/>
      <c r="K3" s="1373"/>
      <c r="L3" s="1374"/>
      <c r="M3" s="1375"/>
      <c r="N3" s="1375"/>
      <c r="O3" s="1375"/>
      <c r="P3" s="1497"/>
      <c r="Q3" s="362"/>
      <c r="R3" s="363"/>
      <c r="S3" s="1503">
        <f>INDEX(PT_DIFFERENTIATION_NUM_TER,MATCH(B3,PT_DIFFERENTIATION_TER_ID,0))</f>
      </c>
      <c r="T3" s="318" t="s">
        <v>419</v>
      </c>
      <c r="U3" s="310"/>
      <c r="V3" s="2252"/>
      <c r="W3" s="2253"/>
      <c r="X3" s="2253"/>
      <c r="Y3" s="2253"/>
      <c r="Z3" s="2253"/>
      <c r="AA3" s="2253"/>
      <c r="AB3" s="2253"/>
      <c r="AC3" s="2253"/>
      <c r="AD3" s="2253"/>
      <c r="AE3" s="2253"/>
      <c r="AF3" s="2254"/>
      <c r="AG3" s="2252">
        <f>INDEX(PT_DIFFERENTIATION_TER,MATCH(B3,PT_DIFFERENTIATION_TER_ID,0))</f>
      </c>
      <c r="AH3" s="2253"/>
      <c r="AI3" s="2253"/>
      <c r="AJ3" s="2253"/>
      <c r="AK3" s="2253"/>
      <c r="AL3" s="2253"/>
      <c r="AM3" s="2253"/>
      <c r="AN3" s="2253"/>
      <c r="AO3" s="2253"/>
      <c r="AP3" s="2253"/>
      <c r="AQ3" s="2253"/>
      <c r="AR3" s="2254"/>
      <c r="AS3" s="1268" t="s">
        <v>420</v>
      </c>
      <c r="AU3" s="510"/>
      <c r="AV3" s="510" t="str">
        <f>IF(T3="","",T3)</f>
        <v>Территория действия тарифа</v>
      </c>
      <c r="AW3" s="510"/>
      <c r="AX3" s="510"/>
      <c r="AY3" s="1165">
        <v>0</v>
      </c>
    </row>
    <row customHeight="1" ht="23.25" hidden="1">
      <c r="A4" s="1373"/>
      <c r="B4" s="1373"/>
      <c r="C4" s="1373"/>
      <c r="D4" s="1373"/>
      <c r="E4" s="2269"/>
      <c r="F4" s="2269"/>
      <c r="G4" s="2268">
        <v>1</v>
      </c>
      <c r="H4" s="1373"/>
      <c r="I4" s="1373"/>
      <c r="J4" s="1373"/>
      <c r="K4" s="1373"/>
      <c r="L4" s="1374"/>
      <c r="M4" s="1375"/>
      <c r="N4" s="1375"/>
      <c r="O4" s="1375"/>
      <c r="P4" s="364"/>
      <c r="Q4" s="362"/>
      <c r="R4" s="363"/>
      <c r="S4" s="1503">
        <f>INDEX(PT_DIFFERENTIATION_NUM_CS,MATCH(C4,PT_DIFFERENTIATION_CS_ID,0))</f>
      </c>
      <c r="T4" s="319" t="s">
        <v>552</v>
      </c>
      <c r="U4" s="310"/>
      <c r="V4" s="2252"/>
      <c r="W4" s="2253"/>
      <c r="X4" s="2253"/>
      <c r="Y4" s="2253"/>
      <c r="Z4" s="2253"/>
      <c r="AA4" s="2253"/>
      <c r="AB4" s="2253"/>
      <c r="AC4" s="2253"/>
      <c r="AD4" s="2253"/>
      <c r="AE4" s="2253"/>
      <c r="AF4" s="2254"/>
      <c r="AG4" s="2252">
        <f>INDEX(PT_DIFFERENTIATION_CS,MATCH(C4,PT_DIFFERENTIATION_CS_ID,0))</f>
      </c>
      <c r="AH4" s="2253"/>
      <c r="AI4" s="2253"/>
      <c r="AJ4" s="2253"/>
      <c r="AK4" s="2253"/>
      <c r="AL4" s="2253"/>
      <c r="AM4" s="2253"/>
      <c r="AN4" s="2253"/>
      <c r="AO4" s="2253"/>
      <c r="AP4" s="2253"/>
      <c r="AQ4" s="2253"/>
      <c r="AR4" s="2254"/>
      <c r="AS4" s="1268" t="s">
        <v>553</v>
      </c>
      <c r="AU4" s="510"/>
      <c r="AV4" s="510" t="str">
        <f>IF(T4="","",T4)</f>
        <v>Наименование централизованной системы горячего водоснабжения</v>
      </c>
      <c r="AW4" s="510"/>
      <c r="AX4" s="510"/>
      <c r="AY4" s="1165">
        <v>0</v>
      </c>
    </row>
    <row customHeight="1" ht="23.25" hidden="1">
      <c r="A5" s="1373"/>
      <c r="B5" s="1373"/>
      <c r="C5" s="1373"/>
      <c r="D5" s="1373"/>
      <c r="E5" s="2269"/>
      <c r="F5" s="2269"/>
      <c r="G5" s="2269"/>
      <c r="H5" s="2269"/>
      <c r="I5" s="2266">
        <f>S4&amp;".1"</f>
      </c>
      <c r="J5" s="1373"/>
      <c r="K5" s="1373"/>
      <c r="L5" s="1374"/>
      <c r="P5" s="2267">
        <v>1</v>
      </c>
      <c r="Q5" s="1491"/>
      <c r="R5" s="366"/>
      <c r="S5" s="1503">
        <f>$I5</f>
      </c>
      <c r="T5" s="295" t="s">
        <v>505</v>
      </c>
      <c r="U5" s="310"/>
      <c r="V5" s="2360"/>
      <c r="W5" s="2361"/>
      <c r="X5" s="2361"/>
      <c r="Y5" s="2361"/>
      <c r="Z5" s="2361"/>
      <c r="AA5" s="2361"/>
      <c r="AB5" s="2361"/>
      <c r="AC5" s="2361"/>
      <c r="AD5" s="2361"/>
      <c r="AE5" s="2361"/>
      <c r="AF5" s="2362"/>
      <c r="AG5" s="2363"/>
      <c r="AH5" s="2364"/>
      <c r="AI5" s="2364"/>
      <c r="AJ5" s="2364"/>
      <c r="AK5" s="2364"/>
      <c r="AL5" s="2364"/>
      <c r="AM5" s="2364"/>
      <c r="AN5" s="2364"/>
      <c r="AO5" s="2364"/>
      <c r="AP5" s="2364"/>
      <c r="AQ5" s="2364"/>
      <c r="AR5" s="2365"/>
      <c r="AS5" s="1268" t="s">
        <v>506</v>
      </c>
      <c r="AU5" s="510"/>
      <c r="AV5" s="510" t="str">
        <f>IF(T5="","",T5)</f>
        <v>Наименование признака дифференциации</v>
      </c>
      <c r="AW5" s="510"/>
      <c r="AX5" s="510"/>
      <c r="AY5" s="1165">
        <v>0</v>
      </c>
    </row>
    <row customHeight="1" ht="23.25" hidden="1">
      <c r="A6" s="1373"/>
      <c r="B6" s="1373"/>
      <c r="C6" s="1373"/>
      <c r="D6" s="1373"/>
      <c r="E6" s="2269"/>
      <c r="F6" s="2269"/>
      <c r="G6" s="2269"/>
      <c r="H6" s="2269"/>
      <c r="I6" s="2296"/>
      <c r="J6" s="2266">
        <f>I5&amp;".1"</f>
      </c>
      <c r="K6" s="1373"/>
      <c r="L6" s="1374" t="s">
        <v>428</v>
      </c>
      <c r="P6" s="2267"/>
      <c r="Q6" s="2267">
        <v>1</v>
      </c>
      <c r="R6" s="367"/>
      <c r="S6" s="1503">
        <f>$J6</f>
      </c>
      <c r="T6" s="296" t="s">
        <v>429</v>
      </c>
      <c r="U6" s="310"/>
      <c r="V6" s="2255"/>
      <c r="W6" s="2256"/>
      <c r="X6" s="2256"/>
      <c r="Y6" s="2256"/>
      <c r="Z6" s="2256"/>
      <c r="AA6" s="2256"/>
      <c r="AB6" s="2256"/>
      <c r="AC6" s="2256"/>
      <c r="AD6" s="2256"/>
      <c r="AE6" s="2256"/>
      <c r="AF6" s="2257"/>
      <c r="AG6" s="2255"/>
      <c r="AH6" s="2256"/>
      <c r="AI6" s="2256"/>
      <c r="AJ6" s="2256"/>
      <c r="AK6" s="2256"/>
      <c r="AL6" s="2256"/>
      <c r="AM6" s="2256"/>
      <c r="AN6" s="2256"/>
      <c r="AO6" s="2256"/>
      <c r="AP6" s="2256"/>
      <c r="AQ6" s="2256"/>
      <c r="AR6" s="2257"/>
      <c r="AS6" s="1317" t="s">
        <v>507</v>
      </c>
      <c r="AU6" s="510"/>
      <c r="AV6" s="510" t="str">
        <f>IF(T6="","",T6)</f>
        <v>Группа потребителей</v>
      </c>
      <c r="AW6" s="510"/>
      <c r="AX6" s="510"/>
      <c r="AY6" s="1165">
        <v>0</v>
      </c>
    </row>
    <row customHeight="1" ht="23.25" hidden="1">
      <c r="A7" s="1373"/>
      <c r="B7" s="1373"/>
      <c r="C7" s="1373"/>
      <c r="D7" s="1373"/>
      <c r="E7" s="2269"/>
      <c r="F7" s="2269"/>
      <c r="G7" s="2269"/>
      <c r="H7" s="2269"/>
      <c r="I7" s="2296"/>
      <c r="J7" s="2296"/>
      <c r="K7" s="2266">
        <f>J6&amp;".1"</f>
      </c>
      <c r="L7" s="1374"/>
      <c r="P7" s="2267"/>
      <c r="Q7" s="2267"/>
      <c r="R7" s="367">
        <v>1</v>
      </c>
      <c r="S7" s="1503">
        <f>$K7</f>
      </c>
      <c r="T7" s="1447"/>
      <c r="U7" s="310"/>
      <c r="V7" s="761"/>
      <c r="W7" s="761"/>
      <c r="X7" s="761"/>
      <c r="Y7" s="761"/>
      <c r="Z7" s="761"/>
      <c r="AA7" s="761"/>
      <c r="AB7" s="761"/>
      <c r="AC7" s="2275"/>
      <c r="AD7" s="2117" t="s">
        <v>66</v>
      </c>
      <c r="AE7" s="2275"/>
      <c r="AF7" s="2117" t="s">
        <v>66</v>
      </c>
      <c r="AG7" s="761"/>
      <c r="AH7" s="761"/>
      <c r="AI7" s="761"/>
      <c r="AJ7" s="761"/>
      <c r="AK7" s="761"/>
      <c r="AL7" s="761"/>
      <c r="AM7" s="761"/>
      <c r="AN7" s="2275"/>
      <c r="AO7" s="2117" t="s">
        <v>66</v>
      </c>
      <c r="AP7" s="2297"/>
      <c r="AQ7" s="2117" t="s">
        <v>66</v>
      </c>
      <c r="AR7" s="1448"/>
      <c r="AS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21">
        <f>STRCHECKDATE(V8:AR8)</f>
      </c>
      <c r="AU7" s="510"/>
      <c r="AV7" s="510" t="str">
        <f>IF(T7="","",T7)</f>
        <v/>
      </c>
      <c r="AW7" s="510"/>
      <c r="AX7" s="510"/>
      <c r="AY7" s="1165">
        <v>0</v>
      </c>
    </row>
    <row customHeight="1" ht="14.25" hidden="1">
      <c r="A8" s="1373"/>
      <c r="B8" s="1373"/>
      <c r="C8" s="1373"/>
      <c r="D8" s="1373"/>
      <c r="E8" s="2269"/>
      <c r="F8" s="2269"/>
      <c r="G8" s="2269"/>
      <c r="H8" s="2269"/>
      <c r="I8" s="2296"/>
      <c r="J8" s="2296"/>
      <c r="K8" s="2266"/>
      <c r="L8" s="1374"/>
      <c r="P8" s="2267"/>
      <c r="Q8" s="2267"/>
      <c r="R8" s="367"/>
      <c r="S8" s="1500"/>
      <c r="T8" s="310"/>
      <c r="U8" s="310"/>
      <c r="V8" s="335"/>
      <c r="W8" s="335"/>
      <c r="X8" s="335"/>
      <c r="Y8" s="335"/>
      <c r="Z8" s="335"/>
      <c r="AA8" s="335"/>
      <c r="AB8" s="335"/>
      <c r="AC8" s="2276"/>
      <c r="AD8" s="2117"/>
      <c r="AE8" s="2276"/>
      <c r="AF8" s="2117"/>
      <c r="AG8" s="335"/>
      <c r="AH8" s="335"/>
      <c r="AI8" s="335"/>
      <c r="AJ8" s="335"/>
      <c r="AK8" s="335"/>
      <c r="AL8" s="335"/>
      <c r="AM8" s="335"/>
      <c r="AN8" s="2276"/>
      <c r="AO8" s="2117"/>
      <c r="AP8" s="2298"/>
      <c r="AQ8" s="2117"/>
      <c r="AR8" s="1449"/>
      <c r="AS8" s="2359"/>
      <c r="AU8" s="510"/>
      <c r="AV8" s="510" t="str">
        <f>IF(T8="","",T8)</f>
        <v/>
      </c>
      <c r="AW8" s="510"/>
      <c r="AX8" s="510"/>
      <c r="AY8" s="1165">
        <v>0</v>
      </c>
    </row>
    <row customHeight="1" ht="21" hidden="1">
      <c r="A9" s="1373"/>
      <c r="B9" s="1373"/>
      <c r="C9" s="1373"/>
      <c r="D9" s="1373"/>
      <c r="E9" s="2269"/>
      <c r="F9" s="2269"/>
      <c r="G9" s="2269"/>
      <c r="H9" s="2269"/>
      <c r="I9" s="2296"/>
      <c r="J9" s="2266"/>
      <c r="K9" s="1373"/>
      <c r="L9" s="1374"/>
      <c r="P9" s="2267"/>
      <c r="Q9" s="2267"/>
      <c r="R9" s="366"/>
      <c r="S9" s="1288"/>
      <c r="T9" s="297" t="s">
        <v>508</v>
      </c>
      <c r="U9" s="377"/>
      <c r="V9" s="377"/>
      <c r="W9" s="610"/>
      <c r="X9" s="610"/>
      <c r="Y9" s="610"/>
      <c r="Z9" s="610"/>
      <c r="AA9" s="610"/>
      <c r="AB9" s="610"/>
      <c r="AC9" s="377"/>
      <c r="AD9" s="377"/>
      <c r="AE9" s="377"/>
      <c r="AF9" s="377"/>
      <c r="AG9" s="377"/>
      <c r="AH9" s="610"/>
      <c r="AI9" s="610"/>
      <c r="AJ9" s="610"/>
      <c r="AK9" s="610"/>
      <c r="AL9" s="610"/>
      <c r="AM9" s="377"/>
      <c r="AN9" s="377"/>
      <c r="AO9" s="377"/>
      <c r="AP9" s="377"/>
      <c r="AQ9" s="377"/>
      <c r="AR9" s="377"/>
      <c r="AS9" s="1268" t="s">
        <v>509</v>
      </c>
      <c r="AU9" s="510"/>
      <c r="AV9" s="510" t="str">
        <f>IF(T9="","",T9)</f>
        <v>Добавить значение признака дифференциации</v>
      </c>
      <c r="AW9" s="510"/>
      <c r="AX9" s="510"/>
      <c r="AY9" s="1165">
        <v>0</v>
      </c>
    </row>
    <row customHeight="1" ht="21" hidden="1">
      <c r="A10" s="1373"/>
      <c r="B10" s="1373"/>
      <c r="C10" s="1373"/>
      <c r="D10" s="1373"/>
      <c r="E10" s="2269"/>
      <c r="F10" s="2269"/>
      <c r="G10" s="2269"/>
      <c r="H10" s="2269"/>
      <c r="I10" s="2266"/>
      <c r="J10" s="1373"/>
      <c r="K10" s="1373"/>
      <c r="L10" s="1374"/>
      <c r="P10" s="2267"/>
      <c r="Q10" s="1491"/>
      <c r="R10" s="366"/>
      <c r="S10" s="1288"/>
      <c r="T10" s="375" t="s">
        <v>434</v>
      </c>
      <c r="U10" s="377"/>
      <c r="V10" s="377"/>
      <c r="W10" s="610"/>
      <c r="X10" s="610"/>
      <c r="Y10" s="610"/>
      <c r="Z10" s="610"/>
      <c r="AA10" s="610"/>
      <c r="AB10" s="610"/>
      <c r="AC10" s="377"/>
      <c r="AD10" s="377"/>
      <c r="AE10" s="377"/>
      <c r="AF10" s="376"/>
      <c r="AG10" s="377"/>
      <c r="AH10" s="610"/>
      <c r="AI10" s="610"/>
      <c r="AJ10" s="610"/>
      <c r="AK10" s="610"/>
      <c r="AL10" s="610"/>
      <c r="AM10" s="377"/>
      <c r="AN10" s="377"/>
      <c r="AO10" s="377"/>
      <c r="AP10" s="377"/>
      <c r="AQ10" s="376"/>
      <c r="AR10" s="377"/>
      <c r="AS10" s="1450"/>
      <c r="AU10" s="510"/>
      <c r="AV10" s="510" t="str">
        <f>IF(T10="","",T10)</f>
        <v>Добавить группу потребителей</v>
      </c>
      <c r="AW10" s="510"/>
      <c r="AX10" s="510"/>
      <c r="AY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510</v>
      </c>
      <c r="U11" s="377"/>
      <c r="V11" s="377"/>
      <c r="W11" s="610"/>
      <c r="X11" s="610"/>
      <c r="Y11" s="610"/>
      <c r="Z11" s="610"/>
      <c r="AA11" s="610"/>
      <c r="AB11" s="610"/>
      <c r="AC11" s="377"/>
      <c r="AD11" s="377"/>
      <c r="AE11" s="377"/>
      <c r="AF11" s="376"/>
      <c r="AG11" s="377"/>
      <c r="AH11" s="610"/>
      <c r="AI11" s="610"/>
      <c r="AJ11" s="610"/>
      <c r="AK11" s="610"/>
      <c r="AL11" s="610"/>
      <c r="AM11" s="377"/>
      <c r="AN11" s="377"/>
      <c r="AO11" s="377"/>
      <c r="AP11" s="377"/>
      <c r="AQ11" s="376"/>
      <c r="AR11" s="377"/>
      <c r="AS11" s="313"/>
      <c r="AU11" s="510"/>
      <c r="AV11" s="510" t="str">
        <f>IF(T11="","",T11)</f>
        <v>Добавить наименование признака дифференциации</v>
      </c>
      <c r="AW11" s="510"/>
      <c r="AX11" s="510"/>
      <c r="AY11" s="1165">
        <v>0</v>
      </c>
    </row>
    <row s="1652" customFormat="1" customHeight="1" ht="14.25" hidden="1">
      <c r="A12" s="1353"/>
      <c r="B12" s="1353"/>
      <c r="C12" s="1324"/>
      <c r="D12" s="1324"/>
      <c r="E12" s="2269"/>
      <c r="F12" s="2268"/>
      <c r="G12" s="1324"/>
      <c r="H12" s="1324"/>
      <c r="I12" s="1324"/>
      <c r="J12" s="1324"/>
      <c r="K12" s="1324"/>
      <c r="L12" s="1504"/>
      <c r="M12" s="1331"/>
      <c r="N12" s="1331"/>
      <c r="P12" s="1326"/>
      <c r="Q12" s="1327"/>
      <c r="R12" s="1326"/>
      <c r="S12" s="1332"/>
      <c r="T12" s="1335" t="s">
        <v>437</v>
      </c>
      <c r="U12" s="1334"/>
      <c r="V12" s="1334"/>
      <c r="W12" s="1334"/>
      <c r="X12" s="1334"/>
      <c r="Y12" s="1334"/>
      <c r="Z12" s="1334"/>
      <c r="AA12" s="1334"/>
      <c r="AB12" s="1334"/>
      <c r="AC12" s="1334"/>
      <c r="AD12" s="1334"/>
      <c r="AE12" s="1334"/>
      <c r="AF12" s="1334"/>
      <c r="AG12" s="1334"/>
      <c r="AH12" s="1334"/>
      <c r="AI12" s="1334"/>
      <c r="AJ12" s="1334"/>
      <c r="AK12" s="1334"/>
      <c r="AL12" s="1334"/>
      <c r="AM12" s="1334"/>
      <c r="AN12" s="1334"/>
      <c r="AO12" s="1334"/>
      <c r="AP12" s="1334"/>
      <c r="AQ12" s="1334"/>
      <c r="AR12" s="1334"/>
      <c r="AS12" s="1334"/>
      <c r="AU12" s="799"/>
      <c r="AV12" s="799" t="str">
        <f>IF(T12="","",T12)</f>
        <v>Добавить централизованную систему для дифференциации</v>
      </c>
      <c r="AW12" s="799"/>
      <c r="AX12" s="799"/>
      <c r="AY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438</v>
      </c>
      <c r="U13" s="1334"/>
      <c r="V13" s="1334"/>
      <c r="W13" s="1334"/>
      <c r="X13" s="1334"/>
      <c r="Y13" s="1334"/>
      <c r="Z13" s="1334"/>
      <c r="AA13" s="1334"/>
      <c r="AB13" s="1334"/>
      <c r="AC13" s="1334"/>
      <c r="AD13" s="1334"/>
      <c r="AE13" s="1334"/>
      <c r="AF13" s="1334"/>
      <c r="AG13" s="1334"/>
      <c r="AH13" s="1334"/>
      <c r="AI13" s="1334"/>
      <c r="AJ13" s="1334"/>
      <c r="AK13" s="1334"/>
      <c r="AL13" s="1334"/>
      <c r="AM13" s="1334"/>
      <c r="AN13" s="1334"/>
      <c r="AO13" s="1334"/>
      <c r="AP13" s="1334"/>
      <c r="AQ13" s="1334"/>
      <c r="AR13" s="1334"/>
      <c r="AS13" s="1334"/>
      <c r="AU13" s="510"/>
      <c r="AV13" s="510" t="str">
        <f>IF(T13="","",T13)</f>
        <v>Добавить территорию для дифференциации</v>
      </c>
      <c r="AW13" s="510"/>
      <c r="AX13" s="510"/>
      <c r="AY13" s="521">
        <v>0</v>
      </c>
    </row>
    <row customHeight="1" ht="14.25" hidden="1">
      <c r="AF14" s="337"/>
      <c r="AQ14" s="337"/>
      <c r="AY14" s="1165">
        <v>0</v>
      </c>
    </row>
    <row customHeight="1" ht="14.25" hidden="1">
      <c r="AG15" s="1370"/>
      <c r="AH15" s="1370"/>
      <c r="AI15" s="1370"/>
      <c r="AJ15" s="1370"/>
      <c r="AK15" s="1370"/>
      <c r="AL15" s="1370"/>
      <c r="AM15" s="1370"/>
      <c r="AN15" s="2277"/>
      <c r="AO15" s="2278" t="s">
        <v>66</v>
      </c>
      <c r="AP15" s="2277"/>
      <c r="AQ15" s="2278" t="s">
        <v>66</v>
      </c>
      <c r="AY15" s="1165">
        <v>0</v>
      </c>
    </row>
    <row customHeight="1" ht="14.25" hidden="1">
      <c r="AG16" s="1370"/>
      <c r="AH16" s="1370"/>
      <c r="AI16" s="1370"/>
      <c r="AJ16" s="1370"/>
      <c r="AK16" s="1370"/>
      <c r="AL16" s="1370"/>
      <c r="AM16" s="1370"/>
      <c r="AN16" s="2278"/>
      <c r="AO16" s="2278"/>
      <c r="AP16" s="2278"/>
      <c r="AQ16" s="2278"/>
      <c r="AY16" s="1165">
        <v>0</v>
      </c>
    </row>
    <row customHeight="1" ht="14.25" hidden="1">
      <c r="AQ17" s="337"/>
      <c r="AY17" s="1165">
        <v>0</v>
      </c>
    </row>
    <row s="1376" customFormat="1" customHeight="1" ht="22.5" hidden="1">
      <c r="L18" s="1488"/>
      <c r="M18" s="1372"/>
      <c r="N18" s="1372"/>
      <c r="O18" s="1377" t="s">
        <v>439</v>
      </c>
      <c r="P18" s="1372"/>
      <c r="Q18" s="1381"/>
      <c r="R18" s="1381"/>
      <c r="S18" s="739"/>
      <c r="W18" s="1376"/>
      <c r="X18" s="1376"/>
      <c r="Y18" s="1376"/>
      <c r="Z18" s="1376"/>
      <c r="AA18" s="1376"/>
      <c r="AB18" s="1376"/>
      <c r="AC18" s="1377"/>
      <c r="AE18" s="1377"/>
      <c r="AF18" s="1376"/>
      <c r="AH18" s="1376"/>
      <c r="AI18" s="1376"/>
      <c r="AJ18" s="1376"/>
      <c r="AK18" s="1376"/>
      <c r="AL18" s="1376"/>
      <c r="AN18" s="1377"/>
      <c r="AP18" s="1377"/>
      <c r="AQ18" s="1376"/>
      <c r="AT18" s="521"/>
      <c r="AU18" s="521"/>
      <c r="AV18" s="521"/>
      <c r="AW18" s="521"/>
      <c r="AX18" s="521"/>
      <c r="AY18" s="1170">
        <v>0</v>
      </c>
    </row>
    <row s="1376" customFormat="1" customHeight="1" ht="14.25" hidden="1">
      <c r="L19" s="1488"/>
      <c r="M19" s="1372"/>
      <c r="N19" s="1372"/>
      <c r="O19" s="1372"/>
      <c r="P19" s="1372"/>
      <c r="Q19" s="1381"/>
      <c r="R19" s="1381"/>
      <c r="S19" s="739"/>
      <c r="W19" s="1376"/>
      <c r="X19" s="1376"/>
      <c r="Y19" s="1376"/>
      <c r="Z19" s="1376"/>
      <c r="AA19" s="1376"/>
      <c r="AB19" s="1376"/>
      <c r="AF19" s="1376"/>
      <c r="AH19" s="1376"/>
      <c r="AI19" s="1376"/>
      <c r="AJ19" s="1376"/>
      <c r="AK19" s="1376"/>
      <c r="AL19" s="1376"/>
      <c r="AQ19" s="1376"/>
      <c r="AT19" s="521"/>
      <c r="AU19" s="521"/>
      <c r="AV19" s="521"/>
      <c r="AW19" s="521"/>
      <c r="AX19" s="521"/>
      <c r="AY19" s="1170">
        <v>0</v>
      </c>
    </row>
    <row s="1376" customFormat="1" customHeight="1" ht="12" hidden="1">
      <c r="L20" s="1488"/>
      <c r="M20" s="1372"/>
      <c r="N20" s="1372"/>
      <c r="O20" s="1374" t="s">
        <v>440</v>
      </c>
      <c r="P20" s="1372"/>
      <c r="Q20" s="1452"/>
      <c r="R20" s="1452"/>
      <c r="S20" s="739"/>
      <c r="T20" s="1170" t="s">
        <v>441</v>
      </c>
      <c r="W20" s="1376"/>
      <c r="X20" s="1376"/>
      <c r="Y20" s="1376"/>
      <c r="Z20" s="1376"/>
      <c r="AA20" s="1376"/>
      <c r="AB20" s="1376"/>
      <c r="AD20" s="196" t="s">
        <v>442</v>
      </c>
      <c r="AF20" s="196" t="s">
        <v>443</v>
      </c>
      <c r="AG20" s="1170" t="s">
        <v>441</v>
      </c>
      <c r="AH20" s="1376"/>
      <c r="AI20" s="1376"/>
      <c r="AJ20" s="1376"/>
      <c r="AK20" s="1376"/>
      <c r="AL20" s="1376"/>
      <c r="AO20" s="196" t="s">
        <v>444</v>
      </c>
      <c r="AQ20" s="196" t="s">
        <v>443</v>
      </c>
      <c r="AY20" s="1170">
        <v>0</v>
      </c>
    </row>
    <row customHeight="1" ht="14.25" hidden="1">
      <c r="O21" s="1374"/>
      <c r="AY21" s="1165">
        <v>0</v>
      </c>
    </row>
    <row customHeight="1" ht="14.25" hidden="1">
      <c r="O22" s="1374"/>
      <c r="AY22" s="1165">
        <v>0</v>
      </c>
    </row>
    <row customHeight="1" ht="14.699999999999998">
      <c r="Q23" s="386"/>
      <c r="R23" s="386"/>
      <c r="S23" s="1285"/>
      <c r="T23" s="373"/>
      <c r="U23" s="373"/>
      <c r="V23" s="519"/>
      <c r="W23" s="1645"/>
      <c r="X23" s="1645"/>
      <c r="Y23" s="1645"/>
      <c r="Z23" s="1645"/>
      <c r="AA23" s="1645"/>
      <c r="AB23" s="1645"/>
      <c r="AC23" s="519"/>
      <c r="AD23" s="519"/>
      <c r="AE23" s="519"/>
      <c r="AF23" s="519"/>
      <c r="AG23" s="519"/>
      <c r="AH23" s="1645"/>
      <c r="AI23" s="1645"/>
      <c r="AJ23" s="1645"/>
      <c r="AK23" s="1645"/>
      <c r="AL23" s="1645"/>
      <c r="AM23" s="519"/>
      <c r="AN23" s="519"/>
      <c r="AO23" s="519"/>
      <c r="AP23" s="519"/>
      <c r="AQ23" s="519"/>
      <c r="AY23" s="1165">
        <v>14</v>
      </c>
    </row>
    <row customHeight="1" ht="26.25">
      <c r="Q24" s="386"/>
      <c r="R24" s="386"/>
      <c r="S24" s="225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8"/>
      <c r="U24" s="2258"/>
      <c r="V24" s="2258"/>
      <c r="W24" s="2258"/>
      <c r="X24" s="2258"/>
      <c r="Y24" s="2258"/>
      <c r="Z24" s="2258"/>
      <c r="AA24" s="2258"/>
      <c r="AB24" s="2258"/>
      <c r="AC24" s="2258"/>
      <c r="AD24" s="2258"/>
      <c r="AE24" s="2258"/>
      <c r="AF24" s="2258"/>
      <c r="AG24" s="2258"/>
      <c r="AH24" s="2258"/>
      <c r="AI24" s="2258"/>
      <c r="AJ24" s="2258"/>
      <c r="AK24" s="2258"/>
      <c r="AL24" s="2258"/>
      <c r="AM24" s="2258"/>
      <c r="AN24" s="2258"/>
      <c r="AO24" s="2258"/>
      <c r="AP24" s="2258"/>
      <c r="AQ24" s="1253"/>
      <c r="AY24" s="1165">
        <v>25</v>
      </c>
    </row>
    <row customHeight="1" ht="14.699999999999998">
      <c r="Q25" s="386"/>
      <c r="R25" s="386"/>
      <c r="S25" s="2259" t="str">
        <f>IF(org=0,"Не определено",org)</f>
        <v>АО «ДГК» СП «Нерюнгринская ГРЭС»</v>
      </c>
      <c r="T25" s="2259"/>
      <c r="U25" s="2259"/>
      <c r="V25" s="2259"/>
      <c r="W25" s="2259"/>
      <c r="X25" s="2259"/>
      <c r="Y25" s="2259"/>
      <c r="Z25" s="2259"/>
      <c r="AA25" s="2259"/>
      <c r="AB25" s="2259"/>
      <c r="AC25" s="2259"/>
      <c r="AD25" s="2259"/>
      <c r="AE25" s="2259"/>
      <c r="AF25" s="2259"/>
      <c r="AG25" s="2259"/>
      <c r="AH25" s="2259"/>
      <c r="AI25" s="2259"/>
      <c r="AJ25" s="2259"/>
      <c r="AK25" s="2259"/>
      <c r="AL25" s="2259"/>
      <c r="AM25" s="2259"/>
      <c r="AN25" s="2259"/>
      <c r="AO25" s="2259"/>
      <c r="AP25" s="2259"/>
      <c r="AQ25" s="1253"/>
      <c r="AY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332"/>
      <c r="AK26" s="332"/>
      <c r="AL26" s="332"/>
      <c r="AM26" s="332"/>
      <c r="AN26" s="332"/>
      <c r="AO26" s="332"/>
      <c r="AP26" s="332"/>
      <c r="AQ26" s="332"/>
      <c r="AR26" s="519"/>
      <c r="AY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2261"/>
      <c r="AC27" s="2261"/>
      <c r="AD27" s="2261"/>
      <c r="AE27" s="2261"/>
      <c r="AF27" s="336"/>
      <c r="AG27" s="2261" t="str">
        <f>IF(TITLE_NAME_OR_PR_CHANGE="",IF(TITLE_NAME_OR_PR="","",TITLE_NAME_OR_PR),TITLE_NAME_OR_PR_CHANGE)</f>
        <v/>
      </c>
      <c r="AH27" s="2261"/>
      <c r="AI27" s="2261"/>
      <c r="AJ27" s="2261"/>
      <c r="AK27" s="2261"/>
      <c r="AL27" s="2261"/>
      <c r="AM27" s="2261"/>
      <c r="AN27" s="2261"/>
      <c r="AO27" s="2261"/>
      <c r="AP27" s="2261"/>
      <c r="AQ27" s="336"/>
      <c r="AR27" s="336"/>
      <c r="AS27" s="290"/>
      <c r="AT27" s="378"/>
      <c r="AU27" s="378"/>
      <c r="AV27" s="378"/>
      <c r="AW27" s="378"/>
      <c r="AX27" s="378"/>
      <c r="AY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445</v>
      </c>
      <c r="T28" s="2260"/>
      <c r="U28" s="1382"/>
      <c r="V28" s="2274" t="str">
        <f>IF(TITLE_DATE_PR_CHANGE="",IF(TITLE_DATE_PR="","",TITLE_DATE_PR),TITLE_DATE_PR_CHANGE)</f>
        <v/>
      </c>
      <c r="W28" s="2274"/>
      <c r="X28" s="2274"/>
      <c r="Y28" s="2274"/>
      <c r="Z28" s="2274"/>
      <c r="AA28" s="2274"/>
      <c r="AB28" s="2274"/>
      <c r="AC28" s="2274"/>
      <c r="AD28" s="2274"/>
      <c r="AE28" s="2274"/>
      <c r="AF28" s="336"/>
      <c r="AG28" s="2274" t="str">
        <f>IF(TITLE_DATE_PR_CHANGE="",IF(TITLE_DATE_PR="","",TITLE_DATE_PR),TITLE_DATE_PR_CHANGE)</f>
        <v/>
      </c>
      <c r="AH28" s="2274"/>
      <c r="AI28" s="2274"/>
      <c r="AJ28" s="2274"/>
      <c r="AK28" s="2274"/>
      <c r="AL28" s="2274"/>
      <c r="AM28" s="2274"/>
      <c r="AN28" s="2274"/>
      <c r="AO28" s="2274"/>
      <c r="AP28" s="2274"/>
      <c r="AQ28" s="336"/>
      <c r="AR28" s="336"/>
      <c r="AS28" s="290"/>
      <c r="AT28" s="378"/>
      <c r="AU28" s="378"/>
      <c r="AV28" s="378"/>
      <c r="AW28" s="378"/>
      <c r="AX28" s="378"/>
      <c r="AY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446</v>
      </c>
      <c r="T29" s="2260"/>
      <c r="U29" s="1382"/>
      <c r="V29" s="2261" t="str">
        <f>IF(TITLE_NUMBER_PR_CHANGE="",IF(TITLE_NUMBER_PR="","",TITLE_NUMBER_PR),TITLE_NUMBER_PR_CHANGE)</f>
        <v/>
      </c>
      <c r="W29" s="2261"/>
      <c r="X29" s="2261"/>
      <c r="Y29" s="2261"/>
      <c r="Z29" s="2261"/>
      <c r="AA29" s="2261"/>
      <c r="AB29" s="2261"/>
      <c r="AC29" s="2261"/>
      <c r="AD29" s="2261"/>
      <c r="AE29" s="2261"/>
      <c r="AF29" s="336"/>
      <c r="AG29" s="2261" t="str">
        <f>IF(TITLE_NUMBER_PR_CHANGE="",IF(TITLE_NUMBER_PR="","",TITLE_NUMBER_PR),TITLE_NUMBER_PR_CHANGE)</f>
        <v/>
      </c>
      <c r="AH29" s="2261"/>
      <c r="AI29" s="2261"/>
      <c r="AJ29" s="2261"/>
      <c r="AK29" s="2261"/>
      <c r="AL29" s="2261"/>
      <c r="AM29" s="2261"/>
      <c r="AN29" s="2261"/>
      <c r="AO29" s="2261"/>
      <c r="AP29" s="2261"/>
      <c r="AQ29" s="336"/>
      <c r="AR29" s="336"/>
      <c r="AS29" s="290"/>
      <c r="AT29" s="378"/>
      <c r="AU29" s="378"/>
      <c r="AV29" s="378"/>
      <c r="AW29" s="378"/>
      <c r="AX29" s="378"/>
      <c r="AY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2261"/>
      <c r="AC30" s="2261"/>
      <c r="AD30" s="2261"/>
      <c r="AE30" s="2261"/>
      <c r="AF30" s="336"/>
      <c r="AG30" s="2261" t="str">
        <f>IF(TITLE_IST_PUB_CHANGE="",IF(TITLE_IST_PUB="","",TITLE_IST_PUB),TITLE_IST_PUB_CHANGE)</f>
        <v/>
      </c>
      <c r="AH30" s="2261"/>
      <c r="AI30" s="2261"/>
      <c r="AJ30" s="2261"/>
      <c r="AK30" s="2261"/>
      <c r="AL30" s="2261"/>
      <c r="AM30" s="2261"/>
      <c r="AN30" s="2261"/>
      <c r="AO30" s="2261"/>
      <c r="AP30" s="2261"/>
      <c r="AQ30" s="336"/>
      <c r="AR30" s="336"/>
      <c r="AS30" s="290"/>
      <c r="AT30" s="378"/>
      <c r="AU30" s="378"/>
      <c r="AV30" s="378"/>
      <c r="AW30" s="378"/>
      <c r="AX30" s="378"/>
      <c r="AY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332"/>
      <c r="AK31" s="332"/>
      <c r="AL31" s="332"/>
      <c r="AM31" s="332"/>
      <c r="AN31" s="332"/>
      <c r="AO31" s="332"/>
      <c r="AP31" s="332"/>
      <c r="AQ31" s="332"/>
      <c r="AR31" s="519"/>
      <c r="AY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447</v>
      </c>
      <c r="T32" s="2260"/>
      <c r="U32" s="1382"/>
      <c r="V32" s="2274" t="str">
        <f>IF(TITLE_DATE_PR_CHANGE="",IF(TITLE_DATE_PR="","",TITLE_DATE_PR),TITLE_DATE_PR_CHANGE)</f>
        <v/>
      </c>
      <c r="W32" s="2274"/>
      <c r="X32" s="2274"/>
      <c r="Y32" s="2274"/>
      <c r="Z32" s="2274"/>
      <c r="AA32" s="2274"/>
      <c r="AB32" s="2274"/>
      <c r="AC32" s="2274"/>
      <c r="AD32" s="2274"/>
      <c r="AE32" s="2274"/>
      <c r="AF32" s="336"/>
      <c r="AG32" s="2274" t="str">
        <f>IF(TITLE_DATE_PR_CHANGE="",IF(TITLE_DATE_PR="","",TITLE_DATE_PR),TITLE_DATE_PR_CHANGE)</f>
        <v/>
      </c>
      <c r="AH32" s="2274"/>
      <c r="AI32" s="2274"/>
      <c r="AJ32" s="2274"/>
      <c r="AK32" s="2274"/>
      <c r="AL32" s="2274"/>
      <c r="AM32" s="2274"/>
      <c r="AN32" s="2274"/>
      <c r="AO32" s="2274"/>
      <c r="AP32" s="2274"/>
      <c r="AQ32" s="336"/>
      <c r="AR32" s="336"/>
      <c r="AS32" s="290"/>
      <c r="AT32" s="378"/>
      <c r="AU32" s="378"/>
      <c r="AV32" s="378"/>
      <c r="AW32" s="378"/>
      <c r="AX32" s="378"/>
      <c r="AY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448</v>
      </c>
      <c r="T33" s="2260"/>
      <c r="U33" s="1382"/>
      <c r="V33" s="2261" t="str">
        <f>IF(TITLE_NUMBER_PR_CHANGE="",IF(TITLE_NUMBER_PR="","",TITLE_NUMBER_PR),TITLE_NUMBER_PR_CHANGE)</f>
        <v/>
      </c>
      <c r="W33" s="2261"/>
      <c r="X33" s="2261"/>
      <c r="Y33" s="2261"/>
      <c r="Z33" s="2261"/>
      <c r="AA33" s="2261"/>
      <c r="AB33" s="2261"/>
      <c r="AC33" s="2261"/>
      <c r="AD33" s="2261"/>
      <c r="AE33" s="2261"/>
      <c r="AF33" s="336"/>
      <c r="AG33" s="2261" t="str">
        <f>IF(TITLE_NUMBER_PR_CHANGE="",IF(TITLE_NUMBER_PR="","",TITLE_NUMBER_PR),TITLE_NUMBER_PR_CHANGE)</f>
        <v/>
      </c>
      <c r="AH33" s="2261"/>
      <c r="AI33" s="2261"/>
      <c r="AJ33" s="2261"/>
      <c r="AK33" s="2261"/>
      <c r="AL33" s="2261"/>
      <c r="AM33" s="2261"/>
      <c r="AN33" s="2261"/>
      <c r="AO33" s="2261"/>
      <c r="AP33" s="2261"/>
      <c r="AQ33" s="336"/>
      <c r="AR33" s="336"/>
      <c r="AS33" s="290"/>
      <c r="AT33" s="378"/>
      <c r="AU33" s="378"/>
      <c r="AV33" s="378"/>
      <c r="AW33" s="378"/>
      <c r="AX33" s="378"/>
      <c r="AY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98"/>
      <c r="V34" s="336"/>
      <c r="W34" s="1645"/>
      <c r="X34" s="1645"/>
      <c r="Y34" s="1645"/>
      <c r="Z34" s="1645"/>
      <c r="AA34" s="1645"/>
      <c r="AB34" s="1645"/>
      <c r="AC34" s="336"/>
      <c r="AD34" s="336"/>
      <c r="AE34" s="336"/>
      <c r="AF34" s="288" t="s">
        <v>449</v>
      </c>
      <c r="AG34" s="336"/>
      <c r="AH34" s="1645"/>
      <c r="AI34" s="1645"/>
      <c r="AJ34" s="1645"/>
      <c r="AK34" s="1645"/>
      <c r="AL34" s="1645"/>
      <c r="AM34" s="336"/>
      <c r="AN34" s="336"/>
      <c r="AO34" s="336"/>
      <c r="AP34" s="336"/>
      <c r="AQ34" s="288" t="s">
        <v>449</v>
      </c>
      <c r="AT34" s="378"/>
      <c r="AU34" s="378"/>
      <c r="AV34" s="378"/>
      <c r="AW34" s="378"/>
      <c r="AX34" s="378"/>
      <c r="AY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J35" s="2262"/>
      <c r="AK35" s="2262"/>
      <c r="AL35" s="2262"/>
      <c r="AM35" s="2262"/>
      <c r="AN35" s="2262"/>
      <c r="AO35" s="2262"/>
      <c r="AP35" s="2262"/>
      <c r="AQ35" s="2262"/>
      <c r="AY35" s="1165">
        <v>14</v>
      </c>
    </row>
    <row customHeight="1" ht="14.699999999999998">
      <c r="Q36" s="386"/>
      <c r="R36" s="386"/>
      <c r="S36" s="2137" t="s">
        <v>322</v>
      </c>
      <c r="T36" s="2137"/>
      <c r="U36" s="2137"/>
      <c r="V36" s="2137"/>
      <c r="W36" s="2137"/>
      <c r="X36" s="2137"/>
      <c r="Y36" s="2137"/>
      <c r="Z36" s="2137"/>
      <c r="AA36" s="2137"/>
      <c r="AB36" s="2137"/>
      <c r="AC36" s="2137"/>
      <c r="AD36" s="2137"/>
      <c r="AE36" s="2137"/>
      <c r="AF36" s="2137"/>
      <c r="AG36" s="2137"/>
      <c r="AH36" s="2137"/>
      <c r="AI36" s="2137"/>
      <c r="AJ36" s="2137"/>
      <c r="AK36" s="2137"/>
      <c r="AL36" s="2137"/>
      <c r="AM36" s="2137"/>
      <c r="AN36" s="2137"/>
      <c r="AO36" s="2137"/>
      <c r="AP36" s="2137"/>
      <c r="AQ36" s="2137"/>
      <c r="AR36" s="2137"/>
      <c r="AS36" s="2137" t="s">
        <v>323</v>
      </c>
      <c r="AY36" s="1165">
        <v>14</v>
      </c>
    </row>
    <row customHeight="1" ht="14.699999999999998">
      <c r="Q37" s="386"/>
      <c r="R37" s="386"/>
      <c r="S37" s="2283" t="s">
        <v>88</v>
      </c>
      <c r="T37" s="2219" t="s">
        <v>450</v>
      </c>
      <c r="U37" s="311"/>
      <c r="V37" s="2284" t="s">
        <v>451</v>
      </c>
      <c r="W37" s="2301"/>
      <c r="X37" s="2301"/>
      <c r="Y37" s="2301"/>
      <c r="Z37" s="2301"/>
      <c r="AA37" s="2301"/>
      <c r="AB37" s="2301"/>
      <c r="AC37" s="2285"/>
      <c r="AD37" s="2285"/>
      <c r="AE37" s="2286"/>
      <c r="AF37" s="2287" t="s">
        <v>452</v>
      </c>
      <c r="AG37" s="2284" t="s">
        <v>451</v>
      </c>
      <c r="AH37" s="2285"/>
      <c r="AI37" s="2285"/>
      <c r="AJ37" s="2285"/>
      <c r="AK37" s="2285"/>
      <c r="AL37" s="2285"/>
      <c r="AM37" s="2285"/>
      <c r="AN37" s="2285"/>
      <c r="AO37" s="2285"/>
      <c r="AP37" s="2286"/>
      <c r="AQ37" s="2287" t="s">
        <v>453</v>
      </c>
      <c r="AR37" s="2290" t="s">
        <v>454</v>
      </c>
      <c r="AS37" s="2137"/>
      <c r="AY37" s="1165">
        <v>14</v>
      </c>
    </row>
    <row customHeight="1" ht="19.95">
      <c r="Q38" s="386"/>
      <c r="R38" s="386"/>
      <c r="S38" s="2283"/>
      <c r="T38" s="2219"/>
      <c r="U38" s="1041"/>
      <c r="V38" s="2376" t="s">
        <v>554</v>
      </c>
      <c r="W38" s="2375" t="s">
        <v>555</v>
      </c>
      <c r="X38" s="2375"/>
      <c r="Y38" s="2375"/>
      <c r="Z38" s="2375" t="s">
        <v>556</v>
      </c>
      <c r="AA38" s="2375"/>
      <c r="AB38" s="2375"/>
      <c r="AC38" s="2304" t="s">
        <v>458</v>
      </c>
      <c r="AD38" s="2323"/>
      <c r="AE38" s="2324"/>
      <c r="AF38" s="2288"/>
      <c r="AG38" s="2376" t="s">
        <v>554</v>
      </c>
      <c r="AH38" s="2375" t="s">
        <v>555</v>
      </c>
      <c r="AI38" s="2375"/>
      <c r="AJ38" s="2375"/>
      <c r="AK38" s="2375" t="s">
        <v>556</v>
      </c>
      <c r="AL38" s="2375"/>
      <c r="AM38" s="2375"/>
      <c r="AN38" s="2304" t="s">
        <v>458</v>
      </c>
      <c r="AO38" s="2323"/>
      <c r="AP38" s="2324"/>
      <c r="AQ38" s="2288"/>
      <c r="AR38" s="2291"/>
      <c r="AS38" s="2137"/>
      <c r="AY38" s="1165">
        <v>19</v>
      </c>
    </row>
    <row s="1645" customFormat="1" customHeight="1" ht="19.95">
      <c r="A39" s="1376"/>
      <c r="B39" s="1376"/>
      <c r="C39" s="1376"/>
      <c r="D39" s="1376"/>
      <c r="E39" s="1376"/>
      <c r="F39" s="1376"/>
      <c r="G39" s="1376"/>
      <c r="H39" s="1376"/>
      <c r="I39" s="1376"/>
      <c r="J39" s="1376"/>
      <c r="K39" s="1376"/>
      <c r="L39" s="1961"/>
      <c r="M39" s="1372"/>
      <c r="N39" s="1372"/>
      <c r="O39" s="1372"/>
      <c r="P39" s="1975"/>
      <c r="Q39" s="386"/>
      <c r="R39" s="386"/>
      <c r="S39" s="2283"/>
      <c r="T39" s="2219"/>
      <c r="U39" s="1041"/>
      <c r="V39" s="2376"/>
      <c r="W39" s="2375" t="s">
        <v>557</v>
      </c>
      <c r="X39" s="2375" t="s">
        <v>558</v>
      </c>
      <c r="Y39" s="2375"/>
      <c r="Z39" s="2375" t="s">
        <v>559</v>
      </c>
      <c r="AA39" s="2375" t="s">
        <v>558</v>
      </c>
      <c r="AB39" s="2375"/>
      <c r="AC39" s="2305"/>
      <c r="AD39" s="2325"/>
      <c r="AE39" s="2326"/>
      <c r="AF39" s="2288"/>
      <c r="AG39" s="2376"/>
      <c r="AH39" s="2375" t="s">
        <v>557</v>
      </c>
      <c r="AI39" s="2375" t="s">
        <v>558</v>
      </c>
      <c r="AJ39" s="2375"/>
      <c r="AK39" s="2375" t="s">
        <v>559</v>
      </c>
      <c r="AL39" s="2375" t="s">
        <v>558</v>
      </c>
      <c r="AM39" s="2375"/>
      <c r="AN39" s="2305"/>
      <c r="AO39" s="2325"/>
      <c r="AP39" s="2326"/>
      <c r="AQ39" s="2288"/>
      <c r="AR39" s="2291"/>
      <c r="AS39" s="2137"/>
      <c r="AT39" s="1646"/>
      <c r="AU39" s="1646"/>
      <c r="AV39" s="1646"/>
      <c r="AW39" s="1646"/>
      <c r="AX39" s="1646"/>
      <c r="AY39" s="1641">
        <v>19</v>
      </c>
    </row>
    <row customHeight="1" ht="61.949999999999996">
      <c r="A40" s="1380"/>
      <c r="B40" s="1380" t="s">
        <v>159</v>
      </c>
      <c r="C40" s="1380" t="s">
        <v>160</v>
      </c>
      <c r="D40" s="1380" t="s">
        <v>161</v>
      </c>
      <c r="E40" s="1374" t="s">
        <v>459</v>
      </c>
      <c r="F40" s="1374" t="s">
        <v>460</v>
      </c>
      <c r="G40" s="1374" t="s">
        <v>461</v>
      </c>
      <c r="H40" s="1374"/>
      <c r="I40" s="1374" t="s">
        <v>512</v>
      </c>
      <c r="J40" s="1374" t="s">
        <v>464</v>
      </c>
      <c r="K40" s="1374" t="s">
        <v>513</v>
      </c>
      <c r="L40" s="1374" t="s">
        <v>440</v>
      </c>
      <c r="Q40" s="386"/>
      <c r="R40" s="386"/>
      <c r="S40" s="2283"/>
      <c r="T40" s="2219"/>
      <c r="U40" s="312"/>
      <c r="V40" s="2376"/>
      <c r="W40" s="2375"/>
      <c r="X40" s="1993" t="s">
        <v>560</v>
      </c>
      <c r="Y40" s="1993" t="s">
        <v>561</v>
      </c>
      <c r="Z40" s="2375"/>
      <c r="AA40" s="1993" t="s">
        <v>562</v>
      </c>
      <c r="AB40" s="1993" t="s">
        <v>563</v>
      </c>
      <c r="AC40" s="1499" t="s">
        <v>468</v>
      </c>
      <c r="AD40" s="2280" t="s">
        <v>469</v>
      </c>
      <c r="AE40" s="2281"/>
      <c r="AF40" s="2289"/>
      <c r="AG40" s="2376"/>
      <c r="AH40" s="2375"/>
      <c r="AI40" s="1993" t="s">
        <v>560</v>
      </c>
      <c r="AJ40" s="1993" t="s">
        <v>561</v>
      </c>
      <c r="AK40" s="2375"/>
      <c r="AL40" s="1993" t="s">
        <v>562</v>
      </c>
      <c r="AM40" s="1993" t="s">
        <v>563</v>
      </c>
      <c r="AN40" s="1499" t="s">
        <v>468</v>
      </c>
      <c r="AO40" s="2280" t="s">
        <v>469</v>
      </c>
      <c r="AP40" s="2281"/>
      <c r="AQ40" s="2289"/>
      <c r="AR40" s="2292"/>
      <c r="AS40" s="2137"/>
      <c r="AY40" s="1165">
        <v>59</v>
      </c>
    </row>
    <row s="1651" customFormat="1" customHeight="1" ht="11.25" hidden="1">
      <c r="A41" s="1380"/>
      <c r="B41" s="1380"/>
      <c r="C41" s="1380"/>
      <c r="D41" s="1380"/>
      <c r="E41" s="1380"/>
      <c r="F41" s="1380"/>
      <c r="G41" s="1380"/>
      <c r="H41" s="1380"/>
      <c r="I41" s="1380"/>
      <c r="J41" s="1380"/>
      <c r="K41" s="1380"/>
      <c r="L41" s="1374"/>
      <c r="M41" s="1372"/>
      <c r="N41" s="1372"/>
      <c r="O41" s="1372"/>
      <c r="P41" s="1256"/>
      <c r="Q41" s="1257"/>
      <c r="R41" s="1264">
        <v>1</v>
      </c>
      <c r="S41" s="1287" t="s">
        <v>124</v>
      </c>
      <c r="T41" s="1265" t="s">
        <v>104</v>
      </c>
      <c r="U41" s="1255" t="str">
        <f>OFFSET(U41,0,-1)</f>
        <v>2</v>
      </c>
      <c r="V41" s="1492">
        <f>OFFSET(V41,0,-1)+1</f>
        <v>3</v>
      </c>
      <c r="W41" s="1351"/>
      <c r="X41" s="1351"/>
      <c r="Y41" s="1351"/>
      <c r="Z41" s="1351"/>
      <c r="AA41" s="1351"/>
      <c r="AB41" s="1351"/>
      <c r="AC41" s="1492">
        <f>OFFSET(AC41,0,-1)+1</f>
        <v>1</v>
      </c>
      <c r="AD41" s="2282">
        <f>OFFSET(AD41,0,-1)+1</f>
        <v>2</v>
      </c>
      <c r="AE41" s="2282"/>
      <c r="AF41" s="1492">
        <f>OFFSET(AF41,0,-2)+1</f>
        <v>3</v>
      </c>
      <c r="AG41" s="1492">
        <f>OFFSET(AG41,0,-1)+1</f>
        <v>4</v>
      </c>
      <c r="AH41" s="1966"/>
      <c r="AI41" s="1966"/>
      <c r="AJ41" s="1966"/>
      <c r="AK41" s="1966"/>
      <c r="AL41" s="1966"/>
      <c r="AM41" s="1492">
        <f>OFFSET(AM41,0,-1)+1</f>
        <v>1</v>
      </c>
      <c r="AN41" s="1492">
        <f>OFFSET(AN41,0,-1)+1</f>
        <v>2</v>
      </c>
      <c r="AO41" s="2282">
        <f>OFFSET(AO41,0,-1)+1</f>
        <v>3</v>
      </c>
      <c r="AP41" s="2282"/>
      <c r="AQ41" s="1492">
        <f>OFFSET(AQ41,0,-2)+1</f>
        <v>4</v>
      </c>
      <c r="AR41" s="1255">
        <f>OFFSET(AR41,0,-1)</f>
        <v>4</v>
      </c>
      <c r="AS41" s="1492">
        <f>OFFSET(AS41,0,-1)+1</f>
        <v>5</v>
      </c>
      <c r="AT41" s="521"/>
      <c r="AU41" s="521"/>
      <c r="AV41" s="521"/>
      <c r="AW41" s="521"/>
      <c r="AX41" s="521"/>
      <c r="AY41" s="506">
        <v>0</v>
      </c>
    </row>
    <row customHeight="1" ht="24">
      <c r="A42" s="1373" t="s">
        <v>273</v>
      </c>
      <c r="B42" s="1373"/>
      <c r="C42" s="1373"/>
      <c r="D42" s="1373"/>
      <c r="E42" s="2268">
        <v>1</v>
      </c>
      <c r="F42" s="1373"/>
      <c r="G42" s="1373"/>
      <c r="H42" s="1373"/>
      <c r="I42" s="1373"/>
      <c r="J42" s="1373"/>
      <c r="K42" s="1373"/>
      <c r="L42" s="1374"/>
      <c r="M42" s="1375"/>
      <c r="N42" s="1375"/>
      <c r="O42" s="1375"/>
      <c r="P42" s="371"/>
      <c r="Q42" s="370"/>
      <c r="R42" s="365"/>
      <c r="S42" s="1503">
        <f>INDEX(PT_DIFFERENTIATION_NUM_NTAR,MATCH(A42,PT_DIFFERENTIATION_NTAR_ID,0))</f>
        <v>0</v>
      </c>
      <c r="T42" s="308" t="s">
        <v>147</v>
      </c>
      <c r="U42" s="310"/>
      <c r="V42" s="2252"/>
      <c r="W42" s="2253"/>
      <c r="X42" s="2253"/>
      <c r="Y42" s="2253"/>
      <c r="Z42" s="2253"/>
      <c r="AA42" s="2253"/>
      <c r="AB42" s="2253"/>
      <c r="AC42" s="2253"/>
      <c r="AD42" s="2253"/>
      <c r="AE42" s="2253"/>
      <c r="AF42" s="2254"/>
      <c r="AG42" s="2252" t="str">
        <f>INDEX(PT_DIFFERENTIATION_NTAR,MATCH(A42,PT_DIFFERENTIATION_NTAR_ID,0))</f>
        <v/>
      </c>
      <c r="AH42" s="2253"/>
      <c r="AI42" s="2253"/>
      <c r="AJ42" s="2253"/>
      <c r="AK42" s="2253"/>
      <c r="AL42" s="2253"/>
      <c r="AM42" s="2253"/>
      <c r="AN42" s="2253"/>
      <c r="AO42" s="2253"/>
      <c r="AP42" s="2253"/>
      <c r="AQ42" s="2253"/>
      <c r="AR42" s="2254"/>
      <c r="AS4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10"/>
      <c r="AV42" s="510" t="str">
        <f>IF(T42="","",T42)</f>
        <v>Наименование тарифа</v>
      </c>
      <c r="AW42" s="510"/>
      <c r="AX42" s="510"/>
      <c r="AY42" s="1165">
        <v>23</v>
      </c>
    </row>
    <row customHeight="1" ht="24">
      <c r="A43" s="1373" t="s">
        <v>273</v>
      </c>
      <c r="B43" s="1373" t="s">
        <v>274</v>
      </c>
      <c r="C43" s="1373"/>
      <c r="D43" s="1373"/>
      <c r="E43" s="2269"/>
      <c r="F43" s="2268">
        <v>1</v>
      </c>
      <c r="G43" s="1373"/>
      <c r="H43" s="1373"/>
      <c r="I43" s="1373"/>
      <c r="J43" s="1373"/>
      <c r="K43" s="1373"/>
      <c r="L43" s="1374"/>
      <c r="M43" s="1375"/>
      <c r="N43" s="1375"/>
      <c r="O43" s="1375"/>
      <c r="P43" s="1497"/>
      <c r="Q43" s="362"/>
      <c r="R43" s="363"/>
      <c r="S43" s="1503" t="str">
        <f>INDEX(PT_DIFFERENTIATION_NUM_TER,MATCH(B43,PT_DIFFERENTIATION_TER_ID,0))</f>
        <v>.</v>
      </c>
      <c r="T43" s="318" t="s">
        <v>419</v>
      </c>
      <c r="U43" s="310"/>
      <c r="V43" s="2252"/>
      <c r="W43" s="2253"/>
      <c r="X43" s="2253"/>
      <c r="Y43" s="2253"/>
      <c r="Z43" s="2253"/>
      <c r="AA43" s="2253"/>
      <c r="AB43" s="2253"/>
      <c r="AC43" s="2253"/>
      <c r="AD43" s="2253"/>
      <c r="AE43" s="2253"/>
      <c r="AF43" s="2254"/>
      <c r="AG43" s="2252" t="str">
        <f>INDEX(PT_DIFFERENTIATION_TER,MATCH(B43,PT_DIFFERENTIATION_TER_ID,0))</f>
        <v/>
      </c>
      <c r="AH43" s="2253"/>
      <c r="AI43" s="2253"/>
      <c r="AJ43" s="2253"/>
      <c r="AK43" s="2253"/>
      <c r="AL43" s="2253"/>
      <c r="AM43" s="2253"/>
      <c r="AN43" s="2253"/>
      <c r="AO43" s="2253"/>
      <c r="AP43" s="2253"/>
      <c r="AQ43" s="2253"/>
      <c r="AR43" s="2254"/>
      <c r="AS43" s="1268" t="s">
        <v>420</v>
      </c>
      <c r="AU43" s="510"/>
      <c r="AV43" s="510" t="str">
        <f>IF(T43="","",T43)</f>
        <v>Территория действия тарифа</v>
      </c>
      <c r="AW43" s="510"/>
      <c r="AX43" s="510"/>
      <c r="AY43" s="1165">
        <v>23</v>
      </c>
    </row>
    <row customHeight="1" ht="24">
      <c r="A44" s="1373" t="s">
        <v>273</v>
      </c>
      <c r="B44" s="1373" t="s">
        <v>274</v>
      </c>
      <c r="C44" s="1373" t="s">
        <v>275</v>
      </c>
      <c r="D44" s="1373"/>
      <c r="E44" s="2269"/>
      <c r="F44" s="2269"/>
      <c r="G44" s="2268">
        <v>1</v>
      </c>
      <c r="H44" s="1373"/>
      <c r="I44" s="1373"/>
      <c r="J44" s="1373"/>
      <c r="K44" s="1373"/>
      <c r="L44" s="1374"/>
      <c r="M44" s="1375"/>
      <c r="N44" s="1375"/>
      <c r="O44" s="1375"/>
      <c r="P44" s="364"/>
      <c r="Q44" s="362"/>
      <c r="R44" s="363"/>
      <c r="S44" s="1503" t="str">
        <f>INDEX(PT_DIFFERENTIATION_NUM_CS,MATCH(C44,PT_DIFFERENTIATION_CS_ID,0))</f>
        <v>..</v>
      </c>
      <c r="T44" s="319" t="s">
        <v>552</v>
      </c>
      <c r="U44" s="310"/>
      <c r="V44" s="2252"/>
      <c r="W44" s="2253"/>
      <c r="X44" s="2253"/>
      <c r="Y44" s="2253"/>
      <c r="Z44" s="2253"/>
      <c r="AA44" s="2253"/>
      <c r="AB44" s="2253"/>
      <c r="AC44" s="2253"/>
      <c r="AD44" s="2253"/>
      <c r="AE44" s="2253"/>
      <c r="AF44" s="2254"/>
      <c r="AG44" s="2252" t="str">
        <f>INDEX(PT_DIFFERENTIATION_CS,MATCH(C44,PT_DIFFERENTIATION_CS_ID,0))</f>
        <v/>
      </c>
      <c r="AH44" s="2253"/>
      <c r="AI44" s="2253"/>
      <c r="AJ44" s="2253"/>
      <c r="AK44" s="2253"/>
      <c r="AL44" s="2253"/>
      <c r="AM44" s="2253"/>
      <c r="AN44" s="2253"/>
      <c r="AO44" s="2253"/>
      <c r="AP44" s="2253"/>
      <c r="AQ44" s="2253"/>
      <c r="AR44" s="2254"/>
      <c r="AS44" s="1268" t="s">
        <v>553</v>
      </c>
      <c r="AU44" s="510"/>
      <c r="AV44" s="510" t="str">
        <f>IF(T44="","",T44)</f>
        <v>Наименование централизованной системы горячего водоснабжения</v>
      </c>
      <c r="AW44" s="510"/>
      <c r="AX44" s="510"/>
      <c r="AY44" s="1165">
        <v>23</v>
      </c>
    </row>
    <row customHeight="1" ht="24">
      <c r="A45" s="1373" t="s">
        <v>273</v>
      </c>
      <c r="B45" s="1373" t="s">
        <v>274</v>
      </c>
      <c r="C45" s="1373" t="s">
        <v>275</v>
      </c>
      <c r="D45" s="1373" t="s">
        <v>564</v>
      </c>
      <c r="E45" s="2269"/>
      <c r="F45" s="2269"/>
      <c r="G45" s="2269"/>
      <c r="H45" s="2269"/>
      <c r="I45" s="2266" t="str">
        <f>S44&amp;".1"</f>
        <v>...1</v>
      </c>
      <c r="J45" s="1373"/>
      <c r="K45" s="1373"/>
      <c r="L45" s="1374"/>
      <c r="P45" s="2267">
        <v>1</v>
      </c>
      <c r="Q45" s="1491"/>
      <c r="R45" s="366"/>
      <c r="S45" s="1503" t="str">
        <f>$I45</f>
        <v>...1</v>
      </c>
      <c r="T45" s="295" t="s">
        <v>505</v>
      </c>
      <c r="U45" s="310"/>
      <c r="V45" s="2360"/>
      <c r="W45" s="2361"/>
      <c r="X45" s="2361"/>
      <c r="Y45" s="2361"/>
      <c r="Z45" s="2361"/>
      <c r="AA45" s="2361"/>
      <c r="AB45" s="2361"/>
      <c r="AC45" s="2361"/>
      <c r="AD45" s="2361"/>
      <c r="AE45" s="2361"/>
      <c r="AF45" s="2362"/>
      <c r="AG45" s="2363"/>
      <c r="AH45" s="2364"/>
      <c r="AI45" s="2364"/>
      <c r="AJ45" s="2364"/>
      <c r="AK45" s="2364"/>
      <c r="AL45" s="2364"/>
      <c r="AM45" s="2364"/>
      <c r="AN45" s="2364"/>
      <c r="AO45" s="2364"/>
      <c r="AP45" s="2364"/>
      <c r="AQ45" s="2364"/>
      <c r="AR45" s="2365"/>
      <c r="AS45" s="1268" t="s">
        <v>506</v>
      </c>
      <c r="AU45" s="510"/>
      <c r="AV45" s="510" t="str">
        <f>IF(T45="","",T45)</f>
        <v>Наименование признака дифференциации</v>
      </c>
      <c r="AW45" s="510"/>
      <c r="AX45" s="510"/>
      <c r="AY45" s="1165">
        <v>23</v>
      </c>
    </row>
    <row customHeight="1" ht="24">
      <c r="A46" s="1373" t="s">
        <v>273</v>
      </c>
      <c r="B46" s="1373" t="s">
        <v>274</v>
      </c>
      <c r="C46" s="1373" t="s">
        <v>275</v>
      </c>
      <c r="D46" s="1373" t="s">
        <v>564</v>
      </c>
      <c r="E46" s="2269"/>
      <c r="F46" s="2269"/>
      <c r="G46" s="2269"/>
      <c r="H46" s="2269"/>
      <c r="I46" s="2296"/>
      <c r="J46" s="2266" t="str">
        <f>I45&amp;".1"</f>
        <v>...1.1</v>
      </c>
      <c r="K46" s="1373"/>
      <c r="L46" s="1374" t="s">
        <v>428</v>
      </c>
      <c r="P46" s="2267"/>
      <c r="Q46" s="2267">
        <v>1</v>
      </c>
      <c r="R46" s="367"/>
      <c r="S46" s="1503" t="str">
        <f>$J46</f>
        <v>...1.1</v>
      </c>
      <c r="T46" s="296" t="s">
        <v>429</v>
      </c>
      <c r="U46" s="310"/>
      <c r="V46" s="2255"/>
      <c r="W46" s="2256"/>
      <c r="X46" s="2256"/>
      <c r="Y46" s="2256"/>
      <c r="Z46" s="2256"/>
      <c r="AA46" s="2256"/>
      <c r="AB46" s="2256"/>
      <c r="AC46" s="2256"/>
      <c r="AD46" s="2256"/>
      <c r="AE46" s="2256"/>
      <c r="AF46" s="2257"/>
      <c r="AG46" s="2255"/>
      <c r="AH46" s="2256"/>
      <c r="AI46" s="2256"/>
      <c r="AJ46" s="2256"/>
      <c r="AK46" s="2256"/>
      <c r="AL46" s="2256"/>
      <c r="AM46" s="2256"/>
      <c r="AN46" s="2256"/>
      <c r="AO46" s="2256"/>
      <c r="AP46" s="2256"/>
      <c r="AQ46" s="2256"/>
      <c r="AR46" s="2257"/>
      <c r="AS46" s="1317" t="s">
        <v>507</v>
      </c>
      <c r="AU46" s="510"/>
      <c r="AV46" s="510" t="str">
        <f>IF(T46="","",T46)</f>
        <v>Группа потребителей</v>
      </c>
      <c r="AW46" s="510"/>
      <c r="AX46" s="510"/>
      <c r="AY46" s="1165">
        <v>23</v>
      </c>
    </row>
    <row customHeight="1" ht="24">
      <c r="A47" s="1373" t="s">
        <v>273</v>
      </c>
      <c r="B47" s="1373" t="s">
        <v>274</v>
      </c>
      <c r="C47" s="1373" t="s">
        <v>275</v>
      </c>
      <c r="D47" s="1373" t="s">
        <v>564</v>
      </c>
      <c r="E47" s="2269"/>
      <c r="F47" s="2269"/>
      <c r="G47" s="2269"/>
      <c r="H47" s="2269"/>
      <c r="I47" s="2296"/>
      <c r="J47" s="2296"/>
      <c r="K47" s="2266" t="str">
        <f>J46&amp;".1"</f>
        <v>...1.1.1</v>
      </c>
      <c r="L47" s="1374"/>
      <c r="P47" s="2267"/>
      <c r="Q47" s="2267"/>
      <c r="R47" s="367">
        <v>1</v>
      </c>
      <c r="S47" s="1503" t="str">
        <f>$K47</f>
        <v>...1.1.1</v>
      </c>
      <c r="T47" s="1447"/>
      <c r="U47" s="310"/>
      <c r="V47" s="761"/>
      <c r="W47" s="761"/>
      <c r="X47" s="761"/>
      <c r="Y47" s="761"/>
      <c r="Z47" s="761"/>
      <c r="AA47" s="761"/>
      <c r="AB47" s="761"/>
      <c r="AC47" s="2277"/>
      <c r="AD47" s="2278" t="s">
        <v>66</v>
      </c>
      <c r="AE47" s="2277"/>
      <c r="AF47" s="2278" t="s">
        <v>66</v>
      </c>
      <c r="AG47" s="761"/>
      <c r="AH47" s="761"/>
      <c r="AI47" s="761"/>
      <c r="AJ47" s="761"/>
      <c r="AK47" s="761"/>
      <c r="AL47" s="761"/>
      <c r="AM47" s="761"/>
      <c r="AN47" s="2275"/>
      <c r="AO47" s="2117" t="s">
        <v>66</v>
      </c>
      <c r="AP47" s="2297"/>
      <c r="AQ47" s="2117" t="s">
        <v>19</v>
      </c>
      <c r="AR47" s="1448"/>
      <c r="AS4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21">
        <f>STRCHECKDATE(V48:AR48)</f>
      </c>
      <c r="AU47" s="510"/>
      <c r="AV47" s="510" t="str">
        <f>IF(T47="","",T47)</f>
        <v/>
      </c>
      <c r="AW47" s="510"/>
      <c r="AX47" s="510"/>
      <c r="AY47" s="1165">
        <v>23</v>
      </c>
    </row>
    <row customHeight="1" ht="0">
      <c r="A48" s="1373" t="s">
        <v>273</v>
      </c>
      <c r="B48" s="1373" t="s">
        <v>274</v>
      </c>
      <c r="C48" s="1373" t="s">
        <v>275</v>
      </c>
      <c r="D48" s="1373" t="s">
        <v>564</v>
      </c>
      <c r="E48" s="2269"/>
      <c r="F48" s="2269"/>
      <c r="G48" s="2269"/>
      <c r="H48" s="2269"/>
      <c r="I48" s="2296"/>
      <c r="J48" s="2296"/>
      <c r="K48" s="2266"/>
      <c r="L48" s="1374"/>
      <c r="P48" s="2267"/>
      <c r="Q48" s="2267"/>
      <c r="R48" s="367"/>
      <c r="S48" s="1500"/>
      <c r="T48" s="310"/>
      <c r="U48" s="310"/>
      <c r="V48" s="1370"/>
      <c r="W48" s="1370"/>
      <c r="X48" s="1370"/>
      <c r="Y48" s="1370"/>
      <c r="Z48" s="1370"/>
      <c r="AA48" s="1370"/>
      <c r="AB48" s="1370"/>
      <c r="AC48" s="2278"/>
      <c r="AD48" s="2278"/>
      <c r="AE48" s="2278"/>
      <c r="AF48" s="2278"/>
      <c r="AG48" s="335"/>
      <c r="AH48" s="335"/>
      <c r="AI48" s="335"/>
      <c r="AJ48" s="335"/>
      <c r="AK48" s="335"/>
      <c r="AL48" s="335"/>
      <c r="AM48" s="335"/>
      <c r="AN48" s="2276"/>
      <c r="AO48" s="2117"/>
      <c r="AP48" s="2298"/>
      <c r="AQ48" s="2117"/>
      <c r="AR48" s="1449"/>
      <c r="AS48" s="2359"/>
      <c r="AU48" s="510"/>
      <c r="AV48" s="510" t="str">
        <f>IF(T48="","",T48)</f>
        <v/>
      </c>
      <c r="AW48" s="510"/>
      <c r="AX48" s="510"/>
      <c r="AY48" s="1165">
        <v>0</v>
      </c>
    </row>
    <row customHeight="1" ht="21">
      <c r="A49" s="1373" t="s">
        <v>273</v>
      </c>
      <c r="B49" s="1373" t="s">
        <v>274</v>
      </c>
      <c r="C49" s="1373" t="s">
        <v>275</v>
      </c>
      <c r="D49" s="1373" t="s">
        <v>564</v>
      </c>
      <c r="E49" s="2269"/>
      <c r="F49" s="2269"/>
      <c r="G49" s="2269"/>
      <c r="H49" s="2269"/>
      <c r="I49" s="2296"/>
      <c r="J49" s="2266"/>
      <c r="K49" s="1373"/>
      <c r="L49" s="1374"/>
      <c r="P49" s="2267"/>
      <c r="Q49" s="2267"/>
      <c r="R49" s="366"/>
      <c r="S49" s="1288"/>
      <c r="T49" s="297" t="s">
        <v>508</v>
      </c>
      <c r="U49" s="377"/>
      <c r="V49" s="377"/>
      <c r="W49" s="610"/>
      <c r="X49" s="610"/>
      <c r="Y49" s="610"/>
      <c r="Z49" s="610"/>
      <c r="AA49" s="610"/>
      <c r="AB49" s="610"/>
      <c r="AC49" s="377"/>
      <c r="AD49" s="377"/>
      <c r="AE49" s="377"/>
      <c r="AF49" s="377"/>
      <c r="AG49" s="377"/>
      <c r="AH49" s="610"/>
      <c r="AI49" s="610"/>
      <c r="AJ49" s="610"/>
      <c r="AK49" s="610"/>
      <c r="AL49" s="610"/>
      <c r="AM49" s="377"/>
      <c r="AN49" s="377"/>
      <c r="AO49" s="377"/>
      <c r="AP49" s="377"/>
      <c r="AQ49" s="377"/>
      <c r="AR49" s="377"/>
      <c r="AS49" s="1268" t="s">
        <v>509</v>
      </c>
      <c r="AU49" s="510"/>
      <c r="AV49" s="510" t="str">
        <f>IF(T49="","",T49)</f>
        <v>Добавить значение признака дифференциации</v>
      </c>
      <c r="AW49" s="510"/>
      <c r="AX49" s="510"/>
      <c r="AY49" s="1165">
        <v>20</v>
      </c>
    </row>
    <row customHeight="1" ht="22.049999999999997">
      <c r="A50" s="1373" t="s">
        <v>273</v>
      </c>
      <c r="B50" s="1373" t="s">
        <v>274</v>
      </c>
      <c r="C50" s="1373" t="s">
        <v>275</v>
      </c>
      <c r="D50" s="1373" t="s">
        <v>564</v>
      </c>
      <c r="E50" s="2269"/>
      <c r="F50" s="2269"/>
      <c r="G50" s="2269"/>
      <c r="H50" s="2269"/>
      <c r="I50" s="2266"/>
      <c r="J50" s="1373"/>
      <c r="K50" s="1373"/>
      <c r="L50" s="1374"/>
      <c r="P50" s="2267"/>
      <c r="Q50" s="1491"/>
      <c r="R50" s="366"/>
      <c r="S50" s="1288"/>
      <c r="T50" s="375" t="s">
        <v>434</v>
      </c>
      <c r="U50" s="377"/>
      <c r="V50" s="377"/>
      <c r="W50" s="610"/>
      <c r="X50" s="610"/>
      <c r="Y50" s="610"/>
      <c r="Z50" s="610"/>
      <c r="AA50" s="610"/>
      <c r="AB50" s="610"/>
      <c r="AC50" s="377"/>
      <c r="AD50" s="377"/>
      <c r="AE50" s="377"/>
      <c r="AF50" s="376"/>
      <c r="AG50" s="377"/>
      <c r="AH50" s="610"/>
      <c r="AI50" s="610"/>
      <c r="AJ50" s="610"/>
      <c r="AK50" s="610"/>
      <c r="AL50" s="610"/>
      <c r="AM50" s="377"/>
      <c r="AN50" s="377"/>
      <c r="AO50" s="377"/>
      <c r="AP50" s="377"/>
      <c r="AQ50" s="376"/>
      <c r="AR50" s="377"/>
      <c r="AS50" s="1450"/>
      <c r="AU50" s="510"/>
      <c r="AV50" s="510" t="str">
        <f>IF(T50="","",T50)</f>
        <v>Добавить группу потребителей</v>
      </c>
      <c r="AW50" s="510"/>
      <c r="AX50" s="510"/>
      <c r="AY50" s="1165">
        <v>21</v>
      </c>
    </row>
    <row customHeight="1" ht="22.049999999999997">
      <c r="A51" s="1373" t="s">
        <v>273</v>
      </c>
      <c r="B51" s="1373" t="s">
        <v>274</v>
      </c>
      <c r="C51" s="1373" t="s">
        <v>275</v>
      </c>
      <c r="D51" s="1373" t="s">
        <v>564</v>
      </c>
      <c r="E51" s="2269"/>
      <c r="F51" s="2269"/>
      <c r="G51" s="2269"/>
      <c r="H51" s="2268"/>
      <c r="I51" s="1373"/>
      <c r="J51" s="1373"/>
      <c r="K51" s="1373"/>
      <c r="L51" s="1374"/>
      <c r="M51" s="1375"/>
      <c r="N51" s="1375"/>
      <c r="O51" s="547"/>
      <c r="P51" s="370"/>
      <c r="Q51" s="385"/>
      <c r="R51" s="365"/>
      <c r="S51" s="1288"/>
      <c r="T51" s="382" t="s">
        <v>510</v>
      </c>
      <c r="U51" s="377"/>
      <c r="V51" s="377"/>
      <c r="W51" s="610"/>
      <c r="X51" s="610"/>
      <c r="Y51" s="610"/>
      <c r="Z51" s="610"/>
      <c r="AA51" s="610"/>
      <c r="AB51" s="610"/>
      <c r="AC51" s="377"/>
      <c r="AD51" s="377"/>
      <c r="AE51" s="377"/>
      <c r="AF51" s="376"/>
      <c r="AG51" s="377"/>
      <c r="AH51" s="610"/>
      <c r="AI51" s="610"/>
      <c r="AJ51" s="610"/>
      <c r="AK51" s="610"/>
      <c r="AL51" s="610"/>
      <c r="AM51" s="377"/>
      <c r="AN51" s="377"/>
      <c r="AO51" s="377"/>
      <c r="AP51" s="377"/>
      <c r="AQ51" s="376"/>
      <c r="AR51" s="377"/>
      <c r="AS51" s="313"/>
      <c r="AU51" s="510"/>
      <c r="AV51" s="510" t="str">
        <f>IF(T51="","",T51)</f>
        <v>Добавить наименование признака дифференциации</v>
      </c>
      <c r="AW51" s="510"/>
      <c r="AX51" s="510"/>
      <c r="AY51" s="1165">
        <v>21</v>
      </c>
    </row>
    <row s="1652" customFormat="1" customHeight="1" ht="0">
      <c r="A52" s="1353" t="s">
        <v>273</v>
      </c>
      <c r="B52" s="1353" t="s">
        <v>274</v>
      </c>
      <c r="C52" s="1324"/>
      <c r="D52" s="1324"/>
      <c r="E52" s="2269"/>
      <c r="F52" s="2268"/>
      <c r="G52" s="1324"/>
      <c r="H52" s="1324"/>
      <c r="I52" s="1324"/>
      <c r="J52" s="1324"/>
      <c r="K52" s="1324"/>
      <c r="L52" s="1504"/>
      <c r="M52" s="1331"/>
      <c r="N52" s="1331"/>
      <c r="P52" s="1326"/>
      <c r="Q52" s="1327"/>
      <c r="R52" s="1326"/>
      <c r="S52" s="1332"/>
      <c r="T52" s="1335" t="s">
        <v>437</v>
      </c>
      <c r="U52" s="1334"/>
      <c r="V52" s="1334"/>
      <c r="W52" s="1334"/>
      <c r="X52" s="1334"/>
      <c r="Y52" s="1334"/>
      <c r="Z52" s="1334"/>
      <c r="AA52" s="1334"/>
      <c r="AB52" s="1334"/>
      <c r="AC52" s="1334"/>
      <c r="AD52" s="1334"/>
      <c r="AE52" s="1334"/>
      <c r="AF52" s="1334"/>
      <c r="AG52" s="1334"/>
      <c r="AH52" s="1334"/>
      <c r="AI52" s="1334"/>
      <c r="AJ52" s="1334"/>
      <c r="AK52" s="1334"/>
      <c r="AL52" s="1334"/>
      <c r="AM52" s="1334"/>
      <c r="AN52" s="1334"/>
      <c r="AO52" s="1334"/>
      <c r="AP52" s="1334"/>
      <c r="AQ52" s="1334"/>
      <c r="AR52" s="1334"/>
      <c r="AS52" s="1334"/>
      <c r="AU52" s="799"/>
      <c r="AV52" s="799" t="str">
        <f>IF(T52="","",T52)</f>
        <v>Добавить централизованную систему для дифференциации</v>
      </c>
      <c r="AW52" s="799"/>
      <c r="AX52" s="799"/>
      <c r="AY52" s="528">
        <v>0</v>
      </c>
    </row>
    <row s="1652" customFormat="1" customHeight="1" ht="0">
      <c r="A53" s="1353" t="s">
        <v>273</v>
      </c>
      <c r="B53" s="1353"/>
      <c r="C53" s="1353"/>
      <c r="D53" s="1353"/>
      <c r="E53" s="2268"/>
      <c r="F53" s="1353"/>
      <c r="G53" s="1353"/>
      <c r="H53" s="1353"/>
      <c r="I53" s="1353"/>
      <c r="J53" s="1353"/>
      <c r="K53" s="1353"/>
      <c r="L53" s="1356"/>
      <c r="M53" s="1331"/>
      <c r="N53" s="1331"/>
      <c r="O53" s="528"/>
      <c r="P53" s="390"/>
      <c r="Q53" s="1354"/>
      <c r="R53" s="390"/>
      <c r="S53" s="1332"/>
      <c r="T53" s="1335" t="s">
        <v>438</v>
      </c>
      <c r="U53" s="1334"/>
      <c r="V53" s="1334"/>
      <c r="W53" s="1334"/>
      <c r="X53" s="1334"/>
      <c r="Y53" s="1334"/>
      <c r="Z53" s="1334"/>
      <c r="AA53" s="1334"/>
      <c r="AB53" s="1334"/>
      <c r="AC53" s="1334"/>
      <c r="AD53" s="1334"/>
      <c r="AE53" s="1334"/>
      <c r="AF53" s="1334"/>
      <c r="AG53" s="1334"/>
      <c r="AH53" s="1334"/>
      <c r="AI53" s="1334"/>
      <c r="AJ53" s="1334"/>
      <c r="AK53" s="1334"/>
      <c r="AL53" s="1334"/>
      <c r="AM53" s="1334"/>
      <c r="AN53" s="1334"/>
      <c r="AO53" s="1334"/>
      <c r="AP53" s="1334"/>
      <c r="AQ53" s="1334"/>
      <c r="AR53" s="1334"/>
      <c r="AS53" s="1334"/>
      <c r="AU53" s="510"/>
      <c r="AV53" s="510" t="str">
        <f>IF(T53="","",T53)</f>
        <v>Добавить территорию для дифференциации</v>
      </c>
      <c r="AW53" s="510"/>
      <c r="AX53" s="510"/>
      <c r="AY53" s="521">
        <v>0</v>
      </c>
    </row>
    <row s="1652" customFormat="1" customHeight="1" ht="0">
      <c r="A54" s="1324"/>
      <c r="B54" s="1324"/>
      <c r="C54" s="1324"/>
      <c r="D54" s="1324"/>
      <c r="E54" s="1353"/>
      <c r="F54" s="1324"/>
      <c r="G54" s="1324"/>
      <c r="H54" s="1324"/>
      <c r="I54" s="1324"/>
      <c r="J54" s="1324"/>
      <c r="K54" s="1324"/>
      <c r="L54" s="1504"/>
      <c r="M54" s="1331"/>
      <c r="N54" s="1331"/>
      <c r="P54" s="1326"/>
      <c r="Q54" s="1327"/>
      <c r="R54" s="1326"/>
      <c r="S54" s="1332"/>
      <c r="T54" s="1335" t="s">
        <v>470</v>
      </c>
      <c r="U54" s="1334"/>
      <c r="V54" s="1334"/>
      <c r="W54" s="1334"/>
      <c r="X54" s="1334"/>
      <c r="Y54" s="1334"/>
      <c r="Z54" s="1334"/>
      <c r="AA54" s="1334"/>
      <c r="AB54" s="1334"/>
      <c r="AC54" s="1334"/>
      <c r="AD54" s="1334"/>
      <c r="AE54" s="1334"/>
      <c r="AF54" s="1334"/>
      <c r="AG54" s="1334"/>
      <c r="AH54" s="1334"/>
      <c r="AI54" s="1334"/>
      <c r="AJ54" s="1334"/>
      <c r="AK54" s="1334"/>
      <c r="AL54" s="1334"/>
      <c r="AM54" s="1334"/>
      <c r="AN54" s="1334"/>
      <c r="AO54" s="1334"/>
      <c r="AP54" s="1334"/>
      <c r="AQ54" s="1334"/>
      <c r="AR54" s="1334"/>
      <c r="AS54" s="1334"/>
      <c r="AU54" s="799"/>
      <c r="AV54" s="799" t="str">
        <f>IF(T54="","",T54)</f>
        <v>Добавить наименование тарифа</v>
      </c>
      <c r="AW54" s="799"/>
      <c r="AX54" s="799"/>
      <c r="AY54" s="528">
        <v>0</v>
      </c>
    </row>
    <row customHeight="1" ht="11.549999999999999">
      <c r="M55" s="1170"/>
      <c r="N55" s="1170"/>
      <c r="O55" s="547"/>
      <c r="P55" s="1165"/>
      <c r="Q55" s="1165"/>
      <c r="R55" s="1165"/>
      <c r="S55" s="1165"/>
      <c r="AT55" s="1165"/>
      <c r="AU55" s="1165"/>
      <c r="AV55" s="1165"/>
      <c r="AW55" s="1165"/>
      <c r="AX55" s="1165"/>
      <c r="AY55" s="1165">
        <v>11</v>
      </c>
    </row>
    <row customHeight="1" ht="14.699999999999998">
      <c r="O56" s="547"/>
      <c r="S56" s="1263"/>
      <c r="T56" s="2295"/>
      <c r="U56" s="2295"/>
      <c r="V56" s="2295"/>
      <c r="W56" s="2295"/>
      <c r="X56" s="2295"/>
      <c r="Y56" s="2295"/>
      <c r="Z56" s="2295"/>
      <c r="AA56" s="2295"/>
      <c r="AB56" s="2295"/>
      <c r="AC56" s="2295"/>
      <c r="AD56" s="2295"/>
      <c r="AE56" s="2295"/>
      <c r="AF56" s="2295"/>
      <c r="AG56" s="2295"/>
      <c r="AH56" s="2295"/>
      <c r="AI56" s="2295"/>
      <c r="AJ56" s="2295"/>
      <c r="AK56" s="2295"/>
      <c r="AL56" s="2295"/>
      <c r="AM56" s="2295"/>
      <c r="AN56" s="2295"/>
      <c r="AO56" s="2295"/>
      <c r="AP56" s="2295"/>
      <c r="AQ56" s="2295"/>
      <c r="AR56" s="2295"/>
      <c r="AS56" s="2295"/>
      <c r="AY56" s="1165">
        <v>14</v>
      </c>
    </row>
    <row customHeight="1" ht="14.699999999999998">
      <c r="O57" s="547"/>
      <c r="AY57" s="1165">
        <v>14</v>
      </c>
    </row>
    <row customHeight="1" ht="14.699999999999998">
      <c r="O58" s="547"/>
      <c r="S58" s="1263"/>
      <c r="T58" s="2295"/>
      <c r="U58" s="2295"/>
      <c r="V58" s="2295"/>
      <c r="W58" s="2295"/>
      <c r="X58" s="2295"/>
      <c r="Y58" s="2295"/>
      <c r="Z58" s="2295"/>
      <c r="AA58" s="2295"/>
      <c r="AB58" s="2295"/>
      <c r="AC58" s="2295"/>
      <c r="AD58" s="2295"/>
      <c r="AE58" s="2295"/>
      <c r="AF58" s="2295"/>
      <c r="AG58" s="2295"/>
      <c r="AH58" s="2295"/>
      <c r="AI58" s="2295"/>
      <c r="AJ58" s="2295"/>
      <c r="AK58" s="2295"/>
      <c r="AL58" s="2295"/>
      <c r="AM58" s="2295"/>
      <c r="AN58" s="2295"/>
      <c r="AO58" s="2295"/>
      <c r="AP58" s="2295"/>
      <c r="AQ58" s="2295"/>
      <c r="AR58" s="2295"/>
      <c r="AS58" s="2295"/>
      <c r="AY58" s="1165">
        <v>14</v>
      </c>
    </row>
    <row customHeight="1" ht="22.5" hidden="1">
      <c r="A59" s="1170" t="s">
        <v>82</v>
      </c>
      <c r="B59" s="1170">
        <v>0</v>
      </c>
      <c r="C59" s="1170">
        <v>0</v>
      </c>
      <c r="D59" s="1170">
        <v>0</v>
      </c>
      <c r="E59" s="1170">
        <v>0</v>
      </c>
      <c r="F59" s="1170">
        <v>0</v>
      </c>
      <c r="G59" s="1170">
        <v>0</v>
      </c>
      <c r="H59" s="1170">
        <v>0</v>
      </c>
      <c r="I59" s="1170">
        <v>0</v>
      </c>
      <c r="J59" s="1170">
        <v>0</v>
      </c>
      <c r="K59" s="1170">
        <v>0</v>
      </c>
      <c r="L59" s="1488">
        <v>0</v>
      </c>
      <c r="M59" s="1372">
        <v>0</v>
      </c>
      <c r="N59" s="1372">
        <v>0</v>
      </c>
      <c r="O59" s="1372">
        <v>0</v>
      </c>
      <c r="P59" s="1483">
        <v>3</v>
      </c>
      <c r="Q59" s="354">
        <v>3</v>
      </c>
      <c r="R59" s="354">
        <v>3</v>
      </c>
      <c r="S59" s="591">
        <v>12</v>
      </c>
      <c r="T59" s="1165">
        <v>35</v>
      </c>
      <c r="U59" s="1165">
        <v>0</v>
      </c>
      <c r="V59" s="1165">
        <v>0</v>
      </c>
      <c r="W59" s="1641">
        <v>0</v>
      </c>
      <c r="X59" s="1641">
        <v>0</v>
      </c>
      <c r="Y59" s="1641">
        <v>0</v>
      </c>
      <c r="Z59" s="1641">
        <v>0</v>
      </c>
      <c r="AA59" s="1641">
        <v>0</v>
      </c>
      <c r="AB59" s="1641">
        <v>0</v>
      </c>
      <c r="AC59" s="1165">
        <v>0</v>
      </c>
      <c r="AD59" s="1165">
        <v>0</v>
      </c>
      <c r="AE59" s="1165">
        <v>0</v>
      </c>
      <c r="AF59" s="1165">
        <v>0</v>
      </c>
      <c r="AG59" s="1165">
        <v>19</v>
      </c>
      <c r="AH59" s="1641">
        <v>19</v>
      </c>
      <c r="AI59" s="1641">
        <v>19</v>
      </c>
      <c r="AJ59" s="1641">
        <v>19</v>
      </c>
      <c r="AK59" s="1641">
        <v>19</v>
      </c>
      <c r="AL59" s="1641">
        <v>19</v>
      </c>
      <c r="AM59" s="1165">
        <v>19</v>
      </c>
      <c r="AN59" s="1165">
        <v>11</v>
      </c>
      <c r="AO59" s="1165">
        <v>3</v>
      </c>
      <c r="AP59" s="1165">
        <v>11</v>
      </c>
      <c r="AQ59" s="1165">
        <v>0</v>
      </c>
      <c r="AR59" s="1165">
        <v>4</v>
      </c>
      <c r="AS59" s="1165">
        <v>115</v>
      </c>
      <c r="AT59" s="521">
        <v>10</v>
      </c>
      <c r="AU59" s="521">
        <v>10</v>
      </c>
      <c r="AV59" s="521">
        <v>10</v>
      </c>
      <c r="AW59" s="521">
        <v>10</v>
      </c>
      <c r="AX59" s="521">
        <v>10</v>
      </c>
      <c r="AY59" s="1165">
        <v>23</v>
      </c>
    </row>
  </sheetData>
  <sheetProtection sheet="1" formatColumns="0" formatRows="0" autoFilter="0" sort="1" insertRows="1" insertColumns="1" deleteRows="1" deleteColumns="1"/>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18D0F7-CA16-053D-1456-0.B9807D22}"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8" style="1645" width="19.7109375" hidden="1" customWidth="1"/>
    <col min="29" max="29" style="1645" width="11.7109375" hidden="1" customWidth="1"/>
    <col min="30" max="30" style="1645" width="3.7109375" hidden="1" customWidth="1"/>
    <col min="31" max="31" style="1645" width="11.7109375" hidden="1" customWidth="1"/>
    <col min="32" max="32" style="1645" width="8.57421875" hidden="1" customWidth="1"/>
    <col min="33" max="33" style="1645" width="19.7109375" customWidth="1"/>
    <col min="34" max="39" style="1645" width="19.00390625" customWidth="1"/>
    <col min="40" max="40" style="1645" width="11.00390625" customWidth="1"/>
    <col min="41" max="41" style="1645" width="3.7109375" customWidth="1"/>
    <col min="42" max="42" style="1645" width="11.00390625" customWidth="1"/>
    <col min="43" max="43" style="1645" width="8.57421875" hidden="1" customWidth="1"/>
    <col min="44" max="44" style="1645" width="4.00390625" customWidth="1"/>
    <col min="45" max="45" style="1645" width="115.00390625" customWidth="1"/>
    <col min="46" max="50" style="1652" width="10.00390625" customWidth="1"/>
    <col min="51" max="51" style="1645" width="10.57421875" hidden="1"/>
  </cols>
  <sheetData>
    <row customHeight="1" ht="22.5" hidden="1">
      <c r="AB1" s="337"/>
      <c r="AC1" s="337"/>
      <c r="AM1" s="337"/>
      <c r="AN1" s="337"/>
      <c r="AY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503">
        <f>INDEX(PT_DIFFERENTIATION_NUM_NTAR,MATCH(A2,PT_DIFFERENTIATION_NTAR_ID,0))</f>
      </c>
      <c r="T2" s="308" t="s">
        <v>147</v>
      </c>
      <c r="U2" s="310"/>
      <c r="V2" s="2252"/>
      <c r="W2" s="2253"/>
      <c r="X2" s="2253"/>
      <c r="Y2" s="2253"/>
      <c r="Z2" s="2253"/>
      <c r="AA2" s="2253"/>
      <c r="AB2" s="2253"/>
      <c r="AC2" s="2253"/>
      <c r="AD2" s="2253"/>
      <c r="AE2" s="2253"/>
      <c r="AF2" s="2254"/>
      <c r="AG2" s="2252">
        <f>INDEX(PT_DIFFERENTIATION_NTAR,MATCH(A2,PT_DIFFERENTIATION_NTAR_ID,0))</f>
      </c>
      <c r="AH2" s="2253"/>
      <c r="AI2" s="2253"/>
      <c r="AJ2" s="2253"/>
      <c r="AK2" s="2253"/>
      <c r="AL2" s="2253"/>
      <c r="AM2" s="2253"/>
      <c r="AN2" s="2253"/>
      <c r="AO2" s="2253"/>
      <c r="AP2" s="2253"/>
      <c r="AQ2" s="2253"/>
      <c r="AR2" s="2254"/>
      <c r="AS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10"/>
      <c r="AV2" s="510" t="str">
        <f>IF(T2="","",T2)</f>
        <v>Наименование тарифа</v>
      </c>
      <c r="AW2" s="510"/>
      <c r="AX2" s="510"/>
      <c r="AY2" s="1165">
        <v>0</v>
      </c>
    </row>
    <row customHeight="1" ht="23.25" hidden="1">
      <c r="A3" s="1373"/>
      <c r="B3" s="1373"/>
      <c r="C3" s="1373"/>
      <c r="D3" s="1373"/>
      <c r="E3" s="2269"/>
      <c r="F3" s="2268">
        <v>1</v>
      </c>
      <c r="G3" s="1373"/>
      <c r="H3" s="1373"/>
      <c r="I3" s="1373"/>
      <c r="J3" s="1373"/>
      <c r="K3" s="1373"/>
      <c r="L3" s="1374"/>
      <c r="M3" s="1375"/>
      <c r="N3" s="1375"/>
      <c r="O3" s="1375"/>
      <c r="P3" s="1497"/>
      <c r="Q3" s="362"/>
      <c r="R3" s="363"/>
      <c r="S3" s="1503">
        <f>INDEX(PT_DIFFERENTIATION_NUM_TER,MATCH(B3,PT_DIFFERENTIATION_TER_ID,0))</f>
      </c>
      <c r="T3" s="318" t="s">
        <v>419</v>
      </c>
      <c r="U3" s="310"/>
      <c r="V3" s="2252"/>
      <c r="W3" s="2253"/>
      <c r="X3" s="2253"/>
      <c r="Y3" s="2253"/>
      <c r="Z3" s="2253"/>
      <c r="AA3" s="2253"/>
      <c r="AB3" s="2253"/>
      <c r="AC3" s="2253"/>
      <c r="AD3" s="2253"/>
      <c r="AE3" s="2253"/>
      <c r="AF3" s="2254"/>
      <c r="AG3" s="2252">
        <f>INDEX(PT_DIFFERENTIATION_TER,MATCH(B3,PT_DIFFERENTIATION_TER_ID,0))</f>
      </c>
      <c r="AH3" s="2253"/>
      <c r="AI3" s="2253"/>
      <c r="AJ3" s="2253"/>
      <c r="AK3" s="2253"/>
      <c r="AL3" s="2253"/>
      <c r="AM3" s="2253"/>
      <c r="AN3" s="2253"/>
      <c r="AO3" s="2253"/>
      <c r="AP3" s="2253"/>
      <c r="AQ3" s="2253"/>
      <c r="AR3" s="2254"/>
      <c r="AS3" s="1268" t="s">
        <v>420</v>
      </c>
      <c r="AU3" s="510"/>
      <c r="AV3" s="510" t="str">
        <f>IF(T3="","",T3)</f>
        <v>Территория действия тарифа</v>
      </c>
      <c r="AW3" s="510"/>
      <c r="AX3" s="510"/>
      <c r="AY3" s="1165">
        <v>0</v>
      </c>
    </row>
    <row customHeight="1" ht="23.25" hidden="1">
      <c r="A4" s="1373"/>
      <c r="B4" s="1373"/>
      <c r="C4" s="1373"/>
      <c r="D4" s="1373"/>
      <c r="E4" s="2269"/>
      <c r="F4" s="2269"/>
      <c r="G4" s="2268">
        <v>1</v>
      </c>
      <c r="H4" s="1373"/>
      <c r="I4" s="1373"/>
      <c r="J4" s="1373"/>
      <c r="K4" s="1373"/>
      <c r="L4" s="1374"/>
      <c r="M4" s="1375"/>
      <c r="N4" s="1375"/>
      <c r="O4" s="1375"/>
      <c r="P4" s="364"/>
      <c r="Q4" s="362"/>
      <c r="R4" s="363"/>
      <c r="S4" s="1503">
        <f>INDEX(PT_DIFFERENTIATION_NUM_CS,MATCH(C4,PT_DIFFERENTIATION_CS_ID,0))</f>
      </c>
      <c r="T4" s="319" t="s">
        <v>552</v>
      </c>
      <c r="U4" s="310"/>
      <c r="V4" s="2252"/>
      <c r="W4" s="2253"/>
      <c r="X4" s="2253"/>
      <c r="Y4" s="2253"/>
      <c r="Z4" s="2253"/>
      <c r="AA4" s="2253"/>
      <c r="AB4" s="2253"/>
      <c r="AC4" s="2253"/>
      <c r="AD4" s="2253"/>
      <c r="AE4" s="2253"/>
      <c r="AF4" s="2254"/>
      <c r="AG4" s="2252">
        <f>INDEX(PT_DIFFERENTIATION_CS,MATCH(C4,PT_DIFFERENTIATION_CS_ID,0))</f>
      </c>
      <c r="AH4" s="2253"/>
      <c r="AI4" s="2253"/>
      <c r="AJ4" s="2253"/>
      <c r="AK4" s="2253"/>
      <c r="AL4" s="2253"/>
      <c r="AM4" s="2253"/>
      <c r="AN4" s="2253"/>
      <c r="AO4" s="2253"/>
      <c r="AP4" s="2253"/>
      <c r="AQ4" s="2253"/>
      <c r="AR4" s="2254"/>
      <c r="AS4" s="1268" t="s">
        <v>553</v>
      </c>
      <c r="AU4" s="510"/>
      <c r="AV4" s="510" t="str">
        <f>IF(T4="","",T4)</f>
        <v>Наименование централизованной системы горячего водоснабжения</v>
      </c>
      <c r="AW4" s="510"/>
      <c r="AX4" s="510"/>
      <c r="AY4" s="1165">
        <v>0</v>
      </c>
    </row>
    <row customHeight="1" ht="23.25" hidden="1">
      <c r="A5" s="1373"/>
      <c r="B5" s="1373"/>
      <c r="C5" s="1373"/>
      <c r="D5" s="1373"/>
      <c r="E5" s="2269"/>
      <c r="F5" s="2269"/>
      <c r="G5" s="2269"/>
      <c r="H5" s="2269"/>
      <c r="I5" s="2266">
        <f>S4&amp;".1"</f>
      </c>
      <c r="J5" s="1373"/>
      <c r="K5" s="1373"/>
      <c r="L5" s="1374"/>
      <c r="P5" s="2267">
        <v>1</v>
      </c>
      <c r="Q5" s="1491"/>
      <c r="R5" s="366"/>
      <c r="S5" s="1503">
        <f>$I5</f>
      </c>
      <c r="T5" s="295" t="s">
        <v>505</v>
      </c>
      <c r="U5" s="310"/>
      <c r="V5" s="2360"/>
      <c r="W5" s="2361"/>
      <c r="X5" s="2361"/>
      <c r="Y5" s="2361"/>
      <c r="Z5" s="2361"/>
      <c r="AA5" s="2361"/>
      <c r="AB5" s="2361"/>
      <c r="AC5" s="2361"/>
      <c r="AD5" s="2361"/>
      <c r="AE5" s="2361"/>
      <c r="AF5" s="2362"/>
      <c r="AG5" s="2363"/>
      <c r="AH5" s="2364"/>
      <c r="AI5" s="2364"/>
      <c r="AJ5" s="2364"/>
      <c r="AK5" s="2364"/>
      <c r="AL5" s="2364"/>
      <c r="AM5" s="2364"/>
      <c r="AN5" s="2364"/>
      <c r="AO5" s="2364"/>
      <c r="AP5" s="2364"/>
      <c r="AQ5" s="2364"/>
      <c r="AR5" s="2365"/>
      <c r="AS5" s="1268" t="s">
        <v>506</v>
      </c>
      <c r="AU5" s="510"/>
      <c r="AV5" s="510" t="str">
        <f>IF(T5="","",T5)</f>
        <v>Наименование признака дифференциации</v>
      </c>
      <c r="AW5" s="510"/>
      <c r="AX5" s="510"/>
      <c r="AY5" s="1165">
        <v>0</v>
      </c>
    </row>
    <row customHeight="1" ht="23.25" hidden="1">
      <c r="A6" s="1373"/>
      <c r="B6" s="1373"/>
      <c r="C6" s="1373"/>
      <c r="D6" s="1373"/>
      <c r="E6" s="2269"/>
      <c r="F6" s="2269"/>
      <c r="G6" s="2269"/>
      <c r="H6" s="2269"/>
      <c r="I6" s="2296"/>
      <c r="J6" s="2266">
        <f>I5&amp;".1"</f>
      </c>
      <c r="K6" s="1373"/>
      <c r="L6" s="1374" t="s">
        <v>428</v>
      </c>
      <c r="P6" s="2267"/>
      <c r="Q6" s="2267">
        <v>1</v>
      </c>
      <c r="R6" s="367"/>
      <c r="S6" s="1503">
        <f>$J6</f>
      </c>
      <c r="T6" s="296" t="s">
        <v>429</v>
      </c>
      <c r="U6" s="310"/>
      <c r="V6" s="2255"/>
      <c r="W6" s="2256"/>
      <c r="X6" s="2256"/>
      <c r="Y6" s="2256"/>
      <c r="Z6" s="2256"/>
      <c r="AA6" s="2256"/>
      <c r="AB6" s="2256"/>
      <c r="AC6" s="2256"/>
      <c r="AD6" s="2256"/>
      <c r="AE6" s="2256"/>
      <c r="AF6" s="2257"/>
      <c r="AG6" s="2255"/>
      <c r="AH6" s="2256"/>
      <c r="AI6" s="2256"/>
      <c r="AJ6" s="2256"/>
      <c r="AK6" s="2256"/>
      <c r="AL6" s="2256"/>
      <c r="AM6" s="2256"/>
      <c r="AN6" s="2256"/>
      <c r="AO6" s="2256"/>
      <c r="AP6" s="2256"/>
      <c r="AQ6" s="2256"/>
      <c r="AR6" s="2257"/>
      <c r="AS6" s="1317" t="s">
        <v>507</v>
      </c>
      <c r="AU6" s="510"/>
      <c r="AV6" s="510" t="str">
        <f>IF(T6="","",T6)</f>
        <v>Группа потребителей</v>
      </c>
      <c r="AW6" s="510"/>
      <c r="AX6" s="510"/>
      <c r="AY6" s="1165">
        <v>0</v>
      </c>
    </row>
    <row customHeight="1" ht="23.25" hidden="1">
      <c r="A7" s="1373"/>
      <c r="B7" s="1373"/>
      <c r="C7" s="1373"/>
      <c r="D7" s="1373"/>
      <c r="E7" s="2269"/>
      <c r="F7" s="2269"/>
      <c r="G7" s="2269"/>
      <c r="H7" s="2269"/>
      <c r="I7" s="2296"/>
      <c r="J7" s="2296"/>
      <c r="K7" s="2266">
        <f>J6&amp;".1"</f>
      </c>
      <c r="L7" s="1374"/>
      <c r="P7" s="2267"/>
      <c r="Q7" s="2267"/>
      <c r="R7" s="367">
        <v>1</v>
      </c>
      <c r="S7" s="1503">
        <f>$K7</f>
      </c>
      <c r="T7" s="1447"/>
      <c r="U7" s="310"/>
      <c r="V7" s="761"/>
      <c r="W7" s="761"/>
      <c r="X7" s="761"/>
      <c r="Y7" s="761"/>
      <c r="Z7" s="761"/>
      <c r="AA7" s="761"/>
      <c r="AB7" s="1267"/>
      <c r="AC7" s="2275"/>
      <c r="AD7" s="2117" t="s">
        <v>66</v>
      </c>
      <c r="AE7" s="2275"/>
      <c r="AF7" s="2117" t="s">
        <v>66</v>
      </c>
      <c r="AG7" s="761"/>
      <c r="AH7" s="761"/>
      <c r="AI7" s="761"/>
      <c r="AJ7" s="761"/>
      <c r="AK7" s="761"/>
      <c r="AL7" s="761"/>
      <c r="AM7" s="1267"/>
      <c r="AN7" s="2275"/>
      <c r="AO7" s="2117" t="s">
        <v>66</v>
      </c>
      <c r="AP7" s="2297"/>
      <c r="AQ7" s="2117" t="s">
        <v>66</v>
      </c>
      <c r="AR7" s="1448"/>
      <c r="AS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21">
        <f>STRCHECKDATE(V8:AR8)</f>
      </c>
      <c r="AU7" s="510"/>
      <c r="AV7" s="510" t="str">
        <f>IF(T7="","",T7)</f>
        <v/>
      </c>
      <c r="AW7" s="510"/>
      <c r="AX7" s="510"/>
      <c r="AY7" s="1165">
        <v>0</v>
      </c>
    </row>
    <row customHeight="1" ht="14.25" hidden="1">
      <c r="A8" s="1373"/>
      <c r="B8" s="1373"/>
      <c r="C8" s="1373"/>
      <c r="D8" s="1373"/>
      <c r="E8" s="2269"/>
      <c r="F8" s="2269"/>
      <c r="G8" s="2269"/>
      <c r="H8" s="2269"/>
      <c r="I8" s="2296"/>
      <c r="J8" s="2296"/>
      <c r="K8" s="2266"/>
      <c r="L8" s="1374"/>
      <c r="P8" s="2267"/>
      <c r="Q8" s="2267"/>
      <c r="R8" s="367"/>
      <c r="S8" s="1500"/>
      <c r="T8" s="310"/>
      <c r="U8" s="310"/>
      <c r="V8" s="335"/>
      <c r="W8" s="335"/>
      <c r="X8" s="335"/>
      <c r="Y8" s="335"/>
      <c r="Z8" s="335"/>
      <c r="AA8" s="335"/>
      <c r="AB8" s="338" t="str">
        <f>AC7&amp;"-"&amp;AE7</f>
        <v>-</v>
      </c>
      <c r="AC8" s="2276"/>
      <c r="AD8" s="2117"/>
      <c r="AE8" s="2276"/>
      <c r="AF8" s="2117"/>
      <c r="AG8" s="335"/>
      <c r="AH8" s="335"/>
      <c r="AI8" s="335"/>
      <c r="AJ8" s="335"/>
      <c r="AK8" s="335"/>
      <c r="AL8" s="335"/>
      <c r="AM8" s="338" t="str">
        <f>AN7&amp;"-"&amp;AP7</f>
        <v>-</v>
      </c>
      <c r="AN8" s="2276"/>
      <c r="AO8" s="2117"/>
      <c r="AP8" s="2298"/>
      <c r="AQ8" s="2117"/>
      <c r="AR8" s="1449"/>
      <c r="AS8" s="2359"/>
      <c r="AU8" s="510"/>
      <c r="AV8" s="510" t="str">
        <f>IF(T8="","",T8)</f>
        <v/>
      </c>
      <c r="AW8" s="510"/>
      <c r="AX8" s="510"/>
      <c r="AY8" s="1165">
        <v>0</v>
      </c>
    </row>
    <row customHeight="1" ht="21" hidden="1">
      <c r="A9" s="1373"/>
      <c r="B9" s="1373"/>
      <c r="C9" s="1373"/>
      <c r="D9" s="1373"/>
      <c r="E9" s="2269"/>
      <c r="F9" s="2269"/>
      <c r="G9" s="2269"/>
      <c r="H9" s="2269"/>
      <c r="I9" s="2296"/>
      <c r="J9" s="2266"/>
      <c r="K9" s="1373"/>
      <c r="L9" s="1374"/>
      <c r="P9" s="2267"/>
      <c r="Q9" s="2267"/>
      <c r="R9" s="366"/>
      <c r="S9" s="1288"/>
      <c r="T9" s="297" t="s">
        <v>508</v>
      </c>
      <c r="U9" s="377"/>
      <c r="V9" s="377"/>
      <c r="W9" s="610"/>
      <c r="X9" s="610"/>
      <c r="Y9" s="610"/>
      <c r="Z9" s="610"/>
      <c r="AA9" s="610"/>
      <c r="AB9" s="377"/>
      <c r="AC9" s="377"/>
      <c r="AD9" s="377"/>
      <c r="AE9" s="377"/>
      <c r="AF9" s="377"/>
      <c r="AG9" s="377"/>
      <c r="AH9" s="610"/>
      <c r="AI9" s="610"/>
      <c r="AJ9" s="610"/>
      <c r="AK9" s="610"/>
      <c r="AL9" s="610"/>
      <c r="AM9" s="377"/>
      <c r="AN9" s="377"/>
      <c r="AO9" s="377"/>
      <c r="AP9" s="377"/>
      <c r="AQ9" s="377"/>
      <c r="AR9" s="377"/>
      <c r="AS9" s="1268" t="s">
        <v>509</v>
      </c>
      <c r="AU9" s="510"/>
      <c r="AV9" s="510" t="str">
        <f>IF(T9="","",T9)</f>
        <v>Добавить значение признака дифференциации</v>
      </c>
      <c r="AW9" s="510"/>
      <c r="AX9" s="510"/>
      <c r="AY9" s="1165">
        <v>0</v>
      </c>
    </row>
    <row customHeight="1" ht="21" hidden="1">
      <c r="A10" s="1373"/>
      <c r="B10" s="1373"/>
      <c r="C10" s="1373"/>
      <c r="D10" s="1373"/>
      <c r="E10" s="2269"/>
      <c r="F10" s="2269"/>
      <c r="G10" s="2269"/>
      <c r="H10" s="2269"/>
      <c r="I10" s="2266"/>
      <c r="J10" s="1373"/>
      <c r="K10" s="1373"/>
      <c r="L10" s="1374"/>
      <c r="P10" s="2267"/>
      <c r="Q10" s="1491"/>
      <c r="R10" s="366"/>
      <c r="S10" s="1288"/>
      <c r="T10" s="375" t="s">
        <v>434</v>
      </c>
      <c r="U10" s="377"/>
      <c r="V10" s="377"/>
      <c r="W10" s="610"/>
      <c r="X10" s="610"/>
      <c r="Y10" s="610"/>
      <c r="Z10" s="610"/>
      <c r="AA10" s="610"/>
      <c r="AB10" s="377"/>
      <c r="AC10" s="377"/>
      <c r="AD10" s="377"/>
      <c r="AE10" s="377"/>
      <c r="AF10" s="376"/>
      <c r="AG10" s="377"/>
      <c r="AH10" s="610"/>
      <c r="AI10" s="610"/>
      <c r="AJ10" s="610"/>
      <c r="AK10" s="610"/>
      <c r="AL10" s="610"/>
      <c r="AM10" s="377"/>
      <c r="AN10" s="377"/>
      <c r="AO10" s="377"/>
      <c r="AP10" s="377"/>
      <c r="AQ10" s="376"/>
      <c r="AR10" s="377"/>
      <c r="AS10" s="1450"/>
      <c r="AU10" s="510"/>
      <c r="AV10" s="510" t="str">
        <f>IF(T10="","",T10)</f>
        <v>Добавить группу потребителей</v>
      </c>
      <c r="AW10" s="510"/>
      <c r="AX10" s="510"/>
      <c r="AY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510</v>
      </c>
      <c r="U11" s="377"/>
      <c r="V11" s="377"/>
      <c r="W11" s="610"/>
      <c r="X11" s="610"/>
      <c r="Y11" s="610"/>
      <c r="Z11" s="610"/>
      <c r="AA11" s="610"/>
      <c r="AB11" s="377"/>
      <c r="AC11" s="377"/>
      <c r="AD11" s="377"/>
      <c r="AE11" s="377"/>
      <c r="AF11" s="376"/>
      <c r="AG11" s="377"/>
      <c r="AH11" s="610"/>
      <c r="AI11" s="610"/>
      <c r="AJ11" s="610"/>
      <c r="AK11" s="610"/>
      <c r="AL11" s="610"/>
      <c r="AM11" s="377"/>
      <c r="AN11" s="377"/>
      <c r="AO11" s="377"/>
      <c r="AP11" s="377"/>
      <c r="AQ11" s="376"/>
      <c r="AR11" s="377"/>
      <c r="AS11" s="313"/>
      <c r="AU11" s="510"/>
      <c r="AV11" s="510" t="str">
        <f>IF(T11="","",T11)</f>
        <v>Добавить наименование признака дифференциации</v>
      </c>
      <c r="AW11" s="510"/>
      <c r="AX11" s="510"/>
      <c r="AY11" s="1165">
        <v>0</v>
      </c>
    </row>
    <row s="1652" customFormat="1" customHeight="1" ht="14.25" hidden="1">
      <c r="A12" s="1353"/>
      <c r="B12" s="1353"/>
      <c r="C12" s="1324"/>
      <c r="D12" s="1324"/>
      <c r="E12" s="2269"/>
      <c r="F12" s="2268"/>
      <c r="G12" s="1324"/>
      <c r="H12" s="1324"/>
      <c r="I12" s="1324"/>
      <c r="J12" s="1324"/>
      <c r="K12" s="1324"/>
      <c r="L12" s="1504"/>
      <c r="M12" s="1331"/>
      <c r="N12" s="1331"/>
      <c r="P12" s="1326"/>
      <c r="Q12" s="1327"/>
      <c r="R12" s="1326"/>
      <c r="S12" s="1332"/>
      <c r="T12" s="1335" t="s">
        <v>437</v>
      </c>
      <c r="U12" s="1334"/>
      <c r="V12" s="1334"/>
      <c r="W12" s="1334"/>
      <c r="X12" s="1334"/>
      <c r="Y12" s="1334"/>
      <c r="Z12" s="1334"/>
      <c r="AA12" s="1334"/>
      <c r="AB12" s="1334"/>
      <c r="AC12" s="1334"/>
      <c r="AD12" s="1334"/>
      <c r="AE12" s="1334"/>
      <c r="AF12" s="1334"/>
      <c r="AG12" s="1334"/>
      <c r="AH12" s="1334"/>
      <c r="AI12" s="1334"/>
      <c r="AJ12" s="1334"/>
      <c r="AK12" s="1334"/>
      <c r="AL12" s="1334"/>
      <c r="AM12" s="1334"/>
      <c r="AN12" s="1334"/>
      <c r="AO12" s="1334"/>
      <c r="AP12" s="1334"/>
      <c r="AQ12" s="1334"/>
      <c r="AR12" s="1334"/>
      <c r="AS12" s="1334"/>
      <c r="AU12" s="799"/>
      <c r="AV12" s="799" t="str">
        <f>IF(T12="","",T12)</f>
        <v>Добавить централизованную систему для дифференциации</v>
      </c>
      <c r="AW12" s="799"/>
      <c r="AX12" s="799"/>
      <c r="AY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438</v>
      </c>
      <c r="U13" s="1334"/>
      <c r="V13" s="1334"/>
      <c r="W13" s="1334"/>
      <c r="X13" s="1334"/>
      <c r="Y13" s="1334"/>
      <c r="Z13" s="1334"/>
      <c r="AA13" s="1334"/>
      <c r="AB13" s="1334"/>
      <c r="AC13" s="1334"/>
      <c r="AD13" s="1334"/>
      <c r="AE13" s="1334"/>
      <c r="AF13" s="1334"/>
      <c r="AG13" s="1334"/>
      <c r="AH13" s="1334"/>
      <c r="AI13" s="1334"/>
      <c r="AJ13" s="1334"/>
      <c r="AK13" s="1334"/>
      <c r="AL13" s="1334"/>
      <c r="AM13" s="1334"/>
      <c r="AN13" s="1334"/>
      <c r="AO13" s="1334"/>
      <c r="AP13" s="1334"/>
      <c r="AQ13" s="1334"/>
      <c r="AR13" s="1334"/>
      <c r="AS13" s="1334"/>
      <c r="AU13" s="510"/>
      <c r="AV13" s="510" t="str">
        <f>IF(T13="","",T13)</f>
        <v>Добавить территорию для дифференциации</v>
      </c>
      <c r="AW13" s="510"/>
      <c r="AX13" s="510"/>
      <c r="AY13" s="521">
        <v>0</v>
      </c>
    </row>
    <row customHeight="1" ht="14.25" hidden="1">
      <c r="AF14" s="337"/>
      <c r="AQ14" s="337"/>
      <c r="AY14" s="1165">
        <v>0</v>
      </c>
    </row>
    <row customHeight="1" ht="14.25" hidden="1">
      <c r="AG15" s="1370"/>
      <c r="AH15" s="1370"/>
      <c r="AI15" s="1370"/>
      <c r="AJ15" s="1370"/>
      <c r="AK15" s="1370"/>
      <c r="AL15" s="1370"/>
      <c r="AM15" s="1371"/>
      <c r="AN15" s="2277"/>
      <c r="AO15" s="2278" t="s">
        <v>66</v>
      </c>
      <c r="AP15" s="2277"/>
      <c r="AQ15" s="2278" t="s">
        <v>66</v>
      </c>
      <c r="AY15" s="1165">
        <v>0</v>
      </c>
    </row>
    <row customHeight="1" ht="14.25" hidden="1">
      <c r="AG16" s="1370"/>
      <c r="AH16" s="1370"/>
      <c r="AI16" s="1370"/>
      <c r="AJ16" s="1370"/>
      <c r="AK16" s="1370"/>
      <c r="AL16" s="1370"/>
      <c r="AM16" s="338" t="str">
        <f>AN15&amp;"-"&amp;AP15</f>
        <v>-</v>
      </c>
      <c r="AN16" s="2278"/>
      <c r="AO16" s="2278"/>
      <c r="AP16" s="2278"/>
      <c r="AQ16" s="2278"/>
      <c r="AY16" s="1165">
        <v>0</v>
      </c>
    </row>
    <row customHeight="1" ht="14.25" hidden="1">
      <c r="AQ17" s="337"/>
      <c r="AY17" s="1165">
        <v>0</v>
      </c>
    </row>
    <row s="1376" customFormat="1" customHeight="1" ht="22.5" hidden="1">
      <c r="L18" s="1488"/>
      <c r="M18" s="1372"/>
      <c r="N18" s="1372"/>
      <c r="O18" s="1377" t="s">
        <v>439</v>
      </c>
      <c r="P18" s="1372"/>
      <c r="Q18" s="1381"/>
      <c r="R18" s="1381"/>
      <c r="S18" s="739"/>
      <c r="W18" s="1376"/>
      <c r="X18" s="1376"/>
      <c r="Y18" s="1376"/>
      <c r="Z18" s="1376"/>
      <c r="AA18" s="1376"/>
      <c r="AC18" s="1377"/>
      <c r="AE18" s="1377"/>
      <c r="AF18" s="1376"/>
      <c r="AH18" s="1376"/>
      <c r="AI18" s="1376"/>
      <c r="AJ18" s="1376"/>
      <c r="AK18" s="1376"/>
      <c r="AL18" s="1376"/>
      <c r="AN18" s="1377"/>
      <c r="AP18" s="1377"/>
      <c r="AQ18" s="1376"/>
      <c r="AT18" s="521"/>
      <c r="AU18" s="521"/>
      <c r="AV18" s="521"/>
      <c r="AW18" s="521"/>
      <c r="AX18" s="521"/>
      <c r="AY18" s="1170">
        <v>0</v>
      </c>
    </row>
    <row s="1376" customFormat="1" customHeight="1" ht="14.25" hidden="1">
      <c r="L19" s="1488"/>
      <c r="M19" s="1372"/>
      <c r="N19" s="1372"/>
      <c r="O19" s="1372"/>
      <c r="P19" s="1372"/>
      <c r="Q19" s="1381"/>
      <c r="R19" s="1381"/>
      <c r="S19" s="739"/>
      <c r="W19" s="1376"/>
      <c r="X19" s="1376"/>
      <c r="Y19" s="1376"/>
      <c r="Z19" s="1376"/>
      <c r="AA19" s="1376"/>
      <c r="AF19" s="1376"/>
      <c r="AH19" s="1376"/>
      <c r="AI19" s="1376"/>
      <c r="AJ19" s="1376"/>
      <c r="AK19" s="1376"/>
      <c r="AL19" s="1376"/>
      <c r="AQ19" s="1376"/>
      <c r="AT19" s="521"/>
      <c r="AU19" s="521"/>
      <c r="AV19" s="521"/>
      <c r="AW19" s="521"/>
      <c r="AX19" s="521"/>
      <c r="AY19" s="1170">
        <v>0</v>
      </c>
    </row>
    <row s="1376" customFormat="1" customHeight="1" ht="12" hidden="1">
      <c r="L20" s="1488"/>
      <c r="M20" s="1372"/>
      <c r="N20" s="1372"/>
      <c r="O20" s="1374" t="s">
        <v>440</v>
      </c>
      <c r="P20" s="1372"/>
      <c r="Q20" s="1452"/>
      <c r="R20" s="1452"/>
      <c r="S20" s="739"/>
      <c r="T20" s="1170" t="s">
        <v>441</v>
      </c>
      <c r="W20" s="1376"/>
      <c r="X20" s="1376"/>
      <c r="Y20" s="1376"/>
      <c r="Z20" s="1376"/>
      <c r="AA20" s="1376"/>
      <c r="AD20" s="196" t="s">
        <v>442</v>
      </c>
      <c r="AF20" s="196" t="s">
        <v>443</v>
      </c>
      <c r="AG20" s="1170" t="s">
        <v>441</v>
      </c>
      <c r="AH20" s="1376"/>
      <c r="AI20" s="1376"/>
      <c r="AJ20" s="1376"/>
      <c r="AK20" s="1376"/>
      <c r="AL20" s="1376"/>
      <c r="AO20" s="196" t="s">
        <v>444</v>
      </c>
      <c r="AQ20" s="196" t="s">
        <v>443</v>
      </c>
      <c r="AY20" s="1170">
        <v>0</v>
      </c>
    </row>
    <row customHeight="1" ht="14.25" hidden="1">
      <c r="O21" s="1374"/>
      <c r="AY21" s="1165">
        <v>0</v>
      </c>
    </row>
    <row customHeight="1" ht="14.25" hidden="1">
      <c r="O22" s="1374"/>
      <c r="AY22" s="1165">
        <v>0</v>
      </c>
    </row>
    <row customHeight="1" ht="14.699999999999998">
      <c r="Q23" s="386"/>
      <c r="R23" s="386"/>
      <c r="S23" s="1285"/>
      <c r="T23" s="373"/>
      <c r="U23" s="373"/>
      <c r="V23" s="519"/>
      <c r="W23" s="1645"/>
      <c r="X23" s="1645"/>
      <c r="Y23" s="1645"/>
      <c r="Z23" s="1645"/>
      <c r="AA23" s="1645"/>
      <c r="AB23" s="519"/>
      <c r="AC23" s="519"/>
      <c r="AD23" s="519"/>
      <c r="AE23" s="519"/>
      <c r="AF23" s="519"/>
      <c r="AG23" s="519"/>
      <c r="AH23" s="1645"/>
      <c r="AI23" s="1645"/>
      <c r="AJ23" s="1645"/>
      <c r="AK23" s="1645"/>
      <c r="AL23" s="1645"/>
      <c r="AM23" s="519"/>
      <c r="AN23" s="519"/>
      <c r="AO23" s="519"/>
      <c r="AP23" s="519"/>
      <c r="AQ23" s="519"/>
      <c r="AY23" s="1165">
        <v>14</v>
      </c>
    </row>
    <row customHeight="1" ht="26.25">
      <c r="Q24" s="386"/>
      <c r="R24" s="386"/>
      <c r="S24" s="225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8"/>
      <c r="U24" s="2258"/>
      <c r="V24" s="2258"/>
      <c r="W24" s="2258"/>
      <c r="X24" s="2258"/>
      <c r="Y24" s="2258"/>
      <c r="Z24" s="2258"/>
      <c r="AA24" s="2258"/>
      <c r="AB24" s="2258"/>
      <c r="AC24" s="2258"/>
      <c r="AD24" s="2258"/>
      <c r="AE24" s="2258"/>
      <c r="AF24" s="2258"/>
      <c r="AG24" s="2258"/>
      <c r="AH24" s="2258"/>
      <c r="AI24" s="2258"/>
      <c r="AJ24" s="2258"/>
      <c r="AK24" s="2258"/>
      <c r="AL24" s="2258"/>
      <c r="AM24" s="2258"/>
      <c r="AN24" s="2258"/>
      <c r="AO24" s="2258"/>
      <c r="AP24" s="2258"/>
      <c r="AQ24" s="1253"/>
      <c r="AY24" s="1165">
        <v>25</v>
      </c>
    </row>
    <row customHeight="1" ht="14.699999999999998">
      <c r="Q25" s="386"/>
      <c r="R25" s="386"/>
      <c r="S25" s="2259" t="str">
        <f>IF(org=0,"Не определено",org)</f>
        <v>АО «ДГК» СП «Нерюнгринская ГРЭС»</v>
      </c>
      <c r="T25" s="2259"/>
      <c r="U25" s="2259"/>
      <c r="V25" s="2259"/>
      <c r="W25" s="2259"/>
      <c r="X25" s="2259"/>
      <c r="Y25" s="2259"/>
      <c r="Z25" s="2259"/>
      <c r="AA25" s="2259"/>
      <c r="AB25" s="2259"/>
      <c r="AC25" s="2259"/>
      <c r="AD25" s="2259"/>
      <c r="AE25" s="2259"/>
      <c r="AF25" s="2259"/>
      <c r="AG25" s="2259"/>
      <c r="AH25" s="2259"/>
      <c r="AI25" s="2259"/>
      <c r="AJ25" s="2259"/>
      <c r="AK25" s="2259"/>
      <c r="AL25" s="2259"/>
      <c r="AM25" s="2259"/>
      <c r="AN25" s="2259"/>
      <c r="AO25" s="2259"/>
      <c r="AP25" s="2259"/>
      <c r="AQ25" s="1253"/>
      <c r="AY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332"/>
      <c r="AK26" s="332"/>
      <c r="AL26" s="332"/>
      <c r="AM26" s="332"/>
      <c r="AN26" s="332"/>
      <c r="AO26" s="332"/>
      <c r="AP26" s="332"/>
      <c r="AQ26" s="332"/>
      <c r="AR26" s="519"/>
      <c r="AY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2261"/>
      <c r="AC27" s="2261"/>
      <c r="AD27" s="2261"/>
      <c r="AE27" s="2261"/>
      <c r="AF27" s="336"/>
      <c r="AG27" s="2261" t="str">
        <f>IF(TITLE_NAME_OR_PR_CHANGE="",IF(TITLE_NAME_OR_PR="","",TITLE_NAME_OR_PR),TITLE_NAME_OR_PR_CHANGE)</f>
        <v/>
      </c>
      <c r="AH27" s="2261"/>
      <c r="AI27" s="2261"/>
      <c r="AJ27" s="2261"/>
      <c r="AK27" s="2261"/>
      <c r="AL27" s="2261"/>
      <c r="AM27" s="2261"/>
      <c r="AN27" s="2261"/>
      <c r="AO27" s="2261"/>
      <c r="AP27" s="2261"/>
      <c r="AQ27" s="336"/>
      <c r="AR27" s="336"/>
      <c r="AS27" s="290"/>
      <c r="AT27" s="378"/>
      <c r="AU27" s="378"/>
      <c r="AV27" s="378"/>
      <c r="AW27" s="378"/>
      <c r="AX27" s="378"/>
      <c r="AY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445</v>
      </c>
      <c r="T28" s="2260"/>
      <c r="U28" s="1382"/>
      <c r="V28" s="2274" t="str">
        <f>IF(TITLE_DATE_PR_CHANGE="",IF(TITLE_DATE_PR="","",TITLE_DATE_PR),TITLE_DATE_PR_CHANGE)</f>
        <v/>
      </c>
      <c r="W28" s="2274"/>
      <c r="X28" s="2274"/>
      <c r="Y28" s="2274"/>
      <c r="Z28" s="2274"/>
      <c r="AA28" s="2274"/>
      <c r="AB28" s="2274"/>
      <c r="AC28" s="2274"/>
      <c r="AD28" s="2274"/>
      <c r="AE28" s="2274"/>
      <c r="AF28" s="336"/>
      <c r="AG28" s="2274" t="str">
        <f>IF(TITLE_DATE_PR_CHANGE="",IF(TITLE_DATE_PR="","",TITLE_DATE_PR),TITLE_DATE_PR_CHANGE)</f>
        <v/>
      </c>
      <c r="AH28" s="2274"/>
      <c r="AI28" s="2274"/>
      <c r="AJ28" s="2274"/>
      <c r="AK28" s="2274"/>
      <c r="AL28" s="2274"/>
      <c r="AM28" s="2274"/>
      <c r="AN28" s="2274"/>
      <c r="AO28" s="2274"/>
      <c r="AP28" s="2274"/>
      <c r="AQ28" s="336"/>
      <c r="AR28" s="336"/>
      <c r="AS28" s="290"/>
      <c r="AT28" s="378"/>
      <c r="AU28" s="378"/>
      <c r="AV28" s="378"/>
      <c r="AW28" s="378"/>
      <c r="AX28" s="378"/>
      <c r="AY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446</v>
      </c>
      <c r="T29" s="2260"/>
      <c r="U29" s="1382"/>
      <c r="V29" s="2261" t="str">
        <f>IF(TITLE_NUMBER_PR_CHANGE="",IF(TITLE_NUMBER_PR="","",TITLE_NUMBER_PR),TITLE_NUMBER_PR_CHANGE)</f>
        <v/>
      </c>
      <c r="W29" s="2261"/>
      <c r="X29" s="2261"/>
      <c r="Y29" s="2261"/>
      <c r="Z29" s="2261"/>
      <c r="AA29" s="2261"/>
      <c r="AB29" s="2261"/>
      <c r="AC29" s="2261"/>
      <c r="AD29" s="2261"/>
      <c r="AE29" s="2261"/>
      <c r="AF29" s="336"/>
      <c r="AG29" s="2261" t="str">
        <f>IF(TITLE_NUMBER_PR_CHANGE="",IF(TITLE_NUMBER_PR="","",TITLE_NUMBER_PR),TITLE_NUMBER_PR_CHANGE)</f>
        <v/>
      </c>
      <c r="AH29" s="2261"/>
      <c r="AI29" s="2261"/>
      <c r="AJ29" s="2261"/>
      <c r="AK29" s="2261"/>
      <c r="AL29" s="2261"/>
      <c r="AM29" s="2261"/>
      <c r="AN29" s="2261"/>
      <c r="AO29" s="2261"/>
      <c r="AP29" s="2261"/>
      <c r="AQ29" s="336"/>
      <c r="AR29" s="336"/>
      <c r="AS29" s="290"/>
      <c r="AT29" s="378"/>
      <c r="AU29" s="378"/>
      <c r="AV29" s="378"/>
      <c r="AW29" s="378"/>
      <c r="AX29" s="378"/>
      <c r="AY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2261"/>
      <c r="AC30" s="2261"/>
      <c r="AD30" s="2261"/>
      <c r="AE30" s="2261"/>
      <c r="AF30" s="336"/>
      <c r="AG30" s="2261" t="str">
        <f>IF(TITLE_IST_PUB_CHANGE="",IF(TITLE_IST_PUB="","",TITLE_IST_PUB),TITLE_IST_PUB_CHANGE)</f>
        <v/>
      </c>
      <c r="AH30" s="2261"/>
      <c r="AI30" s="2261"/>
      <c r="AJ30" s="2261"/>
      <c r="AK30" s="2261"/>
      <c r="AL30" s="2261"/>
      <c r="AM30" s="2261"/>
      <c r="AN30" s="2261"/>
      <c r="AO30" s="2261"/>
      <c r="AP30" s="2261"/>
      <c r="AQ30" s="336"/>
      <c r="AR30" s="336"/>
      <c r="AS30" s="290"/>
      <c r="AT30" s="378"/>
      <c r="AU30" s="378"/>
      <c r="AV30" s="378"/>
      <c r="AW30" s="378"/>
      <c r="AX30" s="378"/>
      <c r="AY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332"/>
      <c r="AK31" s="332"/>
      <c r="AL31" s="332"/>
      <c r="AM31" s="332"/>
      <c r="AN31" s="332"/>
      <c r="AO31" s="332"/>
      <c r="AP31" s="332"/>
      <c r="AQ31" s="332"/>
      <c r="AR31" s="519"/>
      <c r="AY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447</v>
      </c>
      <c r="T32" s="2260"/>
      <c r="U32" s="1382"/>
      <c r="V32" s="2274" t="str">
        <f>IF(TITLE_DATE_PR_CHANGE="",IF(TITLE_DATE_PR="","",TITLE_DATE_PR),TITLE_DATE_PR_CHANGE)</f>
        <v/>
      </c>
      <c r="W32" s="2274"/>
      <c r="X32" s="2274"/>
      <c r="Y32" s="2274"/>
      <c r="Z32" s="2274"/>
      <c r="AA32" s="2274"/>
      <c r="AB32" s="2274"/>
      <c r="AC32" s="2274"/>
      <c r="AD32" s="2274"/>
      <c r="AE32" s="2274"/>
      <c r="AF32" s="336"/>
      <c r="AG32" s="2274" t="str">
        <f>IF(TITLE_DATE_PR_CHANGE="",IF(TITLE_DATE_PR="","",TITLE_DATE_PR),TITLE_DATE_PR_CHANGE)</f>
        <v/>
      </c>
      <c r="AH32" s="2274"/>
      <c r="AI32" s="2274"/>
      <c r="AJ32" s="2274"/>
      <c r="AK32" s="2274"/>
      <c r="AL32" s="2274"/>
      <c r="AM32" s="2274"/>
      <c r="AN32" s="2274"/>
      <c r="AO32" s="2274"/>
      <c r="AP32" s="2274"/>
      <c r="AQ32" s="336"/>
      <c r="AR32" s="336"/>
      <c r="AS32" s="290"/>
      <c r="AT32" s="378"/>
      <c r="AU32" s="378"/>
      <c r="AV32" s="378"/>
      <c r="AW32" s="378"/>
      <c r="AX32" s="378"/>
      <c r="AY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448</v>
      </c>
      <c r="T33" s="2260"/>
      <c r="U33" s="1382"/>
      <c r="V33" s="2261" t="str">
        <f>IF(TITLE_NUMBER_PR_CHANGE="",IF(TITLE_NUMBER_PR="","",TITLE_NUMBER_PR),TITLE_NUMBER_PR_CHANGE)</f>
        <v/>
      </c>
      <c r="W33" s="2261"/>
      <c r="X33" s="2261"/>
      <c r="Y33" s="2261"/>
      <c r="Z33" s="2261"/>
      <c r="AA33" s="2261"/>
      <c r="AB33" s="2261"/>
      <c r="AC33" s="2261"/>
      <c r="AD33" s="2261"/>
      <c r="AE33" s="2261"/>
      <c r="AF33" s="336"/>
      <c r="AG33" s="2261" t="str">
        <f>IF(TITLE_NUMBER_PR_CHANGE="",IF(TITLE_NUMBER_PR="","",TITLE_NUMBER_PR),TITLE_NUMBER_PR_CHANGE)</f>
        <v/>
      </c>
      <c r="AH33" s="2261"/>
      <c r="AI33" s="2261"/>
      <c r="AJ33" s="2261"/>
      <c r="AK33" s="2261"/>
      <c r="AL33" s="2261"/>
      <c r="AM33" s="2261"/>
      <c r="AN33" s="2261"/>
      <c r="AO33" s="2261"/>
      <c r="AP33" s="2261"/>
      <c r="AQ33" s="336"/>
      <c r="AR33" s="336"/>
      <c r="AS33" s="290"/>
      <c r="AT33" s="378"/>
      <c r="AU33" s="378"/>
      <c r="AV33" s="378"/>
      <c r="AW33" s="378"/>
      <c r="AX33" s="378"/>
      <c r="AY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98"/>
      <c r="V34" s="336"/>
      <c r="W34" s="1645"/>
      <c r="X34" s="1645"/>
      <c r="Y34" s="1645"/>
      <c r="Z34" s="1645"/>
      <c r="AA34" s="1645"/>
      <c r="AB34" s="336"/>
      <c r="AC34" s="336"/>
      <c r="AD34" s="336"/>
      <c r="AE34" s="336"/>
      <c r="AF34" s="288" t="s">
        <v>449</v>
      </c>
      <c r="AG34" s="336"/>
      <c r="AH34" s="1645"/>
      <c r="AI34" s="1645"/>
      <c r="AJ34" s="1645"/>
      <c r="AK34" s="1645"/>
      <c r="AL34" s="1645"/>
      <c r="AM34" s="336"/>
      <c r="AN34" s="336"/>
      <c r="AO34" s="336"/>
      <c r="AP34" s="336"/>
      <c r="AQ34" s="288" t="s">
        <v>449</v>
      </c>
      <c r="AT34" s="378"/>
      <c r="AU34" s="378"/>
      <c r="AV34" s="378"/>
      <c r="AW34" s="378"/>
      <c r="AX34" s="378"/>
      <c r="AY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J35" s="2262"/>
      <c r="AK35" s="2262"/>
      <c r="AL35" s="2262"/>
      <c r="AM35" s="2262"/>
      <c r="AN35" s="2262"/>
      <c r="AO35" s="2262"/>
      <c r="AP35" s="2262"/>
      <c r="AQ35" s="2262"/>
      <c r="AY35" s="1165">
        <v>14</v>
      </c>
    </row>
    <row customHeight="1" ht="14.699999999999998">
      <c r="Q36" s="386"/>
      <c r="R36" s="386"/>
      <c r="S36" s="2137" t="s">
        <v>322</v>
      </c>
      <c r="T36" s="2137"/>
      <c r="U36" s="2137"/>
      <c r="V36" s="2137"/>
      <c r="W36" s="2137"/>
      <c r="X36" s="2137"/>
      <c r="Y36" s="2137"/>
      <c r="Z36" s="2137"/>
      <c r="AA36" s="2137"/>
      <c r="AB36" s="2137"/>
      <c r="AC36" s="2137"/>
      <c r="AD36" s="2137"/>
      <c r="AE36" s="2137"/>
      <c r="AF36" s="2137"/>
      <c r="AG36" s="2137"/>
      <c r="AH36" s="2137"/>
      <c r="AI36" s="2137"/>
      <c r="AJ36" s="2137"/>
      <c r="AK36" s="2137"/>
      <c r="AL36" s="2137"/>
      <c r="AM36" s="2137"/>
      <c r="AN36" s="2137"/>
      <c r="AO36" s="2137"/>
      <c r="AP36" s="2137"/>
      <c r="AQ36" s="2137"/>
      <c r="AR36" s="2137"/>
      <c r="AS36" s="2137" t="s">
        <v>323</v>
      </c>
      <c r="AY36" s="1165">
        <v>14</v>
      </c>
    </row>
    <row customHeight="1" ht="14.699999999999998">
      <c r="Q37" s="386"/>
      <c r="R37" s="386"/>
      <c r="S37" s="2283" t="s">
        <v>88</v>
      </c>
      <c r="T37" s="2219" t="s">
        <v>450</v>
      </c>
      <c r="U37" s="311"/>
      <c r="V37" s="2284" t="s">
        <v>451</v>
      </c>
      <c r="W37" s="2285"/>
      <c r="X37" s="2285"/>
      <c r="Y37" s="2285"/>
      <c r="Z37" s="2285"/>
      <c r="AA37" s="2285"/>
      <c r="AB37" s="2285"/>
      <c r="AC37" s="2285"/>
      <c r="AD37" s="2285"/>
      <c r="AE37" s="2286"/>
      <c r="AF37" s="2287" t="s">
        <v>452</v>
      </c>
      <c r="AG37" s="2284" t="s">
        <v>451</v>
      </c>
      <c r="AH37" s="2285"/>
      <c r="AI37" s="2285"/>
      <c r="AJ37" s="2285"/>
      <c r="AK37" s="2285"/>
      <c r="AL37" s="2285"/>
      <c r="AM37" s="2285"/>
      <c r="AN37" s="2285"/>
      <c r="AO37" s="2285"/>
      <c r="AP37" s="2286"/>
      <c r="AQ37" s="2287" t="s">
        <v>453</v>
      </c>
      <c r="AR37" s="2290" t="s">
        <v>454</v>
      </c>
      <c r="AS37" s="2137"/>
      <c r="AY37" s="1165">
        <v>14</v>
      </c>
    </row>
    <row s="1645" customFormat="1" customHeight="1" ht="19.95">
      <c r="A38" s="1376"/>
      <c r="B38" s="1376"/>
      <c r="C38" s="1376"/>
      <c r="D38" s="1376"/>
      <c r="E38" s="1376"/>
      <c r="F38" s="1376"/>
      <c r="G38" s="1376"/>
      <c r="H38" s="1376"/>
      <c r="I38" s="1376"/>
      <c r="J38" s="1376"/>
      <c r="K38" s="1376"/>
      <c r="L38" s="1990"/>
      <c r="M38" s="1372"/>
      <c r="N38" s="1372"/>
      <c r="O38" s="1372"/>
      <c r="P38" s="1991"/>
      <c r="Q38" s="386"/>
      <c r="R38" s="386"/>
      <c r="S38" s="2283"/>
      <c r="T38" s="2219"/>
      <c r="U38" s="1041"/>
      <c r="V38" s="2376" t="s">
        <v>554</v>
      </c>
      <c r="W38" s="2375" t="s">
        <v>555</v>
      </c>
      <c r="X38" s="2375"/>
      <c r="Y38" s="2375"/>
      <c r="Z38" s="2375" t="s">
        <v>556</v>
      </c>
      <c r="AA38" s="2375"/>
      <c r="AB38" s="2375"/>
      <c r="AC38" s="2304" t="s">
        <v>458</v>
      </c>
      <c r="AD38" s="2323"/>
      <c r="AE38" s="2324"/>
      <c r="AF38" s="2288"/>
      <c r="AG38" s="2376" t="s">
        <v>554</v>
      </c>
      <c r="AH38" s="2375" t="s">
        <v>555</v>
      </c>
      <c r="AI38" s="2375"/>
      <c r="AJ38" s="2375"/>
      <c r="AK38" s="2375" t="s">
        <v>556</v>
      </c>
      <c r="AL38" s="2375"/>
      <c r="AM38" s="2375"/>
      <c r="AN38" s="2304" t="s">
        <v>458</v>
      </c>
      <c r="AO38" s="2323"/>
      <c r="AP38" s="2324"/>
      <c r="AQ38" s="2288"/>
      <c r="AR38" s="2291"/>
      <c r="AS38" s="2137"/>
      <c r="AT38" s="1646"/>
      <c r="AU38" s="1646"/>
      <c r="AV38" s="1646"/>
      <c r="AW38" s="1646"/>
      <c r="AX38" s="1646"/>
      <c r="AY38" s="1641">
        <v>19</v>
      </c>
    </row>
    <row customHeight="1" ht="19.95">
      <c r="Q39" s="386"/>
      <c r="R39" s="386"/>
      <c r="S39" s="2283"/>
      <c r="T39" s="2219"/>
      <c r="U39" s="1041"/>
      <c r="V39" s="2376"/>
      <c r="W39" s="2375" t="s">
        <v>557</v>
      </c>
      <c r="X39" s="2375" t="s">
        <v>558</v>
      </c>
      <c r="Y39" s="2375"/>
      <c r="Z39" s="2375" t="s">
        <v>559</v>
      </c>
      <c r="AA39" s="2375" t="s">
        <v>558</v>
      </c>
      <c r="AB39" s="2375"/>
      <c r="AC39" s="2305"/>
      <c r="AD39" s="2325"/>
      <c r="AE39" s="2326"/>
      <c r="AF39" s="2288"/>
      <c r="AG39" s="2376"/>
      <c r="AH39" s="2375" t="s">
        <v>557</v>
      </c>
      <c r="AI39" s="2375" t="s">
        <v>558</v>
      </c>
      <c r="AJ39" s="2375"/>
      <c r="AK39" s="2375" t="s">
        <v>559</v>
      </c>
      <c r="AL39" s="2375" t="s">
        <v>558</v>
      </c>
      <c r="AM39" s="2375"/>
      <c r="AN39" s="2305"/>
      <c r="AO39" s="2325"/>
      <c r="AP39" s="2326"/>
      <c r="AQ39" s="2288"/>
      <c r="AR39" s="2291"/>
      <c r="AS39" s="2137"/>
      <c r="AY39" s="1165">
        <v>19</v>
      </c>
    </row>
    <row customHeight="1" ht="61.949999999999996">
      <c r="A40" s="1380"/>
      <c r="B40" s="1380" t="s">
        <v>159</v>
      </c>
      <c r="C40" s="1380" t="s">
        <v>160</v>
      </c>
      <c r="D40" s="1380" t="s">
        <v>161</v>
      </c>
      <c r="E40" s="1374" t="s">
        <v>459</v>
      </c>
      <c r="F40" s="1374" t="s">
        <v>460</v>
      </c>
      <c r="G40" s="1374" t="s">
        <v>461</v>
      </c>
      <c r="H40" s="1374"/>
      <c r="I40" s="1374" t="s">
        <v>512</v>
      </c>
      <c r="J40" s="1374" t="s">
        <v>464</v>
      </c>
      <c r="K40" s="1374" t="s">
        <v>513</v>
      </c>
      <c r="L40" s="1374" t="s">
        <v>440</v>
      </c>
      <c r="Q40" s="386"/>
      <c r="R40" s="386"/>
      <c r="S40" s="2283"/>
      <c r="T40" s="2219"/>
      <c r="U40" s="312"/>
      <c r="V40" s="2376"/>
      <c r="W40" s="2375"/>
      <c r="X40" s="1993" t="s">
        <v>560</v>
      </c>
      <c r="Y40" s="1993" t="s">
        <v>561</v>
      </c>
      <c r="Z40" s="2375"/>
      <c r="AA40" s="1993" t="s">
        <v>562</v>
      </c>
      <c r="AB40" s="1993" t="s">
        <v>563</v>
      </c>
      <c r="AC40" s="1499" t="s">
        <v>468</v>
      </c>
      <c r="AD40" s="2280" t="s">
        <v>469</v>
      </c>
      <c r="AE40" s="2281"/>
      <c r="AF40" s="2289"/>
      <c r="AG40" s="2376"/>
      <c r="AH40" s="2375"/>
      <c r="AI40" s="1993" t="s">
        <v>560</v>
      </c>
      <c r="AJ40" s="1993" t="s">
        <v>561</v>
      </c>
      <c r="AK40" s="2375"/>
      <c r="AL40" s="1993" t="s">
        <v>562</v>
      </c>
      <c r="AM40" s="1993" t="s">
        <v>563</v>
      </c>
      <c r="AN40" s="1499" t="s">
        <v>468</v>
      </c>
      <c r="AO40" s="2280" t="s">
        <v>469</v>
      </c>
      <c r="AP40" s="2281"/>
      <c r="AQ40" s="2289"/>
      <c r="AR40" s="2292"/>
      <c r="AS40" s="2137"/>
      <c r="AY40" s="1165">
        <v>59</v>
      </c>
    </row>
    <row s="1651" customFormat="1" customHeight="1" ht="11.25" hidden="1">
      <c r="A41" s="1380"/>
      <c r="B41" s="1380"/>
      <c r="C41" s="1380"/>
      <c r="D41" s="1380"/>
      <c r="E41" s="1380"/>
      <c r="F41" s="1380"/>
      <c r="G41" s="1380"/>
      <c r="H41" s="1380"/>
      <c r="I41" s="1380"/>
      <c r="J41" s="1380"/>
      <c r="K41" s="1380"/>
      <c r="L41" s="1374"/>
      <c r="M41" s="1372"/>
      <c r="N41" s="1372"/>
      <c r="O41" s="1372"/>
      <c r="P41" s="1256"/>
      <c r="Q41" s="1257"/>
      <c r="R41" s="1264">
        <v>1</v>
      </c>
      <c r="S41" s="1287" t="s">
        <v>124</v>
      </c>
      <c r="T41" s="1265" t="s">
        <v>104</v>
      </c>
      <c r="U41" s="1255" t="str">
        <f>OFFSET(U41,0,-1)</f>
        <v>2</v>
      </c>
      <c r="V41" s="1492">
        <f>OFFSET(V41,0,-1)+1</f>
        <v>3</v>
      </c>
      <c r="W41" s="1989"/>
      <c r="X41" s="1989"/>
      <c r="Y41" s="1989"/>
      <c r="Z41" s="1989"/>
      <c r="AA41" s="1989"/>
      <c r="AB41" s="1492">
        <f>OFFSET(AB41,0,-1)+1</f>
        <v>1</v>
      </c>
      <c r="AC41" s="1492">
        <f>OFFSET(AC41,0,-1)+1</f>
        <v>2</v>
      </c>
      <c r="AD41" s="2282">
        <f>OFFSET(AD41,0,-1)+1</f>
        <v>3</v>
      </c>
      <c r="AE41" s="2282"/>
      <c r="AF41" s="1492">
        <f>OFFSET(AF41,0,-2)+1</f>
        <v>4</v>
      </c>
      <c r="AG41" s="1492">
        <f>OFFSET(AG41,0,-1)+1</f>
        <v>5</v>
      </c>
      <c r="AH41" s="1989"/>
      <c r="AI41" s="1989"/>
      <c r="AJ41" s="1989"/>
      <c r="AK41" s="1989"/>
      <c r="AL41" s="1989"/>
      <c r="AM41" s="1492">
        <f>OFFSET(AM41,0,-1)+1</f>
        <v>1</v>
      </c>
      <c r="AN41" s="1492">
        <f>OFFSET(AN41,0,-1)+1</f>
        <v>2</v>
      </c>
      <c r="AO41" s="2282">
        <f>OFFSET(AO41,0,-1)+1</f>
        <v>3</v>
      </c>
      <c r="AP41" s="2282"/>
      <c r="AQ41" s="1492">
        <f>OFFSET(AQ41,0,-2)+1</f>
        <v>4</v>
      </c>
      <c r="AR41" s="1255">
        <f>OFFSET(AR41,0,-1)</f>
        <v>4</v>
      </c>
      <c r="AS41" s="1492">
        <f>OFFSET(AS41,0,-1)+1</f>
        <v>5</v>
      </c>
      <c r="AT41" s="521"/>
      <c r="AU41" s="521"/>
      <c r="AV41" s="521"/>
      <c r="AW41" s="521"/>
      <c r="AX41" s="521"/>
      <c r="AY41" s="506">
        <v>0</v>
      </c>
    </row>
    <row customHeight="1" ht="24">
      <c r="A42" s="1373" t="s">
        <v>278</v>
      </c>
      <c r="B42" s="1373"/>
      <c r="C42" s="1373"/>
      <c r="D42" s="1373"/>
      <c r="E42" s="2268">
        <v>1</v>
      </c>
      <c r="F42" s="1373"/>
      <c r="G42" s="1373"/>
      <c r="H42" s="1373"/>
      <c r="I42" s="1373"/>
      <c r="J42" s="1373"/>
      <c r="K42" s="1373"/>
      <c r="L42" s="1374"/>
      <c r="M42" s="1375"/>
      <c r="N42" s="1375"/>
      <c r="O42" s="1375"/>
      <c r="P42" s="371"/>
      <c r="Q42" s="370"/>
      <c r="R42" s="365"/>
      <c r="S42" s="1503">
        <f>INDEX(PT_DIFFERENTIATION_NUM_NTAR,MATCH(A42,PT_DIFFERENTIATION_NTAR_ID,0))</f>
        <v>0</v>
      </c>
      <c r="T42" s="308" t="s">
        <v>147</v>
      </c>
      <c r="U42" s="310"/>
      <c r="V42" s="2252"/>
      <c r="W42" s="2253"/>
      <c r="X42" s="2253"/>
      <c r="Y42" s="2253"/>
      <c r="Z42" s="2253"/>
      <c r="AA42" s="2253"/>
      <c r="AB42" s="2253"/>
      <c r="AC42" s="2253"/>
      <c r="AD42" s="2253"/>
      <c r="AE42" s="2253"/>
      <c r="AF42" s="2254"/>
      <c r="AG42" s="2252" t="str">
        <f>INDEX(PT_DIFFERENTIATION_NTAR,MATCH(A42,PT_DIFFERENTIATION_NTAR_ID,0))</f>
        <v/>
      </c>
      <c r="AH42" s="2253"/>
      <c r="AI42" s="2253"/>
      <c r="AJ42" s="2253"/>
      <c r="AK42" s="2253"/>
      <c r="AL42" s="2253"/>
      <c r="AM42" s="2253"/>
      <c r="AN42" s="2253"/>
      <c r="AO42" s="2253"/>
      <c r="AP42" s="2253"/>
      <c r="AQ42" s="2253"/>
      <c r="AR42" s="2254"/>
      <c r="AS4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10"/>
      <c r="AV42" s="510" t="str">
        <f>IF(T42="","",T42)</f>
        <v>Наименование тарифа</v>
      </c>
      <c r="AW42" s="510"/>
      <c r="AX42" s="510"/>
      <c r="AY42" s="1165">
        <v>23</v>
      </c>
    </row>
    <row customHeight="1" ht="24">
      <c r="A43" s="1373" t="s">
        <v>278</v>
      </c>
      <c r="B43" s="1373" t="s">
        <v>279</v>
      </c>
      <c r="C43" s="1373"/>
      <c r="D43" s="1373"/>
      <c r="E43" s="2269"/>
      <c r="F43" s="2268">
        <v>1</v>
      </c>
      <c r="G43" s="1373"/>
      <c r="H43" s="1373"/>
      <c r="I43" s="1373"/>
      <c r="J43" s="1373"/>
      <c r="K43" s="1373"/>
      <c r="L43" s="1374"/>
      <c r="M43" s="1375"/>
      <c r="N43" s="1375"/>
      <c r="O43" s="1375"/>
      <c r="P43" s="1497"/>
      <c r="Q43" s="362"/>
      <c r="R43" s="363"/>
      <c r="S43" s="1503" t="str">
        <f>INDEX(PT_DIFFERENTIATION_NUM_TER,MATCH(B43,PT_DIFFERENTIATION_TER_ID,0))</f>
        <v>.</v>
      </c>
      <c r="T43" s="318" t="s">
        <v>419</v>
      </c>
      <c r="U43" s="310"/>
      <c r="V43" s="2252"/>
      <c r="W43" s="2253"/>
      <c r="X43" s="2253"/>
      <c r="Y43" s="2253"/>
      <c r="Z43" s="2253"/>
      <c r="AA43" s="2253"/>
      <c r="AB43" s="2253"/>
      <c r="AC43" s="2253"/>
      <c r="AD43" s="2253"/>
      <c r="AE43" s="2253"/>
      <c r="AF43" s="2254"/>
      <c r="AG43" s="2252" t="str">
        <f>INDEX(PT_DIFFERENTIATION_TER,MATCH(B43,PT_DIFFERENTIATION_TER_ID,0))</f>
        <v/>
      </c>
      <c r="AH43" s="2253"/>
      <c r="AI43" s="2253"/>
      <c r="AJ43" s="2253"/>
      <c r="AK43" s="2253"/>
      <c r="AL43" s="2253"/>
      <c r="AM43" s="2253"/>
      <c r="AN43" s="2253"/>
      <c r="AO43" s="2253"/>
      <c r="AP43" s="2253"/>
      <c r="AQ43" s="2253"/>
      <c r="AR43" s="2254"/>
      <c r="AS43" s="1268" t="s">
        <v>420</v>
      </c>
      <c r="AU43" s="510"/>
      <c r="AV43" s="510" t="str">
        <f>IF(T43="","",T43)</f>
        <v>Территория действия тарифа</v>
      </c>
      <c r="AW43" s="510"/>
      <c r="AX43" s="510"/>
      <c r="AY43" s="1165">
        <v>23</v>
      </c>
    </row>
    <row customHeight="1" ht="24">
      <c r="A44" s="1373" t="s">
        <v>278</v>
      </c>
      <c r="B44" s="1373" t="s">
        <v>279</v>
      </c>
      <c r="C44" s="1373" t="s">
        <v>280</v>
      </c>
      <c r="D44" s="1373"/>
      <c r="E44" s="2269"/>
      <c r="F44" s="2269"/>
      <c r="G44" s="2268">
        <v>1</v>
      </c>
      <c r="H44" s="1373"/>
      <c r="I44" s="1373"/>
      <c r="J44" s="1373"/>
      <c r="K44" s="1373"/>
      <c r="L44" s="1374"/>
      <c r="M44" s="1375"/>
      <c r="N44" s="1375"/>
      <c r="O44" s="1375"/>
      <c r="P44" s="364"/>
      <c r="Q44" s="362"/>
      <c r="R44" s="363"/>
      <c r="S44" s="1503" t="str">
        <f>INDEX(PT_DIFFERENTIATION_NUM_CS,MATCH(C44,PT_DIFFERENTIATION_CS_ID,0))</f>
        <v>..</v>
      </c>
      <c r="T44" s="319" t="s">
        <v>552</v>
      </c>
      <c r="U44" s="310"/>
      <c r="V44" s="2252"/>
      <c r="W44" s="2253"/>
      <c r="X44" s="2253"/>
      <c r="Y44" s="2253"/>
      <c r="Z44" s="2253"/>
      <c r="AA44" s="2253"/>
      <c r="AB44" s="2253"/>
      <c r="AC44" s="2253"/>
      <c r="AD44" s="2253"/>
      <c r="AE44" s="2253"/>
      <c r="AF44" s="2254"/>
      <c r="AG44" s="2252" t="str">
        <f>INDEX(PT_DIFFERENTIATION_CS,MATCH(C44,PT_DIFFERENTIATION_CS_ID,0))</f>
        <v/>
      </c>
      <c r="AH44" s="2253"/>
      <c r="AI44" s="2253"/>
      <c r="AJ44" s="2253"/>
      <c r="AK44" s="2253"/>
      <c r="AL44" s="2253"/>
      <c r="AM44" s="2253"/>
      <c r="AN44" s="2253"/>
      <c r="AO44" s="2253"/>
      <c r="AP44" s="2253"/>
      <c r="AQ44" s="2253"/>
      <c r="AR44" s="2254"/>
      <c r="AS44" s="1268" t="s">
        <v>553</v>
      </c>
      <c r="AU44" s="510"/>
      <c r="AV44" s="510" t="str">
        <f>IF(T44="","",T44)</f>
        <v>Наименование централизованной системы горячего водоснабжения</v>
      </c>
      <c r="AW44" s="510"/>
      <c r="AX44" s="510"/>
      <c r="AY44" s="1165">
        <v>23</v>
      </c>
    </row>
    <row customHeight="1" ht="24">
      <c r="A45" s="1373" t="s">
        <v>278</v>
      </c>
      <c r="B45" s="1373" t="s">
        <v>279</v>
      </c>
      <c r="C45" s="1373" t="s">
        <v>280</v>
      </c>
      <c r="D45" s="1373" t="s">
        <v>565</v>
      </c>
      <c r="E45" s="2269"/>
      <c r="F45" s="2269"/>
      <c r="G45" s="2269"/>
      <c r="H45" s="2269"/>
      <c r="I45" s="2266" t="str">
        <f>S44&amp;".1"</f>
        <v>...1</v>
      </c>
      <c r="J45" s="1373"/>
      <c r="K45" s="1373"/>
      <c r="L45" s="1374"/>
      <c r="P45" s="2267">
        <v>1</v>
      </c>
      <c r="Q45" s="1491"/>
      <c r="R45" s="366"/>
      <c r="S45" s="1503" t="str">
        <f>$I45</f>
        <v>...1</v>
      </c>
      <c r="T45" s="295" t="s">
        <v>505</v>
      </c>
      <c r="U45" s="310"/>
      <c r="V45" s="2360"/>
      <c r="W45" s="2361"/>
      <c r="X45" s="2361"/>
      <c r="Y45" s="2361"/>
      <c r="Z45" s="2361"/>
      <c r="AA45" s="2361"/>
      <c r="AB45" s="2361"/>
      <c r="AC45" s="2361"/>
      <c r="AD45" s="2361"/>
      <c r="AE45" s="2361"/>
      <c r="AF45" s="2362"/>
      <c r="AG45" s="2363"/>
      <c r="AH45" s="2364"/>
      <c r="AI45" s="2364"/>
      <c r="AJ45" s="2364"/>
      <c r="AK45" s="2364"/>
      <c r="AL45" s="2364"/>
      <c r="AM45" s="2364"/>
      <c r="AN45" s="2364"/>
      <c r="AO45" s="2364"/>
      <c r="AP45" s="2364"/>
      <c r="AQ45" s="2364"/>
      <c r="AR45" s="2365"/>
      <c r="AS45" s="1268" t="s">
        <v>506</v>
      </c>
      <c r="AU45" s="510"/>
      <c r="AV45" s="510" t="str">
        <f>IF(T45="","",T45)</f>
        <v>Наименование признака дифференциации</v>
      </c>
      <c r="AW45" s="510"/>
      <c r="AX45" s="510"/>
      <c r="AY45" s="1165">
        <v>23</v>
      </c>
    </row>
    <row customHeight="1" ht="24">
      <c r="A46" s="1373" t="s">
        <v>278</v>
      </c>
      <c r="B46" s="1373" t="s">
        <v>279</v>
      </c>
      <c r="C46" s="1373" t="s">
        <v>280</v>
      </c>
      <c r="D46" s="1373" t="s">
        <v>565</v>
      </c>
      <c r="E46" s="2269"/>
      <c r="F46" s="2269"/>
      <c r="G46" s="2269"/>
      <c r="H46" s="2269"/>
      <c r="I46" s="2296"/>
      <c r="J46" s="2266" t="str">
        <f>I45&amp;".1"</f>
        <v>...1.1</v>
      </c>
      <c r="K46" s="1373"/>
      <c r="L46" s="1374" t="s">
        <v>428</v>
      </c>
      <c r="P46" s="2267"/>
      <c r="Q46" s="2267">
        <v>1</v>
      </c>
      <c r="R46" s="367"/>
      <c r="S46" s="1503" t="str">
        <f>$J46</f>
        <v>...1.1</v>
      </c>
      <c r="T46" s="296" t="s">
        <v>429</v>
      </c>
      <c r="U46" s="310"/>
      <c r="V46" s="2255"/>
      <c r="W46" s="2256"/>
      <c r="X46" s="2256"/>
      <c r="Y46" s="2256"/>
      <c r="Z46" s="2256"/>
      <c r="AA46" s="2256"/>
      <c r="AB46" s="2256"/>
      <c r="AC46" s="2256"/>
      <c r="AD46" s="2256"/>
      <c r="AE46" s="2256"/>
      <c r="AF46" s="2257"/>
      <c r="AG46" s="2255"/>
      <c r="AH46" s="2256"/>
      <c r="AI46" s="2256"/>
      <c r="AJ46" s="2256"/>
      <c r="AK46" s="2256"/>
      <c r="AL46" s="2256"/>
      <c r="AM46" s="2256"/>
      <c r="AN46" s="2256"/>
      <c r="AO46" s="2256"/>
      <c r="AP46" s="2256"/>
      <c r="AQ46" s="2256"/>
      <c r="AR46" s="2257"/>
      <c r="AS46" s="1317" t="s">
        <v>507</v>
      </c>
      <c r="AU46" s="510"/>
      <c r="AV46" s="510" t="str">
        <f>IF(T46="","",T46)</f>
        <v>Группа потребителей</v>
      </c>
      <c r="AW46" s="510"/>
      <c r="AX46" s="510"/>
      <c r="AY46" s="1165">
        <v>23</v>
      </c>
    </row>
    <row customHeight="1" ht="24">
      <c r="A47" s="1373" t="s">
        <v>278</v>
      </c>
      <c r="B47" s="1373" t="s">
        <v>279</v>
      </c>
      <c r="C47" s="1373" t="s">
        <v>280</v>
      </c>
      <c r="D47" s="1373" t="s">
        <v>565</v>
      </c>
      <c r="E47" s="2269"/>
      <c r="F47" s="2269"/>
      <c r="G47" s="2269"/>
      <c r="H47" s="2269"/>
      <c r="I47" s="2296"/>
      <c r="J47" s="2296"/>
      <c r="K47" s="2266" t="str">
        <f>J46&amp;".1"</f>
        <v>...1.1.1</v>
      </c>
      <c r="L47" s="1374"/>
      <c r="P47" s="2267"/>
      <c r="Q47" s="2267"/>
      <c r="R47" s="367">
        <v>1</v>
      </c>
      <c r="S47" s="1503" t="str">
        <f>$K47</f>
        <v>...1.1.1</v>
      </c>
      <c r="T47" s="1447"/>
      <c r="U47" s="310"/>
      <c r="V47" s="1370"/>
      <c r="W47" s="1370"/>
      <c r="X47" s="1370"/>
      <c r="Y47" s="1370"/>
      <c r="Z47" s="1370"/>
      <c r="AA47" s="1370"/>
      <c r="AB47" s="1371"/>
      <c r="AC47" s="2277"/>
      <c r="AD47" s="2278" t="s">
        <v>66</v>
      </c>
      <c r="AE47" s="2277"/>
      <c r="AF47" s="2278" t="s">
        <v>66</v>
      </c>
      <c r="AG47" s="761"/>
      <c r="AH47" s="761"/>
      <c r="AI47" s="761"/>
      <c r="AJ47" s="761"/>
      <c r="AK47" s="761"/>
      <c r="AL47" s="761"/>
      <c r="AM47" s="1267"/>
      <c r="AN47" s="2275"/>
      <c r="AO47" s="2117" t="s">
        <v>66</v>
      </c>
      <c r="AP47" s="2297"/>
      <c r="AQ47" s="2117" t="s">
        <v>19</v>
      </c>
      <c r="AR47" s="1448"/>
      <c r="AS4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21">
        <f>STRCHECKDATE(V48:AR48)</f>
      </c>
      <c r="AU47" s="510"/>
      <c r="AV47" s="510" t="str">
        <f>IF(T47="","",T47)</f>
        <v/>
      </c>
      <c r="AW47" s="510"/>
      <c r="AX47" s="510"/>
      <c r="AY47" s="1165">
        <v>23</v>
      </c>
    </row>
    <row customHeight="1" ht="0">
      <c r="A48" s="1373" t="s">
        <v>278</v>
      </c>
      <c r="B48" s="1373" t="s">
        <v>279</v>
      </c>
      <c r="C48" s="1373" t="s">
        <v>280</v>
      </c>
      <c r="D48" s="1373" t="s">
        <v>565</v>
      </c>
      <c r="E48" s="2269"/>
      <c r="F48" s="2269"/>
      <c r="G48" s="2269"/>
      <c r="H48" s="2269"/>
      <c r="I48" s="2296"/>
      <c r="J48" s="2296"/>
      <c r="K48" s="2266"/>
      <c r="L48" s="1374"/>
      <c r="P48" s="2267"/>
      <c r="Q48" s="2267"/>
      <c r="R48" s="367"/>
      <c r="S48" s="1500"/>
      <c r="T48" s="310"/>
      <c r="U48" s="310"/>
      <c r="V48" s="1370"/>
      <c r="W48" s="1370"/>
      <c r="X48" s="1370"/>
      <c r="Y48" s="1370"/>
      <c r="Z48" s="1370"/>
      <c r="AA48" s="1370"/>
      <c r="AB48" s="338" t="str">
        <f>AC47&amp;"-"&amp;AE47</f>
        <v>-</v>
      </c>
      <c r="AC48" s="2278"/>
      <c r="AD48" s="2278"/>
      <c r="AE48" s="2278"/>
      <c r="AF48" s="2278"/>
      <c r="AG48" s="335"/>
      <c r="AH48" s="335"/>
      <c r="AI48" s="335"/>
      <c r="AJ48" s="335"/>
      <c r="AK48" s="335"/>
      <c r="AL48" s="335"/>
      <c r="AM48" s="338" t="str">
        <f>AN47&amp;"-"&amp;AP47</f>
        <v>-</v>
      </c>
      <c r="AN48" s="2276"/>
      <c r="AO48" s="2117"/>
      <c r="AP48" s="2298"/>
      <c r="AQ48" s="2117"/>
      <c r="AR48" s="1449"/>
      <c r="AS48" s="2359"/>
      <c r="AU48" s="510"/>
      <c r="AV48" s="510" t="str">
        <f>IF(T48="","",T48)</f>
        <v/>
      </c>
      <c r="AW48" s="510"/>
      <c r="AX48" s="510"/>
      <c r="AY48" s="1165">
        <v>0</v>
      </c>
    </row>
    <row customHeight="1" ht="21">
      <c r="A49" s="1373" t="s">
        <v>278</v>
      </c>
      <c r="B49" s="1373" t="s">
        <v>279</v>
      </c>
      <c r="C49" s="1373" t="s">
        <v>280</v>
      </c>
      <c r="D49" s="1373" t="s">
        <v>565</v>
      </c>
      <c r="E49" s="2269"/>
      <c r="F49" s="2269"/>
      <c r="G49" s="2269"/>
      <c r="H49" s="2269"/>
      <c r="I49" s="2296"/>
      <c r="J49" s="2266"/>
      <c r="K49" s="1373"/>
      <c r="L49" s="1374"/>
      <c r="P49" s="2267"/>
      <c r="Q49" s="2267"/>
      <c r="R49" s="366"/>
      <c r="S49" s="1288"/>
      <c r="T49" s="297" t="s">
        <v>508</v>
      </c>
      <c r="U49" s="377"/>
      <c r="V49" s="377"/>
      <c r="W49" s="610"/>
      <c r="X49" s="610"/>
      <c r="Y49" s="610"/>
      <c r="Z49" s="610"/>
      <c r="AA49" s="610"/>
      <c r="AB49" s="377"/>
      <c r="AC49" s="377"/>
      <c r="AD49" s="377"/>
      <c r="AE49" s="377"/>
      <c r="AF49" s="377"/>
      <c r="AG49" s="377"/>
      <c r="AH49" s="610"/>
      <c r="AI49" s="610"/>
      <c r="AJ49" s="610"/>
      <c r="AK49" s="610"/>
      <c r="AL49" s="610"/>
      <c r="AM49" s="377"/>
      <c r="AN49" s="377"/>
      <c r="AO49" s="377"/>
      <c r="AP49" s="377"/>
      <c r="AQ49" s="377"/>
      <c r="AR49" s="377"/>
      <c r="AS49" s="1268" t="s">
        <v>509</v>
      </c>
      <c r="AU49" s="510"/>
      <c r="AV49" s="510" t="str">
        <f>IF(T49="","",T49)</f>
        <v>Добавить значение признака дифференциации</v>
      </c>
      <c r="AW49" s="510"/>
      <c r="AX49" s="510"/>
      <c r="AY49" s="1165">
        <v>20</v>
      </c>
    </row>
    <row customHeight="1" ht="22.049999999999997">
      <c r="A50" s="1373" t="s">
        <v>278</v>
      </c>
      <c r="B50" s="1373" t="s">
        <v>279</v>
      </c>
      <c r="C50" s="1373" t="s">
        <v>280</v>
      </c>
      <c r="D50" s="1373" t="s">
        <v>565</v>
      </c>
      <c r="E50" s="2269"/>
      <c r="F50" s="2269"/>
      <c r="G50" s="2269"/>
      <c r="H50" s="2269"/>
      <c r="I50" s="2266"/>
      <c r="J50" s="1373"/>
      <c r="K50" s="1373"/>
      <c r="L50" s="1374"/>
      <c r="P50" s="2267"/>
      <c r="Q50" s="1491"/>
      <c r="R50" s="366"/>
      <c r="S50" s="1288"/>
      <c r="T50" s="375" t="s">
        <v>434</v>
      </c>
      <c r="U50" s="377"/>
      <c r="V50" s="377"/>
      <c r="W50" s="610"/>
      <c r="X50" s="610"/>
      <c r="Y50" s="610"/>
      <c r="Z50" s="610"/>
      <c r="AA50" s="610"/>
      <c r="AB50" s="377"/>
      <c r="AC50" s="377"/>
      <c r="AD50" s="377"/>
      <c r="AE50" s="377"/>
      <c r="AF50" s="376"/>
      <c r="AG50" s="377"/>
      <c r="AH50" s="610"/>
      <c r="AI50" s="610"/>
      <c r="AJ50" s="610"/>
      <c r="AK50" s="610"/>
      <c r="AL50" s="610"/>
      <c r="AM50" s="377"/>
      <c r="AN50" s="377"/>
      <c r="AO50" s="377"/>
      <c r="AP50" s="377"/>
      <c r="AQ50" s="376"/>
      <c r="AR50" s="377"/>
      <c r="AS50" s="1450"/>
      <c r="AU50" s="510"/>
      <c r="AV50" s="510" t="str">
        <f>IF(T50="","",T50)</f>
        <v>Добавить группу потребителей</v>
      </c>
      <c r="AW50" s="510"/>
      <c r="AX50" s="510"/>
      <c r="AY50" s="1165">
        <v>21</v>
      </c>
    </row>
    <row customHeight="1" ht="22.049999999999997">
      <c r="A51" s="1373" t="s">
        <v>278</v>
      </c>
      <c r="B51" s="1373" t="s">
        <v>279</v>
      </c>
      <c r="C51" s="1373" t="s">
        <v>280</v>
      </c>
      <c r="D51" s="1373" t="s">
        <v>565</v>
      </c>
      <c r="E51" s="2269"/>
      <c r="F51" s="2269"/>
      <c r="G51" s="2269"/>
      <c r="H51" s="2268"/>
      <c r="I51" s="1373"/>
      <c r="J51" s="1373"/>
      <c r="K51" s="1373"/>
      <c r="L51" s="1374"/>
      <c r="M51" s="1375"/>
      <c r="N51" s="1375"/>
      <c r="O51" s="547"/>
      <c r="P51" s="370"/>
      <c r="Q51" s="385"/>
      <c r="R51" s="365"/>
      <c r="S51" s="1288"/>
      <c r="T51" s="382" t="s">
        <v>510</v>
      </c>
      <c r="U51" s="377"/>
      <c r="V51" s="377"/>
      <c r="W51" s="610"/>
      <c r="X51" s="610"/>
      <c r="Y51" s="610"/>
      <c r="Z51" s="610"/>
      <c r="AA51" s="610"/>
      <c r="AB51" s="377"/>
      <c r="AC51" s="377"/>
      <c r="AD51" s="377"/>
      <c r="AE51" s="377"/>
      <c r="AF51" s="376"/>
      <c r="AG51" s="377"/>
      <c r="AH51" s="610"/>
      <c r="AI51" s="610"/>
      <c r="AJ51" s="610"/>
      <c r="AK51" s="610"/>
      <c r="AL51" s="610"/>
      <c r="AM51" s="377"/>
      <c r="AN51" s="377"/>
      <c r="AO51" s="377"/>
      <c r="AP51" s="377"/>
      <c r="AQ51" s="376"/>
      <c r="AR51" s="377"/>
      <c r="AS51" s="313"/>
      <c r="AU51" s="510"/>
      <c r="AV51" s="510" t="str">
        <f>IF(T51="","",T51)</f>
        <v>Добавить наименование признака дифференциации</v>
      </c>
      <c r="AW51" s="510"/>
      <c r="AX51" s="510"/>
      <c r="AY51" s="1165">
        <v>21</v>
      </c>
    </row>
    <row s="1652" customFormat="1" customHeight="1" ht="0">
      <c r="A52" s="1353" t="s">
        <v>278</v>
      </c>
      <c r="B52" s="1353" t="s">
        <v>279</v>
      </c>
      <c r="C52" s="1324"/>
      <c r="D52" s="1324"/>
      <c r="E52" s="2269"/>
      <c r="F52" s="2268"/>
      <c r="G52" s="1324"/>
      <c r="H52" s="1324"/>
      <c r="I52" s="1324"/>
      <c r="J52" s="1324"/>
      <c r="K52" s="1324"/>
      <c r="L52" s="1504"/>
      <c r="M52" s="1331"/>
      <c r="N52" s="1331"/>
      <c r="P52" s="1326"/>
      <c r="Q52" s="1327"/>
      <c r="R52" s="1326"/>
      <c r="S52" s="1332"/>
      <c r="T52" s="1335" t="s">
        <v>437</v>
      </c>
      <c r="U52" s="1334"/>
      <c r="V52" s="1334"/>
      <c r="W52" s="1334"/>
      <c r="X52" s="1334"/>
      <c r="Y52" s="1334"/>
      <c r="Z52" s="1334"/>
      <c r="AA52" s="1334"/>
      <c r="AB52" s="1334"/>
      <c r="AC52" s="1334"/>
      <c r="AD52" s="1334"/>
      <c r="AE52" s="1334"/>
      <c r="AF52" s="1334"/>
      <c r="AG52" s="1334"/>
      <c r="AH52" s="1334"/>
      <c r="AI52" s="1334"/>
      <c r="AJ52" s="1334"/>
      <c r="AK52" s="1334"/>
      <c r="AL52" s="1334"/>
      <c r="AM52" s="1334"/>
      <c r="AN52" s="1334"/>
      <c r="AO52" s="1334"/>
      <c r="AP52" s="1334"/>
      <c r="AQ52" s="1334"/>
      <c r="AR52" s="1334"/>
      <c r="AS52" s="1334"/>
      <c r="AU52" s="799"/>
      <c r="AV52" s="799" t="str">
        <f>IF(T52="","",T52)</f>
        <v>Добавить централизованную систему для дифференциации</v>
      </c>
      <c r="AW52" s="799"/>
      <c r="AX52" s="799"/>
      <c r="AY52" s="528">
        <v>0</v>
      </c>
    </row>
    <row s="1652" customFormat="1" customHeight="1" ht="0">
      <c r="A53" s="1353" t="s">
        <v>278</v>
      </c>
      <c r="B53" s="1353"/>
      <c r="C53" s="1353"/>
      <c r="D53" s="1353"/>
      <c r="E53" s="2268"/>
      <c r="F53" s="1353"/>
      <c r="G53" s="1353"/>
      <c r="H53" s="1353"/>
      <c r="I53" s="1353"/>
      <c r="J53" s="1353"/>
      <c r="K53" s="1353"/>
      <c r="L53" s="1356"/>
      <c r="M53" s="1331"/>
      <c r="N53" s="1331"/>
      <c r="O53" s="528"/>
      <c r="P53" s="390"/>
      <c r="Q53" s="1354"/>
      <c r="R53" s="390"/>
      <c r="S53" s="1332"/>
      <c r="T53" s="1335" t="s">
        <v>438</v>
      </c>
      <c r="U53" s="1334"/>
      <c r="V53" s="1334"/>
      <c r="W53" s="1334"/>
      <c r="X53" s="1334"/>
      <c r="Y53" s="1334"/>
      <c r="Z53" s="1334"/>
      <c r="AA53" s="1334"/>
      <c r="AB53" s="1334"/>
      <c r="AC53" s="1334"/>
      <c r="AD53" s="1334"/>
      <c r="AE53" s="1334"/>
      <c r="AF53" s="1334"/>
      <c r="AG53" s="1334"/>
      <c r="AH53" s="1334"/>
      <c r="AI53" s="1334"/>
      <c r="AJ53" s="1334"/>
      <c r="AK53" s="1334"/>
      <c r="AL53" s="1334"/>
      <c r="AM53" s="1334"/>
      <c r="AN53" s="1334"/>
      <c r="AO53" s="1334"/>
      <c r="AP53" s="1334"/>
      <c r="AQ53" s="1334"/>
      <c r="AR53" s="1334"/>
      <c r="AS53" s="1334"/>
      <c r="AU53" s="510"/>
      <c r="AV53" s="510" t="str">
        <f>IF(T53="","",T53)</f>
        <v>Добавить территорию для дифференциации</v>
      </c>
      <c r="AW53" s="510"/>
      <c r="AX53" s="510"/>
      <c r="AY53" s="521">
        <v>0</v>
      </c>
    </row>
    <row s="1652" customFormat="1" customHeight="1" ht="0">
      <c r="A54" s="1324"/>
      <c r="B54" s="1324"/>
      <c r="C54" s="1324"/>
      <c r="D54" s="1324"/>
      <c r="E54" s="1353"/>
      <c r="F54" s="1324"/>
      <c r="G54" s="1324"/>
      <c r="H54" s="1324"/>
      <c r="I54" s="1324"/>
      <c r="J54" s="1324"/>
      <c r="K54" s="1324"/>
      <c r="L54" s="1504"/>
      <c r="M54" s="1331"/>
      <c r="N54" s="1331"/>
      <c r="P54" s="1326"/>
      <c r="Q54" s="1327"/>
      <c r="R54" s="1326"/>
      <c r="S54" s="1332"/>
      <c r="T54" s="1335" t="s">
        <v>470</v>
      </c>
      <c r="U54" s="1334"/>
      <c r="V54" s="1334"/>
      <c r="W54" s="1334"/>
      <c r="X54" s="1334"/>
      <c r="Y54" s="1334"/>
      <c r="Z54" s="1334"/>
      <c r="AA54" s="1334"/>
      <c r="AB54" s="1334"/>
      <c r="AC54" s="1334"/>
      <c r="AD54" s="1334"/>
      <c r="AE54" s="1334"/>
      <c r="AF54" s="1334"/>
      <c r="AG54" s="1334"/>
      <c r="AH54" s="1334"/>
      <c r="AI54" s="1334"/>
      <c r="AJ54" s="1334"/>
      <c r="AK54" s="1334"/>
      <c r="AL54" s="1334"/>
      <c r="AM54" s="1334"/>
      <c r="AN54" s="1334"/>
      <c r="AO54" s="1334"/>
      <c r="AP54" s="1334"/>
      <c r="AQ54" s="1334"/>
      <c r="AR54" s="1334"/>
      <c r="AS54" s="1334"/>
      <c r="AU54" s="799"/>
      <c r="AV54" s="799" t="str">
        <f>IF(T54="","",T54)</f>
        <v>Добавить наименование тарифа</v>
      </c>
      <c r="AW54" s="799"/>
      <c r="AX54" s="799"/>
      <c r="AY54" s="528">
        <v>0</v>
      </c>
    </row>
    <row customHeight="1" ht="11.549999999999999">
      <c r="M55" s="1170"/>
      <c r="N55" s="1170"/>
      <c r="O55" s="547"/>
      <c r="P55" s="1165"/>
      <c r="Q55" s="1165"/>
      <c r="R55" s="1165"/>
      <c r="S55" s="1165"/>
      <c r="AT55" s="1165"/>
      <c r="AU55" s="1165"/>
      <c r="AV55" s="1165"/>
      <c r="AW55" s="1165"/>
      <c r="AX55" s="1165"/>
      <c r="AY55" s="1165">
        <v>11</v>
      </c>
    </row>
    <row customHeight="1" ht="14.699999999999998">
      <c r="O56" s="547"/>
      <c r="S56" s="1263"/>
      <c r="T56" s="2295"/>
      <c r="U56" s="2295"/>
      <c r="V56" s="2295"/>
      <c r="W56" s="2295"/>
      <c r="X56" s="2295"/>
      <c r="Y56" s="2295"/>
      <c r="Z56" s="2295"/>
      <c r="AA56" s="2295"/>
      <c r="AB56" s="2295"/>
      <c r="AC56" s="2295"/>
      <c r="AD56" s="2295"/>
      <c r="AE56" s="2295"/>
      <c r="AF56" s="2295"/>
      <c r="AG56" s="2295"/>
      <c r="AH56" s="2295"/>
      <c r="AI56" s="2295"/>
      <c r="AJ56" s="2295"/>
      <c r="AK56" s="2295"/>
      <c r="AL56" s="2295"/>
      <c r="AM56" s="2295"/>
      <c r="AN56" s="2295"/>
      <c r="AO56" s="2295"/>
      <c r="AP56" s="2295"/>
      <c r="AQ56" s="2295"/>
      <c r="AR56" s="2295"/>
      <c r="AS56" s="2295"/>
      <c r="AY56" s="1165">
        <v>14</v>
      </c>
    </row>
    <row customHeight="1" ht="14.699999999999998">
      <c r="O57" s="547"/>
      <c r="AY57" s="1165">
        <v>14</v>
      </c>
    </row>
    <row customHeight="1" ht="14.699999999999998">
      <c r="O58" s="547"/>
      <c r="S58" s="1263"/>
      <c r="T58" s="2295"/>
      <c r="U58" s="2295"/>
      <c r="V58" s="2295"/>
      <c r="W58" s="2295"/>
      <c r="X58" s="2295"/>
      <c r="Y58" s="2295"/>
      <c r="Z58" s="2295"/>
      <c r="AA58" s="2295"/>
      <c r="AB58" s="2295"/>
      <c r="AC58" s="2295"/>
      <c r="AD58" s="2295"/>
      <c r="AE58" s="2295"/>
      <c r="AF58" s="2295"/>
      <c r="AG58" s="2295"/>
      <c r="AH58" s="2295"/>
      <c r="AI58" s="2295"/>
      <c r="AJ58" s="2295"/>
      <c r="AK58" s="2295"/>
      <c r="AL58" s="2295"/>
      <c r="AM58" s="2295"/>
      <c r="AN58" s="2295"/>
      <c r="AO58" s="2295"/>
      <c r="AP58" s="2295"/>
      <c r="AQ58" s="2295"/>
      <c r="AR58" s="2295"/>
      <c r="AS58" s="2295"/>
      <c r="AY58" s="1165">
        <v>14</v>
      </c>
    </row>
    <row customHeight="1" ht="22.5" hidden="1">
      <c r="A59" s="1170" t="s">
        <v>82</v>
      </c>
      <c r="B59" s="1170">
        <v>0</v>
      </c>
      <c r="C59" s="1170">
        <v>0</v>
      </c>
      <c r="D59" s="1170">
        <v>0</v>
      </c>
      <c r="E59" s="1170">
        <v>0</v>
      </c>
      <c r="F59" s="1170">
        <v>0</v>
      </c>
      <c r="G59" s="1170">
        <v>0</v>
      </c>
      <c r="H59" s="1170">
        <v>0</v>
      </c>
      <c r="I59" s="1170">
        <v>0</v>
      </c>
      <c r="J59" s="1170">
        <v>0</v>
      </c>
      <c r="K59" s="1170">
        <v>0</v>
      </c>
      <c r="L59" s="1488">
        <v>0</v>
      </c>
      <c r="M59" s="1372">
        <v>0</v>
      </c>
      <c r="N59" s="1372">
        <v>0</v>
      </c>
      <c r="O59" s="1372">
        <v>0</v>
      </c>
      <c r="P59" s="1483">
        <v>3</v>
      </c>
      <c r="Q59" s="354">
        <v>3</v>
      </c>
      <c r="R59" s="354">
        <v>3</v>
      </c>
      <c r="S59" s="591">
        <v>12</v>
      </c>
      <c r="T59" s="1165">
        <v>35</v>
      </c>
      <c r="U59" s="1165">
        <v>0</v>
      </c>
      <c r="V59" s="1165">
        <v>0</v>
      </c>
      <c r="W59" s="1641">
        <v>0</v>
      </c>
      <c r="X59" s="1641">
        <v>0</v>
      </c>
      <c r="Y59" s="1641">
        <v>0</v>
      </c>
      <c r="Z59" s="1641">
        <v>0</v>
      </c>
      <c r="AA59" s="1641">
        <v>0</v>
      </c>
      <c r="AB59" s="1165">
        <v>0</v>
      </c>
      <c r="AC59" s="1165">
        <v>0</v>
      </c>
      <c r="AD59" s="1165">
        <v>0</v>
      </c>
      <c r="AE59" s="1165">
        <v>0</v>
      </c>
      <c r="AF59" s="1165">
        <v>0</v>
      </c>
      <c r="AG59" s="1165">
        <v>19</v>
      </c>
      <c r="AH59" s="1641">
        <v>19</v>
      </c>
      <c r="AI59" s="1641">
        <v>19</v>
      </c>
      <c r="AJ59" s="1641">
        <v>19</v>
      </c>
      <c r="AK59" s="1641">
        <v>19</v>
      </c>
      <c r="AL59" s="1641">
        <v>19</v>
      </c>
      <c r="AM59" s="1165">
        <v>19</v>
      </c>
      <c r="AN59" s="1165">
        <v>11</v>
      </c>
      <c r="AO59" s="1165">
        <v>3</v>
      </c>
      <c r="AP59" s="1165">
        <v>11</v>
      </c>
      <c r="AQ59" s="1165">
        <v>0</v>
      </c>
      <c r="AR59" s="1165">
        <v>4</v>
      </c>
      <c r="AS59" s="1165">
        <v>115</v>
      </c>
      <c r="AT59" s="521">
        <v>10</v>
      </c>
      <c r="AU59" s="521">
        <v>10</v>
      </c>
      <c r="AV59" s="521">
        <v>10</v>
      </c>
      <c r="AW59" s="521">
        <v>10</v>
      </c>
      <c r="AX59" s="521">
        <v>10</v>
      </c>
      <c r="AY59" s="1165">
        <v>23</v>
      </c>
    </row>
  </sheetData>
  <sheetProtection sheet="1" formatColumns="0" formatRows="0" autoFilter="0" sort="1" insertRows="1" insertColumns="1" deleteRows="1" deleteColumns="1"/>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9C8A2E-B594-8575-91EA-0.FBDDC97B}"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6" width="11.57421875" hidden="1" customWidth="1"/>
    <col min="2" max="2" style="1376" width="11.00390625" hidden="1" customWidth="1"/>
    <col min="3" max="3" style="1376" width="10.57421875" hidden="1"/>
    <col min="4" max="4" style="1376" width="12.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1786" width="3.7109375" hidden="1" customWidth="1"/>
    <col min="17" max="17" style="1381" width="3.7109375" hidden="1" customWidth="1"/>
    <col min="18" max="18" style="354" width="3.00390625" customWidth="1"/>
    <col min="19" max="19" style="2417" width="12.00390625" customWidth="1"/>
    <col min="20" max="20" style="1645" width="31.00390625" customWidth="1"/>
    <col min="21" max="21" style="1645" width="0.140625" customWidth="1"/>
    <col min="22" max="25" style="1645" width="21.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3.7109375" customWidth="1"/>
    <col min="31" max="32" style="1645" width="3.00390625" customWidth="1"/>
    <col min="33" max="33" style="1645" width="24.00390625" customWidth="1"/>
    <col min="34" max="34" style="1645" width="3.7109375" customWidth="1"/>
    <col min="35" max="36" style="1645" width="3.00390625" customWidth="1"/>
    <col min="37" max="37" style="1645" width="24.00390625" customWidth="1"/>
    <col min="38" max="38" style="1645" width="3.7109375" customWidth="1"/>
    <col min="39" max="40" style="1645" width="3.00390625" customWidth="1"/>
    <col min="41" max="41" style="1645" width="18.00390625" customWidth="1"/>
    <col min="42" max="42" style="1645" width="3.7109375" customWidth="1"/>
    <col min="43" max="44" style="1645" width="3.00390625" customWidth="1"/>
    <col min="45" max="45" style="1645" width="18.00390625" customWidth="1"/>
    <col min="46" max="49" style="1645" width="21.00390625" customWidth="1"/>
    <col min="50" max="50" style="1645" width="11.00390625" customWidth="1"/>
    <col min="51" max="51" style="1645" width="3.7109375" customWidth="1"/>
    <col min="52" max="52" style="1645" width="11.00390625" customWidth="1"/>
    <col min="53" max="53" style="1645" width="8.57421875" hidden="1" customWidth="1"/>
    <col min="54" max="54" style="1645" width="4.00390625" customWidth="1"/>
    <col min="55" max="55" style="1645" width="115.00390625" customWidth="1"/>
    <col min="56" max="60" style="1652" width="10.00390625" customWidth="1"/>
    <col min="61" max="61" style="1645" width="10.57421875" hidden="1"/>
  </cols>
  <sheetData>
    <row customHeight="1" ht="22.5" hidden="1">
      <c r="W1" s="337"/>
      <c r="Y1" s="337"/>
      <c r="Z1" s="337"/>
      <c r="AW1" s="337"/>
      <c r="AX1" s="337"/>
      <c r="BI1" s="1165" t="s">
        <v>14</v>
      </c>
    </row>
    <row customHeight="1" ht="21" hidden="1">
      <c r="A2" s="1373"/>
      <c r="B2" s="1373"/>
      <c r="C2" s="1373"/>
      <c r="D2" s="1373"/>
      <c r="E2" s="2268">
        <v>1</v>
      </c>
      <c r="F2" s="1373"/>
      <c r="G2" s="1373"/>
      <c r="H2" s="1373"/>
      <c r="I2" s="1373"/>
      <c r="J2" s="1373"/>
      <c r="K2" s="1373"/>
      <c r="L2" s="1374"/>
      <c r="M2" s="1375"/>
      <c r="N2" s="1375"/>
      <c r="O2" s="1375"/>
      <c r="P2" s="1419"/>
      <c r="Q2" s="883"/>
      <c r="R2" s="365"/>
      <c r="S2" s="1503">
        <f>INDEX(PT_DIFFERENTIATION_NUM_NTAR,MATCH(A2,PT_DIFFERENTIATION_NTAR_ID,0))</f>
      </c>
      <c r="T2" s="308" t="s">
        <v>147</v>
      </c>
      <c r="U2" s="310"/>
      <c r="V2" s="2253"/>
      <c r="W2" s="2253"/>
      <c r="X2" s="2253"/>
      <c r="Y2" s="2253"/>
      <c r="Z2" s="2253"/>
      <c r="AA2" s="2253"/>
      <c r="AB2" s="2253"/>
      <c r="AC2" s="2254"/>
      <c r="AD2" s="2252">
        <f>INDEX(PT_DIFFERENTIATION_NTAR,MATCH(A2,PT_DIFFERENTIATION_NTAR_ID,0))</f>
      </c>
      <c r="AE2" s="2253"/>
      <c r="AF2" s="2253"/>
      <c r="AG2" s="2253"/>
      <c r="AH2" s="2253"/>
      <c r="AI2" s="2253"/>
      <c r="AJ2" s="2253"/>
      <c r="AK2" s="2253"/>
      <c r="AL2" s="2253"/>
      <c r="AM2" s="2253"/>
      <c r="AN2" s="2253"/>
      <c r="AO2" s="2253"/>
      <c r="AP2" s="2253"/>
      <c r="AQ2" s="2253"/>
      <c r="AR2" s="2253"/>
      <c r="AS2" s="2253"/>
      <c r="AT2" s="2253"/>
      <c r="AU2" s="2253"/>
      <c r="AV2" s="2253"/>
      <c r="AW2" s="2253"/>
      <c r="AX2" s="2253"/>
      <c r="AY2" s="2253"/>
      <c r="AZ2" s="2253"/>
      <c r="BA2" s="2253"/>
      <c r="BB2" s="2254"/>
      <c r="BC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10"/>
      <c r="BF2" s="510" t="str">
        <f>IF(T2="","",T2)</f>
        <v>Наименование тарифа</v>
      </c>
      <c r="BG2" s="510"/>
      <c r="BH2" s="510"/>
      <c r="BI2" s="1165">
        <v>0</v>
      </c>
    </row>
    <row customHeight="1" ht="21" hidden="1">
      <c r="A3" s="1373"/>
      <c r="B3" s="1373"/>
      <c r="C3" s="1373"/>
      <c r="D3" s="1373"/>
      <c r="E3" s="2269"/>
      <c r="F3" s="2268">
        <v>1</v>
      </c>
      <c r="G3" s="1373"/>
      <c r="H3" s="1373"/>
      <c r="I3" s="1373"/>
      <c r="J3" s="1373"/>
      <c r="K3" s="1373"/>
      <c r="L3" s="1374"/>
      <c r="M3" s="1375"/>
      <c r="N3" s="1375"/>
      <c r="O3" s="1375"/>
      <c r="P3" s="1420"/>
      <c r="Q3" s="1421"/>
      <c r="R3" s="363"/>
      <c r="S3" s="1503">
        <f>INDEX(PT_DIFFERENTIATION_NUM_TER,MATCH(B3,PT_DIFFERENTIATION_TER_ID,0))</f>
      </c>
      <c r="T3" s="318" t="s">
        <v>419</v>
      </c>
      <c r="U3" s="310"/>
      <c r="V3" s="2253"/>
      <c r="W3" s="2253"/>
      <c r="X3" s="2253"/>
      <c r="Y3" s="2253"/>
      <c r="Z3" s="2253"/>
      <c r="AA3" s="2253"/>
      <c r="AB3" s="2253"/>
      <c r="AC3" s="2254"/>
      <c r="AD3" s="2252">
        <f>INDEX(PT_DIFFERENTIATION_TER,MATCH(B3,PT_DIFFERENTIATION_TER_ID,0))</f>
      </c>
      <c r="AE3" s="2253"/>
      <c r="AF3" s="2253"/>
      <c r="AG3" s="2253"/>
      <c r="AH3" s="2253"/>
      <c r="AI3" s="2253"/>
      <c r="AJ3" s="2253"/>
      <c r="AK3" s="2253"/>
      <c r="AL3" s="2253"/>
      <c r="AM3" s="2253"/>
      <c r="AN3" s="2253"/>
      <c r="AO3" s="2253"/>
      <c r="AP3" s="2253"/>
      <c r="AQ3" s="2253"/>
      <c r="AR3" s="2253"/>
      <c r="AS3" s="2253"/>
      <c r="AT3" s="2253"/>
      <c r="AU3" s="2253"/>
      <c r="AV3" s="2253"/>
      <c r="AW3" s="2253"/>
      <c r="AX3" s="2253"/>
      <c r="AY3" s="2253"/>
      <c r="AZ3" s="2253"/>
      <c r="BA3" s="2253"/>
      <c r="BB3" s="2254"/>
      <c r="BC3" s="1268" t="s">
        <v>420</v>
      </c>
      <c r="BE3" s="510"/>
      <c r="BF3" s="510" t="str">
        <f>IF(T3="","",T3)</f>
        <v>Территория действия тарифа</v>
      </c>
      <c r="BG3" s="510"/>
      <c r="BH3" s="510"/>
      <c r="BI3" s="1165">
        <v>0</v>
      </c>
    </row>
    <row customHeight="1" ht="33.75" hidden="1">
      <c r="A4" s="1373"/>
      <c r="B4" s="1373"/>
      <c r="C4" s="1373"/>
      <c r="D4" s="1373"/>
      <c r="E4" s="2269"/>
      <c r="F4" s="2269"/>
      <c r="G4" s="2268">
        <v>1</v>
      </c>
      <c r="H4" s="1373"/>
      <c r="I4" s="1373"/>
      <c r="J4" s="1373"/>
      <c r="K4" s="1373"/>
      <c r="L4" s="1374"/>
      <c r="M4" s="1375"/>
      <c r="N4" s="1375"/>
      <c r="O4" s="1375"/>
      <c r="P4" s="1422"/>
      <c r="Q4" s="1421"/>
      <c r="R4" s="363"/>
      <c r="S4" s="1503">
        <f>INDEX(PT_DIFFERENTIATION_NUM_CS,MATCH(C4,PT_DIFFERENTIATION_CS_ID,0))</f>
      </c>
      <c r="T4" s="319" t="s">
        <v>552</v>
      </c>
      <c r="U4" s="310"/>
      <c r="V4" s="2253"/>
      <c r="W4" s="2253"/>
      <c r="X4" s="2253"/>
      <c r="Y4" s="2253"/>
      <c r="Z4" s="2253"/>
      <c r="AA4" s="2253"/>
      <c r="AB4" s="2253"/>
      <c r="AC4" s="2254"/>
      <c r="AD4" s="2252">
        <f>INDEX(PT_DIFFERENTIATION_CS,MATCH(C4,PT_DIFFERENTIATION_CS_ID,0))</f>
      </c>
      <c r="AE4" s="2253"/>
      <c r="AF4" s="2253"/>
      <c r="AG4" s="2253"/>
      <c r="AH4" s="2253"/>
      <c r="AI4" s="2253"/>
      <c r="AJ4" s="2253"/>
      <c r="AK4" s="2253"/>
      <c r="AL4" s="2253"/>
      <c r="AM4" s="2253"/>
      <c r="AN4" s="2253"/>
      <c r="AO4" s="2253"/>
      <c r="AP4" s="2253"/>
      <c r="AQ4" s="2253"/>
      <c r="AR4" s="2253"/>
      <c r="AS4" s="2253"/>
      <c r="AT4" s="2253"/>
      <c r="AU4" s="2253"/>
      <c r="AV4" s="2253"/>
      <c r="AW4" s="2253"/>
      <c r="AX4" s="2253"/>
      <c r="AY4" s="2253"/>
      <c r="AZ4" s="2253"/>
      <c r="BA4" s="2253"/>
      <c r="BB4" s="2254"/>
      <c r="BC4" s="1268" t="s">
        <v>553</v>
      </c>
      <c r="BE4" s="510"/>
      <c r="BF4" s="510" t="str">
        <f>IF(T4="","",T4)</f>
        <v>Наименование централизованной системы горячего водоснабжения</v>
      </c>
      <c r="BG4" s="510"/>
      <c r="BH4" s="510"/>
      <c r="BI4" s="1165">
        <v>0</v>
      </c>
    </row>
    <row s="1652" customFormat="1" customHeight="1" ht="14.25" hidden="1">
      <c r="A5" s="1353"/>
      <c r="B5" s="1353"/>
      <c r="C5" s="1353"/>
      <c r="D5" s="1353"/>
      <c r="E5" s="2269"/>
      <c r="F5" s="2269"/>
      <c r="G5" s="2269"/>
      <c r="H5" s="2268">
        <v>1</v>
      </c>
      <c r="I5" s="1353"/>
      <c r="J5" s="1353"/>
      <c r="K5" s="1353"/>
      <c r="L5" s="1356"/>
      <c r="M5" s="1325"/>
      <c r="N5" s="1325"/>
      <c r="O5" s="1325"/>
      <c r="P5" s="1507"/>
      <c r="Q5" s="1508"/>
      <c r="R5" s="367"/>
      <c r="S5" s="1052"/>
      <c r="T5" s="1509"/>
      <c r="U5" s="1394"/>
      <c r="V5" s="2307"/>
      <c r="W5" s="2307"/>
      <c r="X5" s="2307"/>
      <c r="Y5" s="2307"/>
      <c r="Z5" s="2307"/>
      <c r="AA5" s="2307"/>
      <c r="AB5" s="2307"/>
      <c r="AC5" s="2308"/>
      <c r="AD5" s="2306"/>
      <c r="AE5" s="2307"/>
      <c r="AF5" s="2307"/>
      <c r="AG5" s="2307"/>
      <c r="AH5" s="2307"/>
      <c r="AI5" s="2307"/>
      <c r="AJ5" s="2307"/>
      <c r="AK5" s="2307"/>
      <c r="AL5" s="2307"/>
      <c r="AM5" s="2307"/>
      <c r="AN5" s="2307"/>
      <c r="AO5" s="2307"/>
      <c r="AP5" s="2307"/>
      <c r="AQ5" s="2307"/>
      <c r="AR5" s="2307"/>
      <c r="AS5" s="2307"/>
      <c r="AT5" s="2307"/>
      <c r="AU5" s="2307"/>
      <c r="AV5" s="2307"/>
      <c r="AW5" s="2307"/>
      <c r="AX5" s="2307"/>
      <c r="AY5" s="2307"/>
      <c r="AZ5" s="2307"/>
      <c r="BA5" s="2307"/>
      <c r="BB5" s="2308"/>
      <c r="BC5" s="1395" t="s">
        <v>424</v>
      </c>
      <c r="BE5" s="510"/>
      <c r="BF5" s="510" t="str">
        <f>IF(T5="","",T5)</f>
        <v/>
      </c>
      <c r="BG5" s="510"/>
      <c r="BH5" s="510"/>
      <c r="BI5" s="521">
        <v>0</v>
      </c>
    </row>
    <row s="1652" customFormat="1" customHeight="1" ht="14.25" hidden="1">
      <c r="A6" s="1353"/>
      <c r="B6" s="1353"/>
      <c r="C6" s="1353"/>
      <c r="D6" s="1353"/>
      <c r="E6" s="2269"/>
      <c r="F6" s="2269"/>
      <c r="G6" s="2269"/>
      <c r="H6" s="2269"/>
      <c r="I6" s="2266" t="str">
        <f>S5&amp;".1"</f>
        <v>.1</v>
      </c>
      <c r="J6" s="1353"/>
      <c r="K6" s="1353"/>
      <c r="L6" s="1356" t="s">
        <v>425</v>
      </c>
      <c r="M6" s="520"/>
      <c r="N6" s="520"/>
      <c r="O6" s="520"/>
      <c r="P6" s="2267">
        <v>1</v>
      </c>
      <c r="Q6" s="1491"/>
      <c r="R6" s="366"/>
      <c r="S6" s="1052"/>
      <c r="T6" s="1393"/>
      <c r="U6" s="1394"/>
      <c r="V6" s="2307"/>
      <c r="W6" s="2307"/>
      <c r="X6" s="2307"/>
      <c r="Y6" s="2307"/>
      <c r="Z6" s="2307"/>
      <c r="AA6" s="2307"/>
      <c r="AB6" s="2307"/>
      <c r="AC6" s="2308"/>
      <c r="AD6" s="2306"/>
      <c r="AE6" s="2307"/>
      <c r="AF6" s="2307"/>
      <c r="AG6" s="2307"/>
      <c r="AH6" s="2307"/>
      <c r="AI6" s="2307"/>
      <c r="AJ6" s="2307"/>
      <c r="AK6" s="2307"/>
      <c r="AL6" s="2307"/>
      <c r="AM6" s="2307"/>
      <c r="AN6" s="2307"/>
      <c r="AO6" s="2307"/>
      <c r="AP6" s="2307"/>
      <c r="AQ6" s="2307"/>
      <c r="AR6" s="2307"/>
      <c r="AS6" s="2307"/>
      <c r="AT6" s="2307"/>
      <c r="AU6" s="2307"/>
      <c r="AV6" s="2307"/>
      <c r="AW6" s="2307"/>
      <c r="AX6" s="2307"/>
      <c r="AY6" s="2307"/>
      <c r="AZ6" s="2307"/>
      <c r="BA6" s="2307"/>
      <c r="BB6" s="2308"/>
      <c r="BC6" s="1395"/>
      <c r="BE6" s="510"/>
      <c r="BF6" s="510" t="str">
        <f>IF(T6="","",T6)</f>
        <v/>
      </c>
      <c r="BG6" s="510"/>
      <c r="BH6" s="510"/>
      <c r="BI6" s="521">
        <v>0</v>
      </c>
    </row>
    <row s="1652" customFormat="1" customHeight="1" ht="14.25" hidden="1">
      <c r="A7" s="1353"/>
      <c r="B7" s="1353"/>
      <c r="C7" s="1353"/>
      <c r="D7" s="1353"/>
      <c r="E7" s="2269"/>
      <c r="F7" s="2269"/>
      <c r="G7" s="2269"/>
      <c r="H7" s="2269"/>
      <c r="I7" s="2296"/>
      <c r="J7" s="2266" t="str">
        <f>S5&amp;".1"</f>
        <v>.1</v>
      </c>
      <c r="K7" s="1353"/>
      <c r="L7" s="1356"/>
      <c r="M7" s="520"/>
      <c r="N7" s="520"/>
      <c r="O7" s="520"/>
      <c r="P7" s="2267"/>
      <c r="Q7" s="2267">
        <v>1</v>
      </c>
      <c r="R7" s="367"/>
      <c r="S7" s="1052"/>
      <c r="T7" s="1409"/>
      <c r="U7" s="1394"/>
      <c r="V7" s="2307"/>
      <c r="W7" s="2307"/>
      <c r="X7" s="2307"/>
      <c r="Y7" s="2307"/>
      <c r="Z7" s="2307"/>
      <c r="AA7" s="2307"/>
      <c r="AB7" s="2307"/>
      <c r="AC7" s="2308"/>
      <c r="AD7" s="2306"/>
      <c r="AE7" s="2307"/>
      <c r="AF7" s="2307"/>
      <c r="AG7" s="2307"/>
      <c r="AH7" s="2307"/>
      <c r="AI7" s="2307"/>
      <c r="AJ7" s="2307"/>
      <c r="AK7" s="2307"/>
      <c r="AL7" s="2307"/>
      <c r="AM7" s="2307"/>
      <c r="AN7" s="2307"/>
      <c r="AO7" s="2307"/>
      <c r="AP7" s="2307"/>
      <c r="AQ7" s="2307"/>
      <c r="AR7" s="2307"/>
      <c r="AS7" s="2307"/>
      <c r="AT7" s="2307"/>
      <c r="AU7" s="2307"/>
      <c r="AV7" s="2307"/>
      <c r="AW7" s="2307"/>
      <c r="AX7" s="2307"/>
      <c r="AY7" s="2307"/>
      <c r="AZ7" s="2307"/>
      <c r="BA7" s="2307"/>
      <c r="BB7" s="2308"/>
      <c r="BC7" s="1395"/>
      <c r="BE7" s="510"/>
      <c r="BF7" s="510" t="str">
        <f>IF(T7="","",T7)</f>
        <v/>
      </c>
      <c r="BG7" s="510"/>
      <c r="BH7" s="510"/>
      <c r="BI7" s="521">
        <v>0</v>
      </c>
    </row>
    <row customHeight="1" ht="11.25" hidden="1">
      <c r="A8" s="1373"/>
      <c r="B8" s="1373"/>
      <c r="C8" s="1373"/>
      <c r="D8" s="1373"/>
      <c r="E8" s="2269"/>
      <c r="F8" s="2269"/>
      <c r="G8" s="2269"/>
      <c r="H8" s="2269"/>
      <c r="I8" s="2296"/>
      <c r="J8" s="2296"/>
      <c r="K8" s="2266">
        <f>S4&amp;".1"</f>
      </c>
      <c r="L8" s="1374"/>
      <c r="P8" s="2267"/>
      <c r="Q8" s="2267"/>
      <c r="R8" s="2357">
        <v>1</v>
      </c>
      <c r="S8" s="2351">
        <f>$K8</f>
      </c>
      <c r="T8" s="2370"/>
      <c r="U8" s="310"/>
      <c r="V8" s="761"/>
      <c r="W8" s="1267"/>
      <c r="X8" s="761"/>
      <c r="Y8" s="1267"/>
      <c r="Z8" s="1744"/>
      <c r="AA8" s="1479" t="s">
        <v>66</v>
      </c>
      <c r="AB8" s="1744"/>
      <c r="AC8" s="1479" t="s">
        <v>66</v>
      </c>
      <c r="AD8" s="2195" t="s">
        <v>66</v>
      </c>
      <c r="AE8" s="2336"/>
      <c r="AF8" s="2215">
        <v>1</v>
      </c>
      <c r="AG8" s="2373"/>
      <c r="AH8" s="2117" t="s">
        <v>66</v>
      </c>
      <c r="AI8" s="2336"/>
      <c r="AJ8" s="2215">
        <v>1</v>
      </c>
      <c r="AK8" s="2337" t="s">
        <v>22</v>
      </c>
      <c r="AL8" s="2117" t="s">
        <v>66</v>
      </c>
      <c r="AM8" s="2202"/>
      <c r="AN8" s="2215">
        <v>1</v>
      </c>
      <c r="AO8" s="2367"/>
      <c r="AP8" s="2368" t="s">
        <v>66</v>
      </c>
      <c r="AQ8" s="321"/>
      <c r="AR8" s="1496">
        <v>1</v>
      </c>
      <c r="AS8" s="1502" t="s">
        <v>22</v>
      </c>
      <c r="AT8" s="761"/>
      <c r="AU8" s="1267"/>
      <c r="AV8" s="761"/>
      <c r="AW8" s="1267"/>
      <c r="AX8" s="1744"/>
      <c r="AY8" s="1479" t="s">
        <v>66</v>
      </c>
      <c r="AZ8" s="1744"/>
      <c r="BA8" s="1479" t="s">
        <v>66</v>
      </c>
      <c r="BB8" s="1358"/>
      <c r="BC8" s="2263" t="s">
        <v>523</v>
      </c>
      <c r="BE8" s="510"/>
      <c r="BF8" s="510" t="str">
        <f>IF(T8="","",T8)</f>
        <v/>
      </c>
      <c r="BG8" s="510"/>
      <c r="BH8" s="510"/>
      <c r="BI8" s="1165">
        <v>0</v>
      </c>
    </row>
    <row customHeight="1" ht="11.25" hidden="1">
      <c r="A9" s="1373"/>
      <c r="B9" s="1373"/>
      <c r="C9" s="1373"/>
      <c r="D9" s="1373"/>
      <c r="E9" s="2269"/>
      <c r="F9" s="2269"/>
      <c r="G9" s="2269"/>
      <c r="H9" s="2269"/>
      <c r="I9" s="2296"/>
      <c r="J9" s="2296"/>
      <c r="K9" s="2266"/>
      <c r="L9" s="1374"/>
      <c r="P9" s="2267"/>
      <c r="Q9" s="2267"/>
      <c r="R9" s="2357"/>
      <c r="S9" s="2352"/>
      <c r="T9" s="2371"/>
      <c r="U9" s="310"/>
      <c r="V9" s="1403"/>
      <c r="W9" s="1506"/>
      <c r="X9" s="1403"/>
      <c r="Y9" s="1506"/>
      <c r="Z9" s="1403"/>
      <c r="AA9" s="1403"/>
      <c r="AB9" s="1403"/>
      <c r="AC9" s="1403"/>
      <c r="AD9" s="2196"/>
      <c r="AE9" s="2336"/>
      <c r="AF9" s="2215"/>
      <c r="AG9" s="2373"/>
      <c r="AH9" s="2117"/>
      <c r="AI9" s="2336"/>
      <c r="AJ9" s="2215"/>
      <c r="AK9" s="2337"/>
      <c r="AL9" s="2117"/>
      <c r="AM9" s="2210"/>
      <c r="AN9" s="2215"/>
      <c r="AO9" s="2367"/>
      <c r="AP9" s="2369"/>
      <c r="AQ9" s="326"/>
      <c r="AR9" s="426"/>
      <c r="AS9" s="426" t="s">
        <v>524</v>
      </c>
      <c r="AT9" s="1403"/>
      <c r="AU9" s="1506"/>
      <c r="AV9" s="1403"/>
      <c r="AW9" s="1506"/>
      <c r="AX9" s="1403"/>
      <c r="AY9" s="1403"/>
      <c r="AZ9" s="1403"/>
      <c r="BA9" s="1403"/>
      <c r="BB9" s="1407"/>
      <c r="BC9" s="2264"/>
      <c r="BE9" s="510"/>
      <c r="BF9" s="510"/>
      <c r="BG9" s="510"/>
      <c r="BH9" s="510"/>
      <c r="BI9" s="1165">
        <v>0</v>
      </c>
    </row>
    <row customHeight="1" ht="11.25" hidden="1">
      <c r="A10" s="1373"/>
      <c r="B10" s="1373"/>
      <c r="C10" s="1373"/>
      <c r="D10" s="1373"/>
      <c r="E10" s="2269"/>
      <c r="F10" s="2269"/>
      <c r="G10" s="2269"/>
      <c r="H10" s="2269"/>
      <c r="I10" s="2296"/>
      <c r="J10" s="2296"/>
      <c r="K10" s="2266"/>
      <c r="L10" s="1374"/>
      <c r="P10" s="2267"/>
      <c r="Q10" s="2267"/>
      <c r="R10" s="2357"/>
      <c r="S10" s="2352"/>
      <c r="T10" s="2371"/>
      <c r="U10" s="310"/>
      <c r="V10" s="1403"/>
      <c r="W10" s="1506"/>
      <c r="X10" s="1403"/>
      <c r="Y10" s="1506"/>
      <c r="Z10" s="1403"/>
      <c r="AA10" s="1403"/>
      <c r="AB10" s="1403"/>
      <c r="AC10" s="1403"/>
      <c r="AD10" s="2196"/>
      <c r="AE10" s="2336"/>
      <c r="AF10" s="2215"/>
      <c r="AG10" s="2373"/>
      <c r="AH10" s="2117"/>
      <c r="AI10" s="2336"/>
      <c r="AJ10" s="2215"/>
      <c r="AK10" s="2337"/>
      <c r="AL10" s="2117"/>
      <c r="AM10" s="326"/>
      <c r="AN10" s="1510"/>
      <c r="AO10" s="1510" t="s">
        <v>525</v>
      </c>
      <c r="AP10" s="426"/>
      <c r="AQ10" s="426"/>
      <c r="AR10" s="426"/>
      <c r="AS10" s="1403"/>
      <c r="AT10" s="1403"/>
      <c r="AU10" s="1506"/>
      <c r="AV10" s="1403"/>
      <c r="AW10" s="1506"/>
      <c r="AX10" s="1403"/>
      <c r="AY10" s="1403"/>
      <c r="AZ10" s="1403"/>
      <c r="BA10" s="1403"/>
      <c r="BB10" s="1407"/>
      <c r="BC10" s="2264"/>
      <c r="BE10" s="510"/>
      <c r="BF10" s="510"/>
      <c r="BG10" s="510"/>
      <c r="BH10" s="510"/>
      <c r="BI10" s="1165">
        <v>0</v>
      </c>
    </row>
    <row customHeight="1" ht="11.25" hidden="1">
      <c r="A11" s="1373"/>
      <c r="B11" s="1373"/>
      <c r="C11" s="1373"/>
      <c r="D11" s="1373"/>
      <c r="E11" s="2269"/>
      <c r="F11" s="2269"/>
      <c r="G11" s="2269"/>
      <c r="H11" s="2269"/>
      <c r="I11" s="2296"/>
      <c r="J11" s="2296"/>
      <c r="K11" s="2266"/>
      <c r="L11" s="1374"/>
      <c r="P11" s="2267"/>
      <c r="Q11" s="2267"/>
      <c r="R11" s="2357"/>
      <c r="S11" s="2352"/>
      <c r="T11" s="2371"/>
      <c r="U11" s="310"/>
      <c r="V11" s="1403"/>
      <c r="W11" s="1506"/>
      <c r="X11" s="1403"/>
      <c r="Y11" s="1506"/>
      <c r="Z11" s="1403"/>
      <c r="AA11" s="1403"/>
      <c r="AB11" s="1403"/>
      <c r="AC11" s="1403"/>
      <c r="AD11" s="2196"/>
      <c r="AE11" s="2336"/>
      <c r="AF11" s="2215"/>
      <c r="AG11" s="2373"/>
      <c r="AH11" s="2117"/>
      <c r="AI11" s="304"/>
      <c r="AJ11" s="425"/>
      <c r="AK11" s="323" t="s">
        <v>526</v>
      </c>
      <c r="AL11" s="1403"/>
      <c r="AM11" s="1403"/>
      <c r="AN11" s="1403"/>
      <c r="AO11" s="1403"/>
      <c r="AP11" s="1403"/>
      <c r="AQ11" s="1403"/>
      <c r="AR11" s="1403"/>
      <c r="AS11" s="1403"/>
      <c r="AT11" s="1403"/>
      <c r="AU11" s="1506"/>
      <c r="AV11" s="1403"/>
      <c r="AW11" s="1506"/>
      <c r="AX11" s="1403"/>
      <c r="AY11" s="1403"/>
      <c r="AZ11" s="1403"/>
      <c r="BA11" s="1403"/>
      <c r="BB11" s="1407"/>
      <c r="BC11" s="2264"/>
      <c r="BE11" s="510"/>
      <c r="BF11" s="510"/>
      <c r="BG11" s="510"/>
      <c r="BH11" s="510"/>
      <c r="BI11" s="1165">
        <v>0</v>
      </c>
    </row>
    <row customHeight="1" ht="11.25" hidden="1">
      <c r="A12" s="1373"/>
      <c r="B12" s="1373"/>
      <c r="C12" s="1373"/>
      <c r="D12" s="1373"/>
      <c r="E12" s="2269"/>
      <c r="F12" s="2269"/>
      <c r="G12" s="2269"/>
      <c r="H12" s="2269"/>
      <c r="I12" s="2296"/>
      <c r="J12" s="2296"/>
      <c r="K12" s="2266"/>
      <c r="L12" s="1374"/>
      <c r="P12" s="2267"/>
      <c r="Q12" s="2267"/>
      <c r="R12" s="2357"/>
      <c r="S12" s="2353"/>
      <c r="T12" s="2372"/>
      <c r="U12" s="310"/>
      <c r="V12" s="1403"/>
      <c r="W12" s="1404" t="str">
        <f>Z8&amp;"-"&amp;AB8</f>
        <v>-</v>
      </c>
      <c r="X12" s="1403"/>
      <c r="Y12" s="1404" t="str">
        <f>AB8&amp;"-"&amp;AD8</f>
        <v>-да</v>
      </c>
      <c r="Z12" s="1403"/>
      <c r="AA12" s="1403"/>
      <c r="AB12" s="1403"/>
      <c r="AC12" s="1403"/>
      <c r="AD12" s="2122"/>
      <c r="AE12" s="322"/>
      <c r="AF12" s="324"/>
      <c r="AG12" s="426" t="s">
        <v>527</v>
      </c>
      <c r="AH12" s="1403"/>
      <c r="AI12" s="1403"/>
      <c r="AJ12" s="1403"/>
      <c r="AK12" s="1403"/>
      <c r="AL12" s="1403"/>
      <c r="AM12" s="1403"/>
      <c r="AN12" s="1403"/>
      <c r="AO12" s="1403"/>
      <c r="AP12" s="1403"/>
      <c r="AQ12" s="1403"/>
      <c r="AR12" s="1403"/>
      <c r="AS12" s="1403"/>
      <c r="AT12" s="1403"/>
      <c r="AU12" s="1404" t="str">
        <f>AX8&amp;"-"&amp;AZ8</f>
        <v>-</v>
      </c>
      <c r="AV12" s="1403"/>
      <c r="AW12" s="1404" t="str">
        <f>AZ8&amp;"-"&amp;BB8</f>
        <v>-</v>
      </c>
      <c r="AX12" s="1403"/>
      <c r="AY12" s="1403"/>
      <c r="AZ12" s="1403"/>
      <c r="BA12" s="1403"/>
      <c r="BB12" s="1406" t="str">
        <f>BE8&amp;"-"&amp;BG8</f>
        <v>-</v>
      </c>
      <c r="BC12" s="2264"/>
      <c r="BE12" s="510"/>
      <c r="BF12" s="510" t="str">
        <f>IF(T12="","",T12)</f>
        <v/>
      </c>
      <c r="BG12" s="510"/>
      <c r="BH12" s="510"/>
      <c r="BI12" s="1165">
        <v>0</v>
      </c>
    </row>
    <row customHeight="1" ht="11.25" hidden="1">
      <c r="A13" s="1373"/>
      <c r="B13" s="1373"/>
      <c r="C13" s="1373"/>
      <c r="D13" s="1373"/>
      <c r="E13" s="2269"/>
      <c r="F13" s="2269"/>
      <c r="G13" s="2269"/>
      <c r="H13" s="2269"/>
      <c r="I13" s="2296"/>
      <c r="J13" s="2266"/>
      <c r="K13" s="1373"/>
      <c r="L13" s="1374"/>
      <c r="P13" s="2267"/>
      <c r="Q13" s="2267"/>
      <c r="R13" s="366"/>
      <c r="S13" s="1288"/>
      <c r="T13" s="297" t="s">
        <v>490</v>
      </c>
      <c r="U13" s="377"/>
      <c r="V13" s="377"/>
      <c r="W13" s="377"/>
      <c r="X13" s="377"/>
      <c r="Y13" s="377"/>
      <c r="Z13" s="377"/>
      <c r="AA13" s="377"/>
      <c r="AB13" s="377"/>
      <c r="AC13" s="377"/>
      <c r="AD13" s="1515"/>
      <c r="AE13" s="377"/>
      <c r="AF13" s="377"/>
      <c r="AG13" s="377"/>
      <c r="AH13" s="377"/>
      <c r="AI13" s="377"/>
      <c r="AJ13" s="377"/>
      <c r="AK13" s="377"/>
      <c r="AL13" s="377"/>
      <c r="AM13" s="377"/>
      <c r="AN13" s="377"/>
      <c r="AO13" s="377"/>
      <c r="AP13" s="377"/>
      <c r="AQ13" s="377"/>
      <c r="AR13" s="377"/>
      <c r="AS13" s="377"/>
      <c r="AT13" s="377"/>
      <c r="AU13" s="377"/>
      <c r="AV13" s="377"/>
      <c r="AW13" s="377"/>
      <c r="AX13" s="377"/>
      <c r="AY13" s="377"/>
      <c r="AZ13" s="377"/>
      <c r="BA13" s="377"/>
      <c r="BB13" s="334"/>
      <c r="BC13" s="2265"/>
      <c r="BE13" s="510"/>
      <c r="BF13" s="510" t="str">
        <f>IF(T13="","",T13)</f>
        <v>Добавить строку</v>
      </c>
      <c r="BG13" s="510"/>
      <c r="BH13" s="510"/>
      <c r="BI13" s="1165">
        <v>0</v>
      </c>
    </row>
    <row s="1652" customFormat="1" customHeight="1" ht="14.25" hidden="1">
      <c r="A14" s="1353"/>
      <c r="B14" s="1353"/>
      <c r="C14" s="1353"/>
      <c r="D14" s="1353"/>
      <c r="E14" s="2269"/>
      <c r="F14" s="2269"/>
      <c r="G14" s="2269"/>
      <c r="H14" s="2269"/>
      <c r="I14" s="2266"/>
      <c r="J14" s="1353"/>
      <c r="K14" s="1353"/>
      <c r="L14" s="1356"/>
      <c r="M14" s="520"/>
      <c r="N14" s="520"/>
      <c r="O14" s="520"/>
      <c r="P14" s="2267"/>
      <c r="Q14" s="1491"/>
      <c r="R14" s="366"/>
      <c r="S14" s="1396"/>
      <c r="T14" s="1397"/>
      <c r="U14" s="1398"/>
      <c r="V14" s="1398"/>
      <c r="W14" s="1398"/>
      <c r="X14" s="1398"/>
      <c r="Y14" s="1398"/>
      <c r="Z14" s="1398"/>
      <c r="AA14" s="1398"/>
      <c r="AB14" s="1398"/>
      <c r="AC14" s="1398"/>
      <c r="AD14" s="1398"/>
      <c r="AE14" s="1398"/>
      <c r="AF14" s="1398"/>
      <c r="AG14" s="1398"/>
      <c r="AH14" s="1398"/>
      <c r="AI14" s="1398"/>
      <c r="AJ14" s="1398"/>
      <c r="AK14" s="1398"/>
      <c r="AL14" s="1398"/>
      <c r="AM14" s="1398"/>
      <c r="AN14" s="1398"/>
      <c r="AO14" s="1398"/>
      <c r="AP14" s="1398"/>
      <c r="AQ14" s="1398"/>
      <c r="AR14" s="1398"/>
      <c r="AS14" s="1398"/>
      <c r="AT14" s="1398"/>
      <c r="AU14" s="1398"/>
      <c r="AV14" s="1398"/>
      <c r="AW14" s="1398"/>
      <c r="AX14" s="1398"/>
      <c r="AY14" s="1398"/>
      <c r="AZ14" s="1398"/>
      <c r="BA14" s="1398"/>
      <c r="BB14" s="1398"/>
      <c r="BC14" s="1399"/>
      <c r="BE14" s="510"/>
      <c r="BF14" s="510" t="str">
        <f>IF(T14="","",T14)</f>
        <v/>
      </c>
      <c r="BG14" s="510"/>
      <c r="BH14" s="510"/>
      <c r="BI14" s="521">
        <v>0</v>
      </c>
    </row>
    <row s="1652" customFormat="1" customHeight="1" ht="14.25" hidden="1">
      <c r="A15" s="1353"/>
      <c r="B15" s="1353"/>
      <c r="C15" s="1353"/>
      <c r="D15" s="1353"/>
      <c r="E15" s="2269"/>
      <c r="F15" s="2269"/>
      <c r="G15" s="2269"/>
      <c r="H15" s="2268"/>
      <c r="I15" s="1353"/>
      <c r="J15" s="1353"/>
      <c r="K15" s="1353"/>
      <c r="L15" s="1356"/>
      <c r="M15" s="1325"/>
      <c r="N15" s="1325"/>
      <c r="O15" s="528"/>
      <c r="P15" s="390"/>
      <c r="Q15" s="1354"/>
      <c r="R15" s="1411"/>
      <c r="S15" s="1396"/>
      <c r="T15" s="1397"/>
      <c r="U15" s="1398"/>
      <c r="V15" s="1398"/>
      <c r="W15" s="1398"/>
      <c r="X15" s="1398"/>
      <c r="Y15" s="1398"/>
      <c r="Z15" s="1398"/>
      <c r="AA15" s="1398"/>
      <c r="AB15" s="1398"/>
      <c r="AC15" s="1398"/>
      <c r="AD15" s="1398"/>
      <c r="AE15" s="1398"/>
      <c r="AF15" s="1398"/>
      <c r="AG15" s="1398"/>
      <c r="AH15" s="1398"/>
      <c r="AI15" s="1398"/>
      <c r="AJ15" s="1398"/>
      <c r="AK15" s="1398"/>
      <c r="AL15" s="1398"/>
      <c r="AM15" s="1398"/>
      <c r="AN15" s="1398"/>
      <c r="AO15" s="1398"/>
      <c r="AP15" s="1398"/>
      <c r="AQ15" s="1398"/>
      <c r="AR15" s="1398"/>
      <c r="AS15" s="1398"/>
      <c r="AT15" s="1398"/>
      <c r="AU15" s="1398"/>
      <c r="AV15" s="1398"/>
      <c r="AW15" s="1398"/>
      <c r="AX15" s="1398"/>
      <c r="AY15" s="1398"/>
      <c r="AZ15" s="1398"/>
      <c r="BA15" s="1398"/>
      <c r="BB15" s="1398"/>
      <c r="BC15" s="1399"/>
      <c r="BE15" s="510"/>
      <c r="BF15" s="510" t="str">
        <f>IF(T15="","",T15)</f>
        <v/>
      </c>
      <c r="BG15" s="510"/>
      <c r="BH15" s="510"/>
      <c r="BI15" s="521">
        <v>0</v>
      </c>
    </row>
    <row s="1652" customFormat="1" customHeight="1" ht="14.25" hidden="1">
      <c r="A16" s="1353"/>
      <c r="B16" s="1353"/>
      <c r="C16" s="1353"/>
      <c r="D16" s="1324"/>
      <c r="E16" s="2269"/>
      <c r="F16" s="2269"/>
      <c r="G16" s="2268"/>
      <c r="H16" s="1324"/>
      <c r="I16" s="1324"/>
      <c r="J16" s="1324"/>
      <c r="K16" s="1324"/>
      <c r="L16" s="1504"/>
      <c r="M16" s="1325"/>
      <c r="N16" s="1325"/>
      <c r="P16" s="1326"/>
      <c r="Q16" s="1327"/>
      <c r="R16" s="1326"/>
      <c r="S16" s="1332"/>
      <c r="T16" s="1335"/>
      <c r="U16" s="1334"/>
      <c r="V16" s="1334"/>
      <c r="W16" s="1334"/>
      <c r="X16" s="1334"/>
      <c r="Y16" s="1334"/>
      <c r="Z16" s="1334"/>
      <c r="AA16" s="1334"/>
      <c r="AB16" s="1334"/>
      <c r="AC16" s="1334"/>
      <c r="AD16" s="1334"/>
      <c r="AE16" s="1334"/>
      <c r="AF16" s="1334"/>
      <c r="AG16" s="1334"/>
      <c r="AH16" s="1334"/>
      <c r="AI16" s="1334"/>
      <c r="AJ16" s="1334"/>
      <c r="AK16" s="1334"/>
      <c r="AL16" s="1334"/>
      <c r="AM16" s="1334"/>
      <c r="AN16" s="1334"/>
      <c r="AO16" s="1334"/>
      <c r="AP16" s="1334"/>
      <c r="AQ16" s="1334"/>
      <c r="AR16" s="1334"/>
      <c r="AS16" s="1334"/>
      <c r="AT16" s="1334"/>
      <c r="AU16" s="1334"/>
      <c r="AV16" s="1334"/>
      <c r="AW16" s="1334"/>
      <c r="AX16" s="1334"/>
      <c r="AY16" s="1334"/>
      <c r="AZ16" s="1334"/>
      <c r="BA16" s="1334"/>
      <c r="BB16" s="1334"/>
      <c r="BC16" s="1334"/>
      <c r="BE16" s="799"/>
      <c r="BF16" s="799" t="str">
        <f>IF(T16="","",T16)</f>
        <v/>
      </c>
      <c r="BG16" s="799"/>
      <c r="BH16" s="799"/>
      <c r="BI16" s="528">
        <v>0</v>
      </c>
    </row>
    <row s="1652" customFormat="1" customHeight="1" ht="14.25" hidden="1">
      <c r="A17" s="1353"/>
      <c r="B17" s="1353"/>
      <c r="C17" s="1324"/>
      <c r="D17" s="1324"/>
      <c r="E17" s="2269"/>
      <c r="F17" s="2268"/>
      <c r="G17" s="1324"/>
      <c r="H17" s="1324"/>
      <c r="I17" s="1324"/>
      <c r="J17" s="1324"/>
      <c r="K17" s="1324"/>
      <c r="L17" s="1504"/>
      <c r="M17" s="1331"/>
      <c r="N17" s="1331"/>
      <c r="P17" s="1326"/>
      <c r="Q17" s="1327"/>
      <c r="R17" s="1326"/>
      <c r="S17" s="1332"/>
      <c r="T17" s="1335" t="s">
        <v>437</v>
      </c>
      <c r="U17" s="1334"/>
      <c r="V17" s="1334"/>
      <c r="W17" s="1334"/>
      <c r="X17" s="1334"/>
      <c r="Y17" s="1334"/>
      <c r="Z17" s="1334"/>
      <c r="AA17" s="1334"/>
      <c r="AB17" s="1334"/>
      <c r="AC17" s="1334"/>
      <c r="AD17" s="1334"/>
      <c r="AE17" s="1334"/>
      <c r="AF17" s="1334"/>
      <c r="AG17" s="1334"/>
      <c r="AH17" s="1334"/>
      <c r="AI17" s="1334"/>
      <c r="AJ17" s="1334"/>
      <c r="AK17" s="1334"/>
      <c r="AL17" s="1334"/>
      <c r="AM17" s="1334"/>
      <c r="AN17" s="1334"/>
      <c r="AO17" s="1334"/>
      <c r="AP17" s="1334"/>
      <c r="AQ17" s="1334"/>
      <c r="AR17" s="1334"/>
      <c r="AS17" s="1334"/>
      <c r="AT17" s="1334"/>
      <c r="AU17" s="1334"/>
      <c r="AV17" s="1334"/>
      <c r="AW17" s="1334"/>
      <c r="AX17" s="1334"/>
      <c r="AY17" s="1334"/>
      <c r="AZ17" s="1334"/>
      <c r="BA17" s="1334"/>
      <c r="BB17" s="1334"/>
      <c r="BC17" s="1334"/>
      <c r="BE17" s="799"/>
      <c r="BF17" s="799" t="str">
        <f>IF(T17="","",T17)</f>
        <v>Добавить централизованную систему для дифференциации</v>
      </c>
      <c r="BG17" s="799"/>
      <c r="BH17" s="799"/>
      <c r="BI17" s="528">
        <v>0</v>
      </c>
    </row>
    <row s="1652" customFormat="1" customHeight="1" ht="14.25" hidden="1">
      <c r="A18" s="1353"/>
      <c r="B18" s="1353"/>
      <c r="C18" s="1353"/>
      <c r="D18" s="1353"/>
      <c r="E18" s="2268"/>
      <c r="F18" s="1353"/>
      <c r="G18" s="1353"/>
      <c r="H18" s="1353"/>
      <c r="I18" s="1353"/>
      <c r="J18" s="1353"/>
      <c r="K18" s="1353"/>
      <c r="L18" s="1356"/>
      <c r="M18" s="1331"/>
      <c r="N18" s="1331"/>
      <c r="O18" s="528"/>
      <c r="P18" s="390"/>
      <c r="Q18" s="1354"/>
      <c r="R18" s="390"/>
      <c r="S18" s="1332"/>
      <c r="T18" s="1335" t="s">
        <v>438</v>
      </c>
      <c r="U18" s="1334"/>
      <c r="V18" s="1334"/>
      <c r="W18" s="1334"/>
      <c r="X18" s="1334"/>
      <c r="Y18" s="1334"/>
      <c r="Z18" s="1334"/>
      <c r="AA18" s="1334"/>
      <c r="AB18" s="1334"/>
      <c r="AC18" s="1334"/>
      <c r="AD18" s="1334"/>
      <c r="AE18" s="1334"/>
      <c r="AF18" s="1334"/>
      <c r="AG18" s="1334"/>
      <c r="AH18" s="1334"/>
      <c r="AI18" s="1334"/>
      <c r="AJ18" s="1334"/>
      <c r="AK18" s="1334"/>
      <c r="AL18" s="1334"/>
      <c r="AM18" s="1334"/>
      <c r="AN18" s="1334"/>
      <c r="AO18" s="1334"/>
      <c r="AP18" s="1334"/>
      <c r="AQ18" s="1334"/>
      <c r="AR18" s="1334"/>
      <c r="AS18" s="1334"/>
      <c r="AT18" s="1334"/>
      <c r="AU18" s="1334"/>
      <c r="AV18" s="1334"/>
      <c r="AW18" s="1334"/>
      <c r="AX18" s="1334"/>
      <c r="AY18" s="1334"/>
      <c r="AZ18" s="1334"/>
      <c r="BA18" s="1334"/>
      <c r="BB18" s="1334"/>
      <c r="BC18" s="1334"/>
      <c r="BE18" s="510"/>
      <c r="BF18" s="510" t="str">
        <f>IF(T18="","",T18)</f>
        <v>Добавить территорию для дифференциации</v>
      </c>
      <c r="BG18" s="510"/>
      <c r="BH18" s="510"/>
      <c r="BI18" s="521">
        <v>0</v>
      </c>
    </row>
    <row customHeight="1" ht="14.25" hidden="1">
      <c r="AC19" s="337"/>
      <c r="BA19" s="337"/>
      <c r="BI19" s="1165">
        <v>0</v>
      </c>
    </row>
    <row customHeight="1" ht="14.25" hidden="1">
      <c r="AD20" s="1334" t="s">
        <v>19</v>
      </c>
      <c r="AE20" s="1511"/>
      <c r="AF20" s="558">
        <v>1</v>
      </c>
      <c r="AG20" s="1512"/>
      <c r="AH20" s="1334" t="s">
        <v>19</v>
      </c>
      <c r="AI20" s="1511"/>
      <c r="AJ20" s="558">
        <v>1</v>
      </c>
      <c r="AK20" s="1512"/>
      <c r="AL20" s="1334" t="s">
        <v>19</v>
      </c>
      <c r="AM20" s="1513"/>
      <c r="AN20" s="558">
        <v>1</v>
      </c>
      <c r="AO20" s="1514"/>
      <c r="AP20" s="1334" t="s">
        <v>19</v>
      </c>
      <c r="AQ20" s="1513"/>
      <c r="AR20" s="558">
        <v>1</v>
      </c>
      <c r="AS20" s="1514"/>
      <c r="AT20" s="335"/>
      <c r="AU20" s="394"/>
      <c r="AV20" s="335"/>
      <c r="AW20" s="394"/>
      <c r="AX20" s="1746"/>
      <c r="AY20" s="1495" t="s">
        <v>66</v>
      </c>
      <c r="AZ20" s="1746"/>
      <c r="BA20" s="1495" t="s">
        <v>66</v>
      </c>
      <c r="BI20" s="1165">
        <v>0</v>
      </c>
    </row>
    <row customHeight="1" ht="14.25" hidden="1">
      <c r="BD21" s="506"/>
      <c r="BE21" s="506"/>
      <c r="BF21" s="506"/>
      <c r="BG21" s="506"/>
      <c r="BH21" s="506"/>
      <c r="BI21" s="1165">
        <v>0</v>
      </c>
    </row>
    <row customHeight="1" ht="14.25" hidden="1">
      <c r="O22" s="1377" t="s">
        <v>439</v>
      </c>
      <c r="Z22" s="1355"/>
      <c r="AB22" s="1355"/>
      <c r="AC22" s="337"/>
      <c r="AX22" s="1355"/>
      <c r="AZ22" s="1355"/>
      <c r="BA22" s="337"/>
      <c r="BD22" s="506"/>
      <c r="BE22" s="506"/>
      <c r="BF22" s="506"/>
      <c r="BG22" s="506"/>
      <c r="BH22" s="506"/>
      <c r="BI22" s="1165">
        <v>0</v>
      </c>
    </row>
    <row customHeight="1" ht="14.25" hidden="1">
      <c r="AC23" s="337"/>
      <c r="BA23" s="337"/>
      <c r="BD23" s="506"/>
      <c r="BE23" s="506"/>
      <c r="BF23" s="506"/>
      <c r="BG23" s="506"/>
      <c r="BH23" s="506"/>
      <c r="BI23" s="1165">
        <v>0</v>
      </c>
    </row>
    <row s="1519" customFormat="1" customHeight="1" ht="14.25" hidden="1">
      <c r="M24" s="1518"/>
      <c r="N24" s="1518"/>
      <c r="O24" s="1519" t="s">
        <v>440</v>
      </c>
      <c r="P24" s="1518"/>
      <c r="Q24" s="1520"/>
      <c r="R24" s="1520"/>
      <c r="AA24" s="1517" t="s">
        <v>442</v>
      </c>
      <c r="AC24" s="1517" t="s">
        <v>443</v>
      </c>
      <c r="AD24" s="1517" t="s">
        <v>491</v>
      </c>
      <c r="AH24" s="1517" t="s">
        <v>491</v>
      </c>
      <c r="AK24" s="1517" t="s">
        <v>528</v>
      </c>
      <c r="AL24" s="1517" t="s">
        <v>491</v>
      </c>
      <c r="AP24" s="1517" t="s">
        <v>491</v>
      </c>
      <c r="AY24" s="1517" t="s">
        <v>442</v>
      </c>
      <c r="BA24" s="1517" t="s">
        <v>443</v>
      </c>
      <c r="BD24" s="1521"/>
      <c r="BE24" s="1521"/>
      <c r="BF24" s="1521"/>
      <c r="BG24" s="1521"/>
      <c r="BH24" s="1521"/>
      <c r="BI24" s="1517">
        <v>0</v>
      </c>
    </row>
    <row customHeight="1" ht="14.25" hidden="1">
      <c r="O25" s="1374"/>
      <c r="BD25" s="506"/>
      <c r="BE25" s="506"/>
      <c r="BF25" s="506"/>
      <c r="BG25" s="506"/>
      <c r="BH25" s="506"/>
      <c r="BI25" s="1165">
        <v>0</v>
      </c>
    </row>
    <row customHeight="1" ht="14.25" hidden="1">
      <c r="O26" s="1374"/>
      <c r="BD26" s="506"/>
      <c r="BE26" s="506"/>
      <c r="BF26" s="506"/>
      <c r="BG26" s="506"/>
      <c r="BH26" s="506"/>
      <c r="BI26" s="1165">
        <v>0</v>
      </c>
    </row>
    <row customHeight="1" ht="14.699999999999998">
      <c r="Q27" s="301"/>
      <c r="R27" s="386"/>
      <c r="S27" s="1285"/>
      <c r="T27" s="373"/>
      <c r="U27" s="373"/>
      <c r="V27" s="519"/>
      <c r="W27" s="519"/>
      <c r="X27" s="519"/>
      <c r="Y27" s="519"/>
      <c r="Z27" s="519"/>
      <c r="AA27" s="519"/>
      <c r="AB27" s="519"/>
      <c r="AC27" s="519"/>
      <c r="AD27" s="519"/>
      <c r="AE27" s="519"/>
      <c r="AF27" s="519"/>
      <c r="AG27" s="519"/>
      <c r="AH27" s="519"/>
      <c r="AI27" s="519"/>
      <c r="AJ27" s="519"/>
      <c r="AK27" s="519"/>
      <c r="AL27" s="519"/>
      <c r="AM27" s="519"/>
      <c r="AN27" s="519"/>
      <c r="AO27" s="519"/>
      <c r="AP27" s="519"/>
      <c r="AQ27" s="519"/>
      <c r="AR27" s="519"/>
      <c r="AS27" s="519"/>
      <c r="AT27" s="519"/>
      <c r="AU27" s="519"/>
      <c r="AV27" s="519"/>
      <c r="AW27" s="519"/>
      <c r="AX27" s="519"/>
      <c r="AY27" s="519"/>
      <c r="AZ27" s="519"/>
      <c r="BA27" s="519"/>
      <c r="BI27" s="1165">
        <v>14</v>
      </c>
    </row>
    <row customHeight="1" ht="14.699999999999998">
      <c r="Q28" s="301"/>
      <c r="R28" s="386"/>
      <c r="S28" s="2258"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8"/>
      <c r="U28" s="2258"/>
      <c r="V28" s="2258"/>
      <c r="W28" s="2258"/>
      <c r="X28" s="2258"/>
      <c r="Y28" s="2258"/>
      <c r="Z28" s="2258"/>
      <c r="AA28" s="2258"/>
      <c r="AB28" s="2258"/>
      <c r="AC28" s="2258"/>
      <c r="AD28" s="2258"/>
      <c r="AE28" s="2258"/>
      <c r="AF28" s="2258"/>
      <c r="AG28" s="2258"/>
      <c r="AH28" s="2258"/>
      <c r="AI28" s="2258"/>
      <c r="AJ28" s="2258"/>
      <c r="AK28" s="2258"/>
      <c r="AL28" s="2258"/>
      <c r="AM28" s="2258"/>
      <c r="AN28" s="2258"/>
      <c r="AO28" s="2258"/>
      <c r="AP28" s="2258"/>
      <c r="AQ28" s="2258"/>
      <c r="AR28" s="2258"/>
      <c r="AS28" s="2258"/>
      <c r="AT28" s="2258"/>
      <c r="AU28" s="2258"/>
      <c r="AV28" s="2258"/>
      <c r="AW28" s="2258"/>
      <c r="AX28" s="2258"/>
      <c r="AY28" s="2258"/>
      <c r="AZ28" s="2258"/>
      <c r="BA28" s="1253"/>
      <c r="BI28" s="1165">
        <v>14</v>
      </c>
    </row>
    <row customHeight="1" ht="14.699999999999998">
      <c r="Q29" s="301"/>
      <c r="R29" s="386"/>
      <c r="S29" s="2259" t="str">
        <f>IF(org=0,"Не определено",org)</f>
        <v>АО «ДГК» СП «Нерюнгринская ГРЭС»</v>
      </c>
      <c r="T29" s="2259"/>
      <c r="U29" s="2259"/>
      <c r="V29" s="2259"/>
      <c r="W29" s="2259"/>
      <c r="X29" s="2259"/>
      <c r="Y29" s="2259"/>
      <c r="Z29" s="2259"/>
      <c r="AA29" s="2259"/>
      <c r="AB29" s="2259"/>
      <c r="AC29" s="2259"/>
      <c r="AD29" s="2259"/>
      <c r="AE29" s="2259"/>
      <c r="AF29" s="2259"/>
      <c r="AG29" s="2259"/>
      <c r="AH29" s="2259"/>
      <c r="AI29" s="2259"/>
      <c r="AJ29" s="2259"/>
      <c r="AK29" s="2259"/>
      <c r="AL29" s="2259"/>
      <c r="AM29" s="2259"/>
      <c r="AN29" s="2259"/>
      <c r="AO29" s="2259"/>
      <c r="AP29" s="2259"/>
      <c r="AQ29" s="2259"/>
      <c r="AR29" s="2259"/>
      <c r="AS29" s="2259"/>
      <c r="AT29" s="2259"/>
      <c r="AU29" s="2259"/>
      <c r="AV29" s="2259"/>
      <c r="AW29" s="2259"/>
      <c r="AX29" s="2259"/>
      <c r="AY29" s="2259"/>
      <c r="AZ29" s="2259"/>
      <c r="BA29" s="1253"/>
      <c r="BI29" s="1165">
        <v>14</v>
      </c>
    </row>
    <row customHeight="1" ht="14.25" hidden="1">
      <c r="Q30" s="301"/>
      <c r="R30" s="386"/>
      <c r="S30" s="1285"/>
      <c r="T30" s="373"/>
      <c r="U30" s="373"/>
      <c r="V30" s="332"/>
      <c r="W30" s="332"/>
      <c r="X30" s="332"/>
      <c r="Y30" s="332"/>
      <c r="Z30" s="332"/>
      <c r="AA30" s="332"/>
      <c r="AB30" s="332"/>
      <c r="AC30" s="332"/>
      <c r="AD30" s="332"/>
      <c r="AE30" s="332"/>
      <c r="AF30" s="332"/>
      <c r="AG30" s="332"/>
      <c r="AH30" s="332"/>
      <c r="AI30" s="332"/>
      <c r="AJ30" s="332"/>
      <c r="AK30" s="332"/>
      <c r="AL30" s="332"/>
      <c r="AM30" s="332"/>
      <c r="AN30" s="332"/>
      <c r="AO30" s="332"/>
      <c r="AP30" s="332"/>
      <c r="AQ30" s="332"/>
      <c r="AR30" s="332"/>
      <c r="AS30" s="332"/>
      <c r="AT30" s="332"/>
      <c r="AU30" s="332"/>
      <c r="AV30" s="332"/>
      <c r="AW30" s="332"/>
      <c r="AX30" s="332"/>
      <c r="AY30" s="332"/>
      <c r="AZ30" s="332"/>
      <c r="BA30" s="332"/>
      <c r="BB30" s="519"/>
      <c r="BI30" s="1165">
        <v>0</v>
      </c>
    </row>
    <row s="1863" customFormat="1" customHeight="1" ht="25.5" hidden="1">
      <c r="A31" s="1378"/>
      <c r="B31" s="1378"/>
      <c r="C31" s="1378"/>
      <c r="D31" s="1378"/>
      <c r="E31" s="1378"/>
      <c r="F31" s="1378"/>
      <c r="G31" s="1378"/>
      <c r="H31" s="1378"/>
      <c r="I31" s="1378"/>
      <c r="J31" s="1378"/>
      <c r="K31" s="1378"/>
      <c r="L31" s="1379"/>
      <c r="M31" s="1378"/>
      <c r="N31" s="1378"/>
      <c r="O31" s="1378"/>
      <c r="P31" s="1378"/>
      <c r="Q31" s="1378"/>
      <c r="S31" s="2260" t="s">
        <v>42</v>
      </c>
      <c r="T31" s="2260"/>
      <c r="U31" s="1382"/>
      <c r="V31" s="2261" t="str">
        <f>IF(TITLE_NAME_OR_PR_CHANGE="",IF(TITLE_NAME_OR_PR="","",TITLE_NAME_OR_PR),TITLE_NAME_OR_PR_CHANGE)</f>
        <v/>
      </c>
      <c r="W31" s="2261"/>
      <c r="X31" s="2261"/>
      <c r="Y31" s="2261"/>
      <c r="Z31" s="2261"/>
      <c r="AA31" s="2261"/>
      <c r="AB31" s="2261"/>
      <c r="AC31" s="336"/>
      <c r="AD31" s="2261" t="str">
        <f>IF(TITLE_NAME_OR_PR_CHANGE="",IF(TITLE_NAME_OR_PR="","",TITLE_NAME_OR_PR),TITLE_NAME_OR_PR_CHANGE)</f>
        <v/>
      </c>
      <c r="AE31" s="2261"/>
      <c r="AF31" s="2261"/>
      <c r="AG31" s="2261"/>
      <c r="AH31" s="2261"/>
      <c r="AI31" s="2261"/>
      <c r="AJ31" s="2261"/>
      <c r="AK31" s="2261"/>
      <c r="AL31" s="2261"/>
      <c r="AM31" s="2261"/>
      <c r="AN31" s="2261"/>
      <c r="AO31" s="2261"/>
      <c r="AP31" s="2261"/>
      <c r="AQ31" s="2261"/>
      <c r="AR31" s="2261"/>
      <c r="AS31" s="2261"/>
      <c r="AT31" s="2261"/>
      <c r="AU31" s="2261"/>
      <c r="AV31" s="2261"/>
      <c r="AW31" s="2261"/>
      <c r="AX31" s="2261"/>
      <c r="AY31" s="2261"/>
      <c r="AZ31" s="2261"/>
      <c r="BA31" s="336"/>
      <c r="BB31" s="336"/>
      <c r="BC31" s="290"/>
      <c r="BD31" s="378"/>
      <c r="BE31" s="378"/>
      <c r="BF31" s="378"/>
      <c r="BG31" s="378"/>
      <c r="BH31" s="378"/>
      <c r="BI31" s="428">
        <v>0</v>
      </c>
    </row>
    <row s="1863" customFormat="1" customHeight="1" ht="18.75" hidden="1">
      <c r="A32" s="1378"/>
      <c r="B32" s="1378"/>
      <c r="C32" s="1378"/>
      <c r="D32" s="1378"/>
      <c r="E32" s="1378"/>
      <c r="F32" s="1378"/>
      <c r="G32" s="1378"/>
      <c r="H32" s="1378"/>
      <c r="I32" s="1378"/>
      <c r="J32" s="1378"/>
      <c r="K32" s="1378"/>
      <c r="L32" s="1379"/>
      <c r="M32" s="1378"/>
      <c r="N32" s="1378"/>
      <c r="O32" s="1378"/>
      <c r="P32" s="1378"/>
      <c r="Q32" s="1378"/>
      <c r="S32" s="2260" t="s">
        <v>445</v>
      </c>
      <c r="T32" s="2260"/>
      <c r="U32" s="1382"/>
      <c r="V32" s="2274" t="str">
        <f>IF(TITLE_DATE_PR_CHANGE="",IF(TITLE_DATE_PR="","",TITLE_DATE_PR),TITLE_DATE_PR_CHANGE)</f>
        <v/>
      </c>
      <c r="W32" s="2274"/>
      <c r="X32" s="2274"/>
      <c r="Y32" s="2274"/>
      <c r="Z32" s="2274"/>
      <c r="AA32" s="2274"/>
      <c r="AB32" s="2274"/>
      <c r="AC32" s="336"/>
      <c r="AD32" s="2274" t="str">
        <f>IF(TITLE_DATE_PR_CHANGE="",IF(TITLE_DATE_PR="","",TITLE_DATE_PR),TITLE_DATE_PR_CHANGE)</f>
        <v/>
      </c>
      <c r="AE32" s="2274"/>
      <c r="AF32" s="2274"/>
      <c r="AG32" s="2274"/>
      <c r="AH32" s="2274"/>
      <c r="AI32" s="2274"/>
      <c r="AJ32" s="2274"/>
      <c r="AK32" s="2274"/>
      <c r="AL32" s="2274"/>
      <c r="AM32" s="2274"/>
      <c r="AN32" s="2274"/>
      <c r="AO32" s="2274"/>
      <c r="AP32" s="2274"/>
      <c r="AQ32" s="2274"/>
      <c r="AR32" s="2274"/>
      <c r="AS32" s="2274"/>
      <c r="AT32" s="2274"/>
      <c r="AU32" s="2274"/>
      <c r="AV32" s="2274"/>
      <c r="AW32" s="2274"/>
      <c r="AX32" s="2274"/>
      <c r="AY32" s="2274"/>
      <c r="AZ32" s="2274"/>
      <c r="BA32" s="336"/>
      <c r="BB32" s="336"/>
      <c r="BC32" s="290"/>
      <c r="BD32" s="378"/>
      <c r="BE32" s="378"/>
      <c r="BF32" s="378"/>
      <c r="BG32" s="378"/>
      <c r="BH32" s="378"/>
      <c r="BI32" s="428">
        <v>0</v>
      </c>
    </row>
    <row s="1863" customFormat="1" customHeight="1" ht="18.75" hidden="1">
      <c r="A33" s="1378"/>
      <c r="B33" s="1378"/>
      <c r="C33" s="1378"/>
      <c r="D33" s="1378"/>
      <c r="E33" s="1378"/>
      <c r="F33" s="1378"/>
      <c r="G33" s="1378"/>
      <c r="H33" s="1378"/>
      <c r="I33" s="1378"/>
      <c r="J33" s="1378"/>
      <c r="K33" s="1378"/>
      <c r="L33" s="1379"/>
      <c r="M33" s="1378"/>
      <c r="N33" s="1378"/>
      <c r="O33" s="1378"/>
      <c r="P33" s="1378"/>
      <c r="Q33" s="1378"/>
      <c r="S33" s="2260" t="s">
        <v>446</v>
      </c>
      <c r="T33" s="2260"/>
      <c r="U33" s="1382"/>
      <c r="V33" s="2261" t="str">
        <f>IF(TITLE_NUMBER_PR_CHANGE="",IF(TITLE_NUMBER_PR="","",TITLE_NUMBER_PR),TITLE_NUMBER_PR_CHANGE)</f>
        <v/>
      </c>
      <c r="W33" s="2261"/>
      <c r="X33" s="2261"/>
      <c r="Y33" s="2261"/>
      <c r="Z33" s="2261"/>
      <c r="AA33" s="2261"/>
      <c r="AB33" s="2261"/>
      <c r="AC33" s="336"/>
      <c r="AD33" s="2261" t="str">
        <f>IF(TITLE_NUMBER_PR_CHANGE="",IF(TITLE_NUMBER_PR="","",TITLE_NUMBER_PR),TITLE_NUMBER_PR_CHANGE)</f>
        <v/>
      </c>
      <c r="AE33" s="2261"/>
      <c r="AF33" s="2261"/>
      <c r="AG33" s="2261"/>
      <c r="AH33" s="2261"/>
      <c r="AI33" s="2261"/>
      <c r="AJ33" s="2261"/>
      <c r="AK33" s="2261"/>
      <c r="AL33" s="2261"/>
      <c r="AM33" s="2261"/>
      <c r="AN33" s="2261"/>
      <c r="AO33" s="2261"/>
      <c r="AP33" s="2261"/>
      <c r="AQ33" s="2261"/>
      <c r="AR33" s="2261"/>
      <c r="AS33" s="2261"/>
      <c r="AT33" s="2261"/>
      <c r="AU33" s="2261"/>
      <c r="AV33" s="2261"/>
      <c r="AW33" s="2261"/>
      <c r="AX33" s="2261"/>
      <c r="AY33" s="2261"/>
      <c r="AZ33" s="2261"/>
      <c r="BA33" s="336"/>
      <c r="BB33" s="336"/>
      <c r="BC33" s="290"/>
      <c r="BD33" s="378"/>
      <c r="BE33" s="378"/>
      <c r="BF33" s="378"/>
      <c r="BG33" s="378"/>
      <c r="BH33" s="378"/>
      <c r="BI33" s="428">
        <v>0</v>
      </c>
    </row>
    <row s="1863" customFormat="1" customHeight="1" ht="18.75" hidden="1">
      <c r="A34" s="1378"/>
      <c r="B34" s="1378"/>
      <c r="C34" s="1378"/>
      <c r="D34" s="1378"/>
      <c r="E34" s="1378"/>
      <c r="F34" s="1378"/>
      <c r="G34" s="1378"/>
      <c r="H34" s="1378"/>
      <c r="I34" s="1378"/>
      <c r="J34" s="1378"/>
      <c r="K34" s="1378"/>
      <c r="L34" s="1379"/>
      <c r="M34" s="1378"/>
      <c r="N34" s="1378"/>
      <c r="O34" s="1378"/>
      <c r="P34" s="1378"/>
      <c r="Q34" s="1378"/>
      <c r="S34" s="2260" t="s">
        <v>43</v>
      </c>
      <c r="T34" s="2260"/>
      <c r="U34" s="1382"/>
      <c r="V34" s="2261" t="str">
        <f>IF(TITLE_IST_PUB_CHANGE="",IF(TITLE_IST_PUB="","",TITLE_IST_PUB),TITLE_IST_PUB_CHANGE)</f>
        <v/>
      </c>
      <c r="W34" s="2261"/>
      <c r="X34" s="2261"/>
      <c r="Y34" s="2261"/>
      <c r="Z34" s="2261"/>
      <c r="AA34" s="2261"/>
      <c r="AB34" s="2261"/>
      <c r="AC34" s="336"/>
      <c r="AD34" s="2261" t="str">
        <f>IF(TITLE_IST_PUB_CHANGE="",IF(TITLE_IST_PUB="","",TITLE_IST_PUB),TITLE_IST_PUB_CHANGE)</f>
        <v/>
      </c>
      <c r="AE34" s="2261"/>
      <c r="AF34" s="2261"/>
      <c r="AG34" s="2261"/>
      <c r="AH34" s="2261"/>
      <c r="AI34" s="2261"/>
      <c r="AJ34" s="2261"/>
      <c r="AK34" s="2261"/>
      <c r="AL34" s="2261"/>
      <c r="AM34" s="2261"/>
      <c r="AN34" s="2261"/>
      <c r="AO34" s="2261"/>
      <c r="AP34" s="2261"/>
      <c r="AQ34" s="2261"/>
      <c r="AR34" s="2261"/>
      <c r="AS34" s="2261"/>
      <c r="AT34" s="2261"/>
      <c r="AU34" s="2261"/>
      <c r="AV34" s="2261"/>
      <c r="AW34" s="2261"/>
      <c r="AX34" s="2261"/>
      <c r="AY34" s="2261"/>
      <c r="AZ34" s="2261"/>
      <c r="BA34" s="336"/>
      <c r="BB34" s="336"/>
      <c r="BC34" s="290"/>
      <c r="BD34" s="378"/>
      <c r="BE34" s="378"/>
      <c r="BF34" s="378"/>
      <c r="BG34" s="378"/>
      <c r="BH34" s="378"/>
      <c r="BI34" s="428">
        <v>0</v>
      </c>
    </row>
    <row customHeight="1" ht="14.25" hidden="1">
      <c r="Q35" s="301"/>
      <c r="R35" s="386"/>
      <c r="S35" s="1285"/>
      <c r="T35" s="373"/>
      <c r="U35" s="373"/>
      <c r="V35" s="332"/>
      <c r="W35" s="332"/>
      <c r="X35" s="332"/>
      <c r="Y35" s="332"/>
      <c r="Z35" s="332"/>
      <c r="AA35" s="332"/>
      <c r="AB35" s="332"/>
      <c r="AC35" s="332"/>
      <c r="AD35" s="332"/>
      <c r="AE35" s="332"/>
      <c r="AF35" s="332"/>
      <c r="AG35" s="332"/>
      <c r="AH35" s="332"/>
      <c r="AI35" s="332"/>
      <c r="AJ35" s="332"/>
      <c r="AK35" s="332"/>
      <c r="AL35" s="332"/>
      <c r="AM35" s="332"/>
      <c r="AN35" s="332"/>
      <c r="AO35" s="332"/>
      <c r="AP35" s="332"/>
      <c r="AQ35" s="332"/>
      <c r="AR35" s="332"/>
      <c r="AS35" s="332"/>
      <c r="AT35" s="332"/>
      <c r="AU35" s="332"/>
      <c r="AV35" s="332"/>
      <c r="AW35" s="332"/>
      <c r="AX35" s="332"/>
      <c r="AY35" s="332"/>
      <c r="AZ35" s="332"/>
      <c r="BA35" s="332"/>
      <c r="BB35" s="519"/>
      <c r="BI35" s="1165">
        <v>0</v>
      </c>
    </row>
    <row s="1863" customFormat="1" customHeight="1" ht="18.75" hidden="1">
      <c r="A36" s="1378"/>
      <c r="B36" s="1378"/>
      <c r="C36" s="1378"/>
      <c r="D36" s="1378"/>
      <c r="E36" s="1378"/>
      <c r="F36" s="1378"/>
      <c r="G36" s="1378"/>
      <c r="H36" s="1378"/>
      <c r="I36" s="1378"/>
      <c r="J36" s="1378"/>
      <c r="K36" s="1378"/>
      <c r="L36" s="1379"/>
      <c r="M36" s="1378"/>
      <c r="N36" s="1378"/>
      <c r="O36" s="1378"/>
      <c r="P36" s="1378"/>
      <c r="Q36" s="1378"/>
      <c r="S36" s="2260" t="s">
        <v>445</v>
      </c>
      <c r="T36" s="2260"/>
      <c r="U36" s="1382"/>
      <c r="V36" s="2274" t="str">
        <f>IF(TITLE_DATE_PR_CHANGE="",IF(TITLE_DATE_PR="","",TITLE_DATE_PR),TITLE_DATE_PR_CHANGE)</f>
        <v/>
      </c>
      <c r="W36" s="2274"/>
      <c r="X36" s="2274"/>
      <c r="Y36" s="2274"/>
      <c r="Z36" s="2274"/>
      <c r="AA36" s="2274"/>
      <c r="AB36" s="2274"/>
      <c r="AC36" s="336"/>
      <c r="AD36" s="2274" t="str">
        <f>IF(TITLE_DATE_PR_CHANGE="",IF(TITLE_DATE_PR="","",TITLE_DATE_PR),TITLE_DATE_PR_CHANGE)</f>
        <v/>
      </c>
      <c r="AE36" s="2274"/>
      <c r="AF36" s="2274"/>
      <c r="AG36" s="2274"/>
      <c r="AH36" s="2274"/>
      <c r="AI36" s="2274"/>
      <c r="AJ36" s="2274"/>
      <c r="AK36" s="2274"/>
      <c r="AL36" s="2274"/>
      <c r="AM36" s="2274"/>
      <c r="AN36" s="2274"/>
      <c r="AO36" s="2274"/>
      <c r="AP36" s="2274"/>
      <c r="AQ36" s="2274"/>
      <c r="AR36" s="2274"/>
      <c r="AS36" s="2274"/>
      <c r="AT36" s="2274"/>
      <c r="AU36" s="2274"/>
      <c r="AV36" s="2274"/>
      <c r="AW36" s="2274"/>
      <c r="AX36" s="2274"/>
      <c r="AY36" s="2274"/>
      <c r="AZ36" s="2274"/>
      <c r="BA36" s="336"/>
      <c r="BB36" s="336"/>
      <c r="BC36" s="290"/>
      <c r="BD36" s="378"/>
      <c r="BE36" s="378"/>
      <c r="BF36" s="378"/>
      <c r="BG36" s="378"/>
      <c r="BH36" s="378"/>
      <c r="BI36" s="428">
        <v>0</v>
      </c>
    </row>
    <row s="1863" customFormat="1" customHeight="1" ht="18.75" hidden="1">
      <c r="A37" s="1378"/>
      <c r="B37" s="1378"/>
      <c r="C37" s="1378"/>
      <c r="D37" s="1378"/>
      <c r="E37" s="1378"/>
      <c r="F37" s="1378"/>
      <c r="G37" s="1378"/>
      <c r="H37" s="1378"/>
      <c r="I37" s="1378"/>
      <c r="J37" s="1378"/>
      <c r="K37" s="1378"/>
      <c r="L37" s="1379"/>
      <c r="M37" s="1378"/>
      <c r="N37" s="1378"/>
      <c r="O37" s="1378"/>
      <c r="P37" s="1378"/>
      <c r="Q37" s="1378"/>
      <c r="S37" s="2260" t="s">
        <v>446</v>
      </c>
      <c r="T37" s="2260"/>
      <c r="U37" s="1382"/>
      <c r="V37" s="2261" t="str">
        <f>IF(TITLE_NUMBER_PR_CHANGE="",IF(TITLE_NUMBER_PR="","",TITLE_NUMBER_PR),TITLE_NUMBER_PR_CHANGE)</f>
        <v/>
      </c>
      <c r="W37" s="2261"/>
      <c r="X37" s="2261"/>
      <c r="Y37" s="2261"/>
      <c r="Z37" s="2261"/>
      <c r="AA37" s="2261"/>
      <c r="AB37" s="2261"/>
      <c r="AC37" s="336"/>
      <c r="AD37" s="2261" t="str">
        <f>IF(TITLE_NUMBER_PR_CHANGE="",IF(TITLE_NUMBER_PR="","",TITLE_NUMBER_PR),TITLE_NUMBER_PR_CHANGE)</f>
        <v/>
      </c>
      <c r="AE37" s="2261"/>
      <c r="AF37" s="2261"/>
      <c r="AG37" s="2261"/>
      <c r="AH37" s="2261"/>
      <c r="AI37" s="2261"/>
      <c r="AJ37" s="2261"/>
      <c r="AK37" s="2261"/>
      <c r="AL37" s="2261"/>
      <c r="AM37" s="2261"/>
      <c r="AN37" s="2261"/>
      <c r="AO37" s="2261"/>
      <c r="AP37" s="2261"/>
      <c r="AQ37" s="2261"/>
      <c r="AR37" s="2261"/>
      <c r="AS37" s="2261"/>
      <c r="AT37" s="2261"/>
      <c r="AU37" s="2261"/>
      <c r="AV37" s="2261"/>
      <c r="AW37" s="2261"/>
      <c r="AX37" s="2261"/>
      <c r="AY37" s="2261"/>
      <c r="AZ37" s="2261"/>
      <c r="BA37" s="336"/>
      <c r="BB37" s="336"/>
      <c r="BC37" s="290"/>
      <c r="BD37" s="378"/>
      <c r="BE37" s="378"/>
      <c r="BF37" s="378"/>
      <c r="BG37" s="378"/>
      <c r="BH37" s="378"/>
      <c r="BI37" s="428">
        <v>0</v>
      </c>
    </row>
    <row s="1863" customFormat="1" customHeight="1" ht="0">
      <c r="A38" s="1378"/>
      <c r="B38" s="1378"/>
      <c r="C38" s="1378"/>
      <c r="D38" s="1378"/>
      <c r="E38" s="1378"/>
      <c r="F38" s="1378"/>
      <c r="G38" s="1378"/>
      <c r="H38" s="1378"/>
      <c r="I38" s="1378"/>
      <c r="J38" s="1378"/>
      <c r="K38" s="1378"/>
      <c r="L38" s="1379"/>
      <c r="M38" s="1378"/>
      <c r="N38" s="1378"/>
      <c r="O38" s="1378"/>
      <c r="P38" s="1378"/>
      <c r="Q38" s="1378"/>
      <c r="S38" s="333"/>
      <c r="T38" s="333"/>
      <c r="U38" s="1498"/>
      <c r="V38" s="336"/>
      <c r="W38" s="336"/>
      <c r="X38" s="336"/>
      <c r="Y38" s="336"/>
      <c r="Z38" s="336"/>
      <c r="AA38" s="336"/>
      <c r="AB38" s="336"/>
      <c r="AC38" s="288" t="s">
        <v>449</v>
      </c>
      <c r="AD38" s="336"/>
      <c r="AE38" s="336"/>
      <c r="AF38" s="336"/>
      <c r="AG38" s="336"/>
      <c r="AH38" s="336"/>
      <c r="AI38" s="336"/>
      <c r="AJ38" s="336"/>
      <c r="AK38" s="336"/>
      <c r="AL38" s="336"/>
      <c r="AM38" s="336"/>
      <c r="AN38" s="336"/>
      <c r="AO38" s="336"/>
      <c r="AP38" s="336"/>
      <c r="AQ38" s="336"/>
      <c r="AR38" s="336"/>
      <c r="AS38" s="336"/>
      <c r="AT38" s="336"/>
      <c r="AU38" s="336"/>
      <c r="AV38" s="336"/>
      <c r="AW38" s="336"/>
      <c r="AX38" s="336"/>
      <c r="AY38" s="336"/>
      <c r="AZ38" s="336"/>
      <c r="BA38" s="288" t="s">
        <v>449</v>
      </c>
      <c r="BD38" s="378"/>
      <c r="BE38" s="378"/>
      <c r="BF38" s="378"/>
      <c r="BG38" s="378"/>
      <c r="BH38" s="378"/>
      <c r="BI38" s="428">
        <v>0</v>
      </c>
    </row>
    <row customHeight="1" ht="14.699999999999998">
      <c r="Q39" s="301"/>
      <c r="R39" s="386"/>
      <c r="S39" s="1285"/>
      <c r="T39" s="373"/>
      <c r="U39" s="1254"/>
      <c r="V39" s="2262"/>
      <c r="W39" s="2262"/>
      <c r="X39" s="2262"/>
      <c r="Y39" s="2262"/>
      <c r="Z39" s="2262"/>
      <c r="AA39" s="2262"/>
      <c r="AB39" s="2262"/>
      <c r="AC39" s="2262"/>
      <c r="AD39" s="2262"/>
      <c r="AE39" s="2262"/>
      <c r="AF39" s="2262"/>
      <c r="AG39" s="2262"/>
      <c r="AH39" s="2262"/>
      <c r="AI39" s="2262"/>
      <c r="AJ39" s="2262"/>
      <c r="AK39" s="2262"/>
      <c r="AL39" s="2262"/>
      <c r="AM39" s="2262"/>
      <c r="AN39" s="2262"/>
      <c r="AO39" s="2262"/>
      <c r="AP39" s="2262"/>
      <c r="AQ39" s="2262"/>
      <c r="AR39" s="2262"/>
      <c r="AS39" s="2262"/>
      <c r="AT39" s="2262"/>
      <c r="AU39" s="2262"/>
      <c r="AV39" s="2262"/>
      <c r="AW39" s="2262"/>
      <c r="AX39" s="2262"/>
      <c r="AY39" s="2262"/>
      <c r="AZ39" s="2262"/>
      <c r="BA39" s="2262"/>
      <c r="BI39" s="1165">
        <v>14</v>
      </c>
    </row>
    <row customHeight="1" ht="14.699999999999998">
      <c r="Q40" s="301"/>
      <c r="R40" s="386"/>
      <c r="S40" s="2137" t="s">
        <v>322</v>
      </c>
      <c r="T40" s="2137"/>
      <c r="U40" s="2137"/>
      <c r="V40" s="2137"/>
      <c r="W40" s="2137"/>
      <c r="X40" s="2137"/>
      <c r="Y40" s="2137"/>
      <c r="Z40" s="2137"/>
      <c r="AA40" s="2137"/>
      <c r="AB40" s="2137"/>
      <c r="AC40" s="2137"/>
      <c r="AD40" s="2137"/>
      <c r="AE40" s="2137"/>
      <c r="AF40" s="2137"/>
      <c r="AG40" s="2137"/>
      <c r="AH40" s="2137"/>
      <c r="AI40" s="2137"/>
      <c r="AJ40" s="2137"/>
      <c r="AK40" s="2137"/>
      <c r="AL40" s="2137"/>
      <c r="AM40" s="2137"/>
      <c r="AN40" s="2137"/>
      <c r="AO40" s="2137"/>
      <c r="AP40" s="2137"/>
      <c r="AQ40" s="2137"/>
      <c r="AR40" s="2137"/>
      <c r="AS40" s="2137"/>
      <c r="AT40" s="2137"/>
      <c r="AU40" s="2137"/>
      <c r="AV40" s="2137"/>
      <c r="AW40" s="2137"/>
      <c r="AX40" s="2137"/>
      <c r="AY40" s="2137"/>
      <c r="AZ40" s="2137"/>
      <c r="BA40" s="2137"/>
      <c r="BB40" s="2137"/>
      <c r="BC40" s="2137" t="s">
        <v>323</v>
      </c>
      <c r="BI40" s="1165">
        <v>14</v>
      </c>
    </row>
    <row customHeight="1" ht="14.699999999999998">
      <c r="Q41" s="301"/>
      <c r="R41" s="386"/>
      <c r="S41" s="2283" t="s">
        <v>88</v>
      </c>
      <c r="T41" s="2219" t="s">
        <v>529</v>
      </c>
      <c r="U41" s="311"/>
      <c r="V41" s="2284" t="s">
        <v>451</v>
      </c>
      <c r="W41" s="2285"/>
      <c r="X41" s="2285"/>
      <c r="Y41" s="2285"/>
      <c r="Z41" s="2285"/>
      <c r="AA41" s="2285"/>
      <c r="AB41" s="2286"/>
      <c r="AC41" s="2287" t="s">
        <v>452</v>
      </c>
      <c r="AD41" s="2338" t="s">
        <v>530</v>
      </c>
      <c r="AE41" s="2301"/>
      <c r="AF41" s="2301"/>
      <c r="AG41" s="2339"/>
      <c r="AH41" s="2338" t="s">
        <v>531</v>
      </c>
      <c r="AI41" s="2301"/>
      <c r="AJ41" s="2301"/>
      <c r="AK41" s="2339"/>
      <c r="AL41" s="2338" t="s">
        <v>532</v>
      </c>
      <c r="AM41" s="2301"/>
      <c r="AN41" s="2301"/>
      <c r="AO41" s="2339"/>
      <c r="AP41" s="2338" t="s">
        <v>533</v>
      </c>
      <c r="AQ41" s="2301"/>
      <c r="AR41" s="2301"/>
      <c r="AS41" s="2339"/>
      <c r="AT41" s="2284" t="s">
        <v>451</v>
      </c>
      <c r="AU41" s="2285"/>
      <c r="AV41" s="2285"/>
      <c r="AW41" s="2285"/>
      <c r="AX41" s="2285"/>
      <c r="AY41" s="2285"/>
      <c r="AZ41" s="2286"/>
      <c r="BA41" s="2287" t="s">
        <v>452</v>
      </c>
      <c r="BB41" s="2290" t="s">
        <v>454</v>
      </c>
      <c r="BC41" s="2137"/>
      <c r="BI41" s="1165">
        <v>14</v>
      </c>
    </row>
    <row customHeight="1" ht="35.699999999999996">
      <c r="Q42" s="301"/>
      <c r="R42" s="386"/>
      <c r="S42" s="2283"/>
      <c r="T42" s="2219"/>
      <c r="U42" s="1041"/>
      <c r="V42" s="2202" t="s">
        <v>534</v>
      </c>
      <c r="W42" s="2203"/>
      <c r="X42" s="2202" t="s">
        <v>535</v>
      </c>
      <c r="Y42" s="2203"/>
      <c r="Z42" s="2304" t="s">
        <v>536</v>
      </c>
      <c r="AA42" s="2323"/>
      <c r="AB42" s="2324"/>
      <c r="AC42" s="2288"/>
      <c r="AD42" s="2340"/>
      <c r="AE42" s="2341"/>
      <c r="AF42" s="2341"/>
      <c r="AG42" s="2342"/>
      <c r="AH42" s="2340"/>
      <c r="AI42" s="2341"/>
      <c r="AJ42" s="2341"/>
      <c r="AK42" s="2342"/>
      <c r="AL42" s="2340"/>
      <c r="AM42" s="2341"/>
      <c r="AN42" s="2341"/>
      <c r="AO42" s="2342"/>
      <c r="AP42" s="2340"/>
      <c r="AQ42" s="2341"/>
      <c r="AR42" s="2341"/>
      <c r="AS42" s="2342"/>
      <c r="AT42" s="2202" t="s">
        <v>534</v>
      </c>
      <c r="AU42" s="2203"/>
      <c r="AV42" s="2202" t="s">
        <v>535</v>
      </c>
      <c r="AW42" s="2203"/>
      <c r="AX42" s="2304" t="s">
        <v>536</v>
      </c>
      <c r="AY42" s="2323"/>
      <c r="AZ42" s="2324"/>
      <c r="BA42" s="2288"/>
      <c r="BB42" s="2291"/>
      <c r="BC42" s="2137"/>
      <c r="BI42" s="1165">
        <v>34</v>
      </c>
    </row>
    <row customHeight="1" ht="14.699999999999998">
      <c r="Q43" s="301"/>
      <c r="R43" s="386"/>
      <c r="S43" s="2283"/>
      <c r="T43" s="2219"/>
      <c r="U43" s="1041"/>
      <c r="V43" s="2210"/>
      <c r="W43" s="2211"/>
      <c r="X43" s="2210"/>
      <c r="Y43" s="2211"/>
      <c r="Z43" s="2305"/>
      <c r="AA43" s="2325"/>
      <c r="AB43" s="2326"/>
      <c r="AC43" s="2288"/>
      <c r="AD43" s="2340"/>
      <c r="AE43" s="2341"/>
      <c r="AF43" s="2341"/>
      <c r="AG43" s="2342"/>
      <c r="AH43" s="2340"/>
      <c r="AI43" s="2341"/>
      <c r="AJ43" s="2341"/>
      <c r="AK43" s="2342"/>
      <c r="AL43" s="2340"/>
      <c r="AM43" s="2341"/>
      <c r="AN43" s="2341"/>
      <c r="AO43" s="2342"/>
      <c r="AP43" s="2340"/>
      <c r="AQ43" s="2341"/>
      <c r="AR43" s="2341"/>
      <c r="AS43" s="2342"/>
      <c r="AT43" s="2210"/>
      <c r="AU43" s="2211"/>
      <c r="AV43" s="2210"/>
      <c r="AW43" s="2211"/>
      <c r="AX43" s="2305"/>
      <c r="AY43" s="2325"/>
      <c r="AZ43" s="2326"/>
      <c r="BA43" s="2288"/>
      <c r="BB43" s="2291"/>
      <c r="BC43" s="2137"/>
      <c r="BI43" s="1165">
        <v>14</v>
      </c>
    </row>
    <row customHeight="1" ht="14.699999999999998">
      <c r="A44" s="1380"/>
      <c r="B44" s="1380" t="s">
        <v>159</v>
      </c>
      <c r="C44" s="1380" t="s">
        <v>160</v>
      </c>
      <c r="D44" s="1380" t="s">
        <v>161</v>
      </c>
      <c r="E44" s="1374" t="s">
        <v>459</v>
      </c>
      <c r="F44" s="1374" t="s">
        <v>460</v>
      </c>
      <c r="G44" s="1374" t="s">
        <v>461</v>
      </c>
      <c r="H44" s="1374" t="s">
        <v>462</v>
      </c>
      <c r="I44" s="1374" t="s">
        <v>463</v>
      </c>
      <c r="J44" s="1374" t="s">
        <v>464</v>
      </c>
      <c r="K44" s="1374" t="s">
        <v>465</v>
      </c>
      <c r="L44" s="1374" t="s">
        <v>440</v>
      </c>
      <c r="Q44" s="301"/>
      <c r="R44" s="386"/>
      <c r="S44" s="2283"/>
      <c r="T44" s="2219"/>
      <c r="U44" s="312"/>
      <c r="V44" s="1489" t="s">
        <v>500</v>
      </c>
      <c r="W44" s="1489" t="s">
        <v>501</v>
      </c>
      <c r="X44" s="1489" t="s">
        <v>500</v>
      </c>
      <c r="Y44" s="1489" t="s">
        <v>501</v>
      </c>
      <c r="Z44" s="1499" t="s">
        <v>468</v>
      </c>
      <c r="AA44" s="2280" t="s">
        <v>469</v>
      </c>
      <c r="AB44" s="2281"/>
      <c r="AC44" s="2289"/>
      <c r="AD44" s="2343"/>
      <c r="AE44" s="2344"/>
      <c r="AF44" s="2344"/>
      <c r="AG44" s="2345"/>
      <c r="AH44" s="2343"/>
      <c r="AI44" s="2344"/>
      <c r="AJ44" s="2344"/>
      <c r="AK44" s="2345"/>
      <c r="AL44" s="2343"/>
      <c r="AM44" s="2344"/>
      <c r="AN44" s="2344"/>
      <c r="AO44" s="2345"/>
      <c r="AP44" s="2343"/>
      <c r="AQ44" s="2344"/>
      <c r="AR44" s="2344"/>
      <c r="AS44" s="2345"/>
      <c r="AT44" s="1489" t="s">
        <v>500</v>
      </c>
      <c r="AU44" s="1489" t="s">
        <v>501</v>
      </c>
      <c r="AV44" s="1489" t="s">
        <v>500</v>
      </c>
      <c r="AW44" s="1489" t="s">
        <v>501</v>
      </c>
      <c r="AX44" s="1499" t="s">
        <v>468</v>
      </c>
      <c r="AY44" s="2280" t="s">
        <v>469</v>
      </c>
      <c r="AZ44" s="2281"/>
      <c r="BA44" s="2289"/>
      <c r="BB44" s="2292"/>
      <c r="BC44" s="2137"/>
      <c r="BI44" s="1165">
        <v>14</v>
      </c>
    </row>
    <row s="1651" customFormat="1" customHeight="1" ht="0">
      <c r="A45" s="1380"/>
      <c r="B45" s="1380"/>
      <c r="C45" s="1380"/>
      <c r="D45" s="1380"/>
      <c r="E45" s="1380"/>
      <c r="F45" s="1380"/>
      <c r="G45" s="1380"/>
      <c r="H45" s="1380"/>
      <c r="I45" s="1380"/>
      <c r="J45" s="1380"/>
      <c r="K45" s="1380"/>
      <c r="L45" s="1374"/>
      <c r="M45" s="1372"/>
      <c r="N45" s="1372"/>
      <c r="O45" s="1372"/>
      <c r="P45" s="520"/>
      <c r="Q45" s="1264"/>
      <c r="R45" s="1264">
        <v>1</v>
      </c>
      <c r="S45" s="1287" t="s">
        <v>124</v>
      </c>
      <c r="T45" s="1265" t="s">
        <v>104</v>
      </c>
      <c r="U45" s="1255" t="str">
        <f>OFFSET(U45,0,-1)</f>
        <v>2</v>
      </c>
      <c r="V45" s="1492">
        <f>OFFSET(V45,0,-1)+1</f>
        <v>3</v>
      </c>
      <c r="W45" s="1492">
        <f>OFFSET(W45,0,-1)+1</f>
        <v>4</v>
      </c>
      <c r="X45" s="1492">
        <f>OFFSET(X45,0,-1)+1</f>
        <v>5</v>
      </c>
      <c r="Y45" s="1492">
        <f>OFFSET(Y45,0,-1)+1</f>
        <v>6</v>
      </c>
      <c r="Z45" s="1492">
        <f>OFFSET(Z45,0,-1)+1</f>
        <v>7</v>
      </c>
      <c r="AA45" s="2282">
        <f>OFFSET(AA45,0,-1)+1</f>
        <v>8</v>
      </c>
      <c r="AB45" s="2282"/>
      <c r="AC45" s="1492">
        <f>OFFSET(AC45,0,-2)+1</f>
        <v>9</v>
      </c>
      <c r="AD45" s="1492">
        <f>OFFSET(AD45,0,-1)+1</f>
        <v>10</v>
      </c>
      <c r="AE45" s="1492"/>
      <c r="AF45" s="1492"/>
      <c r="AG45" s="1492"/>
      <c r="AH45" s="1492"/>
      <c r="AI45" s="1492"/>
      <c r="AJ45" s="1492"/>
      <c r="AK45" s="1492"/>
      <c r="AL45" s="1492"/>
      <c r="AM45" s="1492"/>
      <c r="AN45" s="1492"/>
      <c r="AO45" s="1492"/>
      <c r="AP45" s="1492"/>
      <c r="AQ45" s="1492"/>
      <c r="AR45" s="1492"/>
      <c r="AS45" s="1492"/>
      <c r="AT45" s="1492"/>
      <c r="AU45" s="1492"/>
      <c r="AV45" s="1492"/>
      <c r="AW45" s="1492">
        <f>OFFSET(AW45,0,-1)+1</f>
        <v>1</v>
      </c>
      <c r="AX45" s="1492">
        <f>OFFSET(AX45,0,-1)+1</f>
        <v>2</v>
      </c>
      <c r="AY45" s="2282">
        <f>OFFSET(AY45,0,-1)+1</f>
        <v>3</v>
      </c>
      <c r="AZ45" s="2282"/>
      <c r="BA45" s="1492">
        <f>OFFSET(BA45,0,-2)+1</f>
        <v>4</v>
      </c>
      <c r="BB45" s="1255">
        <f>OFFSET(BB45,0,-1)</f>
        <v>4</v>
      </c>
      <c r="BC45" s="1492">
        <f>OFFSET(BC45,0,-1)+1</f>
        <v>5</v>
      </c>
      <c r="BD45" s="521"/>
      <c r="BE45" s="521"/>
      <c r="BF45" s="521"/>
      <c r="BG45" s="521"/>
      <c r="BH45" s="521"/>
      <c r="BI45" s="506">
        <v>0</v>
      </c>
    </row>
    <row customHeight="1" ht="22.049999999999997">
      <c r="A46" s="1373" t="s">
        <v>283</v>
      </c>
      <c r="B46" s="1373"/>
      <c r="C46" s="1373"/>
      <c r="D46" s="1373"/>
      <c r="E46" s="2268">
        <v>1</v>
      </c>
      <c r="F46" s="1373"/>
      <c r="G46" s="1373"/>
      <c r="H46" s="1373"/>
      <c r="I46" s="1373"/>
      <c r="J46" s="1373"/>
      <c r="K46" s="1373"/>
      <c r="L46" s="1374"/>
      <c r="M46" s="1375"/>
      <c r="N46" s="1375"/>
      <c r="O46" s="1375"/>
      <c r="P46" s="1419"/>
      <c r="Q46" s="883"/>
      <c r="R46" s="365"/>
      <c r="S46" s="1503">
        <f>INDEX(PT_DIFFERENTIATION_NUM_NTAR,MATCH(A46,PT_DIFFERENTIATION_NTAR_ID,0))</f>
        <v>0</v>
      </c>
      <c r="T46" s="308" t="s">
        <v>147</v>
      </c>
      <c r="U46" s="310"/>
      <c r="V46" s="2253"/>
      <c r="W46" s="2253"/>
      <c r="X46" s="2253"/>
      <c r="Y46" s="2253"/>
      <c r="Z46" s="2253"/>
      <c r="AA46" s="2253"/>
      <c r="AB46" s="2253"/>
      <c r="AC46" s="2254"/>
      <c r="AD46" s="2252" t="str">
        <f>INDEX(PT_DIFFERENTIATION_NTAR,MATCH(A46,PT_DIFFERENTIATION_NTAR_ID,0))</f>
        <v/>
      </c>
      <c r="AE46" s="2253"/>
      <c r="AF46" s="2253"/>
      <c r="AG46" s="2253"/>
      <c r="AH46" s="2253"/>
      <c r="AI46" s="2253"/>
      <c r="AJ46" s="2253"/>
      <c r="AK46" s="2253"/>
      <c r="AL46" s="2253"/>
      <c r="AM46" s="2253"/>
      <c r="AN46" s="2253"/>
      <c r="AO46" s="2253"/>
      <c r="AP46" s="2253"/>
      <c r="AQ46" s="2253"/>
      <c r="AR46" s="2253"/>
      <c r="AS46" s="2253"/>
      <c r="AT46" s="2253"/>
      <c r="AU46" s="2253"/>
      <c r="AV46" s="2253"/>
      <c r="AW46" s="2253"/>
      <c r="AX46" s="2253"/>
      <c r="AY46" s="2253"/>
      <c r="AZ46" s="2253"/>
      <c r="BA46" s="2253"/>
      <c r="BB46" s="2254"/>
      <c r="BC46"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10"/>
      <c r="BF46" s="510" t="str">
        <f>IF(T46="","",T46)</f>
        <v>Наименование тарифа</v>
      </c>
      <c r="BG46" s="510"/>
      <c r="BH46" s="510"/>
      <c r="BI46" s="1165">
        <v>21</v>
      </c>
    </row>
    <row customHeight="1" ht="22.049999999999997">
      <c r="A47" s="1373" t="s">
        <v>283</v>
      </c>
      <c r="B47" s="1373" t="s">
        <v>284</v>
      </c>
      <c r="C47" s="1373"/>
      <c r="D47" s="1373"/>
      <c r="E47" s="2269"/>
      <c r="F47" s="2268">
        <v>1</v>
      </c>
      <c r="G47" s="1373"/>
      <c r="H47" s="1373"/>
      <c r="I47" s="1373"/>
      <c r="J47" s="1373"/>
      <c r="K47" s="1373"/>
      <c r="L47" s="1374"/>
      <c r="M47" s="1375"/>
      <c r="N47" s="1375"/>
      <c r="O47" s="1375"/>
      <c r="P47" s="1420"/>
      <c r="Q47" s="1421"/>
      <c r="R47" s="363"/>
      <c r="S47" s="1503" t="str">
        <f>INDEX(PT_DIFFERENTIATION_NUM_TER,MATCH(B47,PT_DIFFERENTIATION_TER_ID,0))</f>
        <v>.</v>
      </c>
      <c r="T47" s="318" t="s">
        <v>419</v>
      </c>
      <c r="U47" s="310"/>
      <c r="V47" s="2253"/>
      <c r="W47" s="2253"/>
      <c r="X47" s="2253"/>
      <c r="Y47" s="2253"/>
      <c r="Z47" s="2253"/>
      <c r="AA47" s="2253"/>
      <c r="AB47" s="2253"/>
      <c r="AC47" s="2254"/>
      <c r="AD47" s="2252" t="str">
        <f>INDEX(PT_DIFFERENTIATION_TER,MATCH(B47,PT_DIFFERENTIATION_TER_ID,0))</f>
        <v/>
      </c>
      <c r="AE47" s="2253"/>
      <c r="AF47" s="2253"/>
      <c r="AG47" s="2253"/>
      <c r="AH47" s="2253"/>
      <c r="AI47" s="2253"/>
      <c r="AJ47" s="2253"/>
      <c r="AK47" s="2253"/>
      <c r="AL47" s="2253"/>
      <c r="AM47" s="2253"/>
      <c r="AN47" s="2253"/>
      <c r="AO47" s="2253"/>
      <c r="AP47" s="2253"/>
      <c r="AQ47" s="2253"/>
      <c r="AR47" s="2253"/>
      <c r="AS47" s="2253"/>
      <c r="AT47" s="2253"/>
      <c r="AU47" s="2253"/>
      <c r="AV47" s="2253"/>
      <c r="AW47" s="2253"/>
      <c r="AX47" s="2253"/>
      <c r="AY47" s="2253"/>
      <c r="AZ47" s="2253"/>
      <c r="BA47" s="2253"/>
      <c r="BB47" s="2254"/>
      <c r="BC47" s="1268" t="s">
        <v>420</v>
      </c>
      <c r="BE47" s="510"/>
      <c r="BF47" s="510" t="str">
        <f>IF(T47="","",T47)</f>
        <v>Территория действия тарифа</v>
      </c>
      <c r="BG47" s="510"/>
      <c r="BH47" s="510"/>
      <c r="BI47" s="1165">
        <v>21</v>
      </c>
    </row>
    <row customHeight="1" ht="35.699999999999996">
      <c r="A48" s="1373" t="s">
        <v>283</v>
      </c>
      <c r="B48" s="1373" t="s">
        <v>284</v>
      </c>
      <c r="C48" s="1373" t="s">
        <v>285</v>
      </c>
      <c r="D48" s="1373"/>
      <c r="E48" s="2269"/>
      <c r="F48" s="2269"/>
      <c r="G48" s="2268">
        <v>1</v>
      </c>
      <c r="H48" s="1373"/>
      <c r="I48" s="1373"/>
      <c r="J48" s="1373"/>
      <c r="K48" s="1373"/>
      <c r="L48" s="1374"/>
      <c r="M48" s="1375"/>
      <c r="N48" s="1375"/>
      <c r="O48" s="1375"/>
      <c r="P48" s="1422"/>
      <c r="Q48" s="1421"/>
      <c r="R48" s="363"/>
      <c r="S48" s="1503" t="str">
        <f>INDEX(PT_DIFFERENTIATION_NUM_CS,MATCH(C48,PT_DIFFERENTIATION_CS_ID,0))</f>
        <v>..</v>
      </c>
      <c r="T48" s="319" t="s">
        <v>552</v>
      </c>
      <c r="U48" s="310"/>
      <c r="V48" s="2253"/>
      <c r="W48" s="2253"/>
      <c r="X48" s="2253"/>
      <c r="Y48" s="2253"/>
      <c r="Z48" s="2253"/>
      <c r="AA48" s="2253"/>
      <c r="AB48" s="2253"/>
      <c r="AC48" s="2254"/>
      <c r="AD48" s="2252" t="str">
        <f>INDEX(PT_DIFFERENTIATION_CS,MATCH(C48,PT_DIFFERENTIATION_CS_ID,0))</f>
        <v/>
      </c>
      <c r="AE48" s="2253"/>
      <c r="AF48" s="2253"/>
      <c r="AG48" s="2253"/>
      <c r="AH48" s="2253"/>
      <c r="AI48" s="2253"/>
      <c r="AJ48" s="2253"/>
      <c r="AK48" s="2253"/>
      <c r="AL48" s="2253"/>
      <c r="AM48" s="2253"/>
      <c r="AN48" s="2253"/>
      <c r="AO48" s="2253"/>
      <c r="AP48" s="2253"/>
      <c r="AQ48" s="2253"/>
      <c r="AR48" s="2253"/>
      <c r="AS48" s="2253"/>
      <c r="AT48" s="2253"/>
      <c r="AU48" s="2253"/>
      <c r="AV48" s="2253"/>
      <c r="AW48" s="2253"/>
      <c r="AX48" s="2253"/>
      <c r="AY48" s="2253"/>
      <c r="AZ48" s="2253"/>
      <c r="BA48" s="2253"/>
      <c r="BB48" s="2254"/>
      <c r="BC48" s="1268" t="s">
        <v>553</v>
      </c>
      <c r="BE48" s="510"/>
      <c r="BF48" s="510" t="str">
        <f>IF(T48="","",T48)</f>
        <v>Наименование централизованной системы горячего водоснабжения</v>
      </c>
      <c r="BG48" s="510"/>
      <c r="BH48" s="510"/>
      <c r="BI48" s="1165">
        <v>34</v>
      </c>
    </row>
    <row s="1652" customFormat="1" customHeight="1" ht="0">
      <c r="A49" s="1353" t="s">
        <v>283</v>
      </c>
      <c r="B49" s="1353" t="s">
        <v>284</v>
      </c>
      <c r="C49" s="1353" t="s">
        <v>285</v>
      </c>
      <c r="D49" s="1353" t="s">
        <v>566</v>
      </c>
      <c r="E49" s="2269"/>
      <c r="F49" s="2269"/>
      <c r="G49" s="2269"/>
      <c r="H49" s="2268">
        <v>1</v>
      </c>
      <c r="I49" s="1353"/>
      <c r="J49" s="1353"/>
      <c r="K49" s="1353"/>
      <c r="L49" s="1356"/>
      <c r="M49" s="1325"/>
      <c r="N49" s="1325"/>
      <c r="O49" s="1325"/>
      <c r="P49" s="1507"/>
      <c r="Q49" s="1508"/>
      <c r="R49" s="367"/>
      <c r="S49" s="1052"/>
      <c r="T49" s="1509"/>
      <c r="U49" s="1394"/>
      <c r="V49" s="2307"/>
      <c r="W49" s="2307"/>
      <c r="X49" s="2307"/>
      <c r="Y49" s="2307"/>
      <c r="Z49" s="2307"/>
      <c r="AA49" s="2307"/>
      <c r="AB49" s="2307"/>
      <c r="AC49" s="2308"/>
      <c r="AD49" s="2306"/>
      <c r="AE49" s="2307"/>
      <c r="AF49" s="2307"/>
      <c r="AG49" s="2307"/>
      <c r="AH49" s="2307"/>
      <c r="AI49" s="2307"/>
      <c r="AJ49" s="2307"/>
      <c r="AK49" s="2307"/>
      <c r="AL49" s="2307"/>
      <c r="AM49" s="2307"/>
      <c r="AN49" s="2307"/>
      <c r="AO49" s="2307"/>
      <c r="AP49" s="2307"/>
      <c r="AQ49" s="2307"/>
      <c r="AR49" s="2307"/>
      <c r="AS49" s="2307"/>
      <c r="AT49" s="2307"/>
      <c r="AU49" s="2307"/>
      <c r="AV49" s="2307"/>
      <c r="AW49" s="2307"/>
      <c r="AX49" s="2307"/>
      <c r="AY49" s="2307"/>
      <c r="AZ49" s="2307"/>
      <c r="BA49" s="2307"/>
      <c r="BB49" s="2308"/>
      <c r="BC49" s="1395" t="s">
        <v>424</v>
      </c>
      <c r="BE49" s="510"/>
      <c r="BF49" s="510" t="str">
        <f>IF(T49="","",T49)</f>
        <v/>
      </c>
      <c r="BG49" s="510"/>
      <c r="BH49" s="510"/>
      <c r="BI49" s="521">
        <v>0</v>
      </c>
    </row>
    <row s="1652" customFormat="1" customHeight="1" ht="0">
      <c r="A50" s="1353" t="s">
        <v>283</v>
      </c>
      <c r="B50" s="1353" t="s">
        <v>284</v>
      </c>
      <c r="C50" s="1353" t="s">
        <v>285</v>
      </c>
      <c r="D50" s="1353" t="s">
        <v>566</v>
      </c>
      <c r="E50" s="2269"/>
      <c r="F50" s="2269"/>
      <c r="G50" s="2269"/>
      <c r="H50" s="2269"/>
      <c r="I50" s="2266" t="str">
        <f>S49&amp;".1"</f>
        <v>.1</v>
      </c>
      <c r="J50" s="1353"/>
      <c r="K50" s="1353"/>
      <c r="L50" s="1356" t="s">
        <v>425</v>
      </c>
      <c r="M50" s="520"/>
      <c r="N50" s="520"/>
      <c r="O50" s="520"/>
      <c r="P50" s="2267">
        <v>1</v>
      </c>
      <c r="Q50" s="1491"/>
      <c r="R50" s="366"/>
      <c r="S50" s="1052"/>
      <c r="T50" s="1393"/>
      <c r="U50" s="1394"/>
      <c r="V50" s="2307"/>
      <c r="W50" s="2307"/>
      <c r="X50" s="2307"/>
      <c r="Y50" s="2307"/>
      <c r="Z50" s="2307"/>
      <c r="AA50" s="2307"/>
      <c r="AB50" s="2307"/>
      <c r="AC50" s="2308"/>
      <c r="AD50" s="2306"/>
      <c r="AE50" s="2307"/>
      <c r="AF50" s="2307"/>
      <c r="AG50" s="2307"/>
      <c r="AH50" s="2307"/>
      <c r="AI50" s="2307"/>
      <c r="AJ50" s="2307"/>
      <c r="AK50" s="2307"/>
      <c r="AL50" s="2307"/>
      <c r="AM50" s="2307"/>
      <c r="AN50" s="2307"/>
      <c r="AO50" s="2307"/>
      <c r="AP50" s="2307"/>
      <c r="AQ50" s="2307"/>
      <c r="AR50" s="2307"/>
      <c r="AS50" s="2307"/>
      <c r="AT50" s="2307"/>
      <c r="AU50" s="2307"/>
      <c r="AV50" s="2307"/>
      <c r="AW50" s="2307"/>
      <c r="AX50" s="2307"/>
      <c r="AY50" s="2307"/>
      <c r="AZ50" s="2307"/>
      <c r="BA50" s="2307"/>
      <c r="BB50" s="2308"/>
      <c r="BC50" s="1395"/>
      <c r="BE50" s="510"/>
      <c r="BF50" s="510" t="str">
        <f>IF(T50="","",T50)</f>
        <v/>
      </c>
      <c r="BG50" s="510"/>
      <c r="BH50" s="510"/>
      <c r="BI50" s="521">
        <v>0</v>
      </c>
    </row>
    <row s="1652" customFormat="1" customHeight="1" ht="0">
      <c r="A51" s="1353" t="s">
        <v>283</v>
      </c>
      <c r="B51" s="1353" t="s">
        <v>284</v>
      </c>
      <c r="C51" s="1353" t="s">
        <v>285</v>
      </c>
      <c r="D51" s="1353" t="s">
        <v>566</v>
      </c>
      <c r="E51" s="2269"/>
      <c r="F51" s="2269"/>
      <c r="G51" s="2269"/>
      <c r="H51" s="2269"/>
      <c r="I51" s="2296"/>
      <c r="J51" s="2266" t="str">
        <f>S49&amp;".1"</f>
        <v>.1</v>
      </c>
      <c r="K51" s="1353"/>
      <c r="L51" s="1356"/>
      <c r="M51" s="520"/>
      <c r="N51" s="520"/>
      <c r="O51" s="520"/>
      <c r="P51" s="2267"/>
      <c r="Q51" s="2267">
        <v>1</v>
      </c>
      <c r="R51" s="367"/>
      <c r="S51" s="1052"/>
      <c r="T51" s="1409"/>
      <c r="U51" s="1394"/>
      <c r="V51" s="2307"/>
      <c r="W51" s="2307"/>
      <c r="X51" s="2307"/>
      <c r="Y51" s="2307"/>
      <c r="Z51" s="2307"/>
      <c r="AA51" s="2307"/>
      <c r="AB51" s="2307"/>
      <c r="AC51" s="2308"/>
      <c r="AD51" s="2306"/>
      <c r="AE51" s="2307"/>
      <c r="AF51" s="2307"/>
      <c r="AG51" s="2307"/>
      <c r="AH51" s="2307"/>
      <c r="AI51" s="2307"/>
      <c r="AJ51" s="2307"/>
      <c r="AK51" s="2307"/>
      <c r="AL51" s="2307"/>
      <c r="AM51" s="2307"/>
      <c r="AN51" s="2374"/>
      <c r="AO51" s="2374"/>
      <c r="AP51" s="2307"/>
      <c r="AQ51" s="2307"/>
      <c r="AR51" s="2307"/>
      <c r="AS51" s="2307"/>
      <c r="AT51" s="2307"/>
      <c r="AU51" s="2307"/>
      <c r="AV51" s="2307"/>
      <c r="AW51" s="2307"/>
      <c r="AX51" s="2307"/>
      <c r="AY51" s="2307"/>
      <c r="AZ51" s="2307"/>
      <c r="BA51" s="2307"/>
      <c r="BB51" s="2308"/>
      <c r="BC51" s="1395"/>
      <c r="BE51" s="510"/>
      <c r="BF51" s="510" t="str">
        <f>IF(T51="","",T51)</f>
        <v/>
      </c>
      <c r="BG51" s="510"/>
      <c r="BH51" s="510"/>
      <c r="BI51" s="521">
        <v>0</v>
      </c>
    </row>
    <row customHeight="1" ht="11.549999999999999">
      <c r="A52" s="1373" t="s">
        <v>283</v>
      </c>
      <c r="B52" s="1373" t="s">
        <v>284</v>
      </c>
      <c r="C52" s="1373" t="s">
        <v>285</v>
      </c>
      <c r="D52" s="1373" t="s">
        <v>566</v>
      </c>
      <c r="E52" s="2269"/>
      <c r="F52" s="2269"/>
      <c r="G52" s="2269"/>
      <c r="H52" s="2269"/>
      <c r="I52" s="2296"/>
      <c r="J52" s="2296"/>
      <c r="K52" s="2266" t="str">
        <f>S48&amp;".1"</f>
        <v>...1</v>
      </c>
      <c r="L52" s="1374"/>
      <c r="P52" s="2267"/>
      <c r="Q52" s="2267"/>
      <c r="R52" s="367">
        <v>1</v>
      </c>
      <c r="S52" s="2351" t="str">
        <f>$K52</f>
        <v>...1</v>
      </c>
      <c r="T52" s="2370"/>
      <c r="U52" s="310"/>
      <c r="V52" s="761"/>
      <c r="W52" s="1267"/>
      <c r="X52" s="761"/>
      <c r="Y52" s="1267"/>
      <c r="Z52" s="1744"/>
      <c r="AA52" s="1479" t="s">
        <v>66</v>
      </c>
      <c r="AB52" s="1744"/>
      <c r="AC52" s="1479" t="s">
        <v>66</v>
      </c>
      <c r="AD52" s="2195" t="s">
        <v>66</v>
      </c>
      <c r="AE52" s="2336"/>
      <c r="AF52" s="2215">
        <v>1</v>
      </c>
      <c r="AG52" s="2373"/>
      <c r="AH52" s="2117" t="s">
        <v>66</v>
      </c>
      <c r="AI52" s="2336"/>
      <c r="AJ52" s="2215">
        <v>1</v>
      </c>
      <c r="AK52" s="2337" t="s">
        <v>22</v>
      </c>
      <c r="AL52" s="2117" t="s">
        <v>66</v>
      </c>
      <c r="AM52" s="2202"/>
      <c r="AN52" s="2215">
        <v>1</v>
      </c>
      <c r="AO52" s="2367"/>
      <c r="AP52" s="2368" t="s">
        <v>66</v>
      </c>
      <c r="AQ52" s="321"/>
      <c r="AR52" s="1496">
        <v>1</v>
      </c>
      <c r="AS52" s="1502" t="s">
        <v>22</v>
      </c>
      <c r="AT52" s="761"/>
      <c r="AU52" s="1267"/>
      <c r="AV52" s="761"/>
      <c r="AW52" s="1267"/>
      <c r="AX52" s="1744"/>
      <c r="AY52" s="1479" t="s">
        <v>66</v>
      </c>
      <c r="AZ52" s="1744"/>
      <c r="BA52" s="1479" t="s">
        <v>66</v>
      </c>
      <c r="BB52" s="1358"/>
      <c r="BC52" s="2263" t="s">
        <v>523</v>
      </c>
      <c r="BE52" s="510"/>
      <c r="BF52" s="510" t="str">
        <f>IF(T52="","",T52)</f>
        <v/>
      </c>
      <c r="BG52" s="510"/>
      <c r="BH52" s="510"/>
      <c r="BI52" s="1165">
        <v>11</v>
      </c>
    </row>
    <row customHeight="1" ht="11.549999999999999">
      <c r="A53" s="1373"/>
      <c r="B53" s="1373"/>
      <c r="C53" s="1373"/>
      <c r="D53" s="1373"/>
      <c r="E53" s="2269"/>
      <c r="F53" s="2269"/>
      <c r="G53" s="2269"/>
      <c r="H53" s="2269"/>
      <c r="I53" s="2296"/>
      <c r="J53" s="2296"/>
      <c r="K53" s="2266"/>
      <c r="L53" s="1374"/>
      <c r="P53" s="2267"/>
      <c r="Q53" s="2267"/>
      <c r="R53" s="367"/>
      <c r="S53" s="2352"/>
      <c r="T53" s="2371"/>
      <c r="U53" s="310"/>
      <c r="V53" s="1403"/>
      <c r="W53" s="1506"/>
      <c r="X53" s="1403"/>
      <c r="Y53" s="1506"/>
      <c r="Z53" s="1403"/>
      <c r="AA53" s="1403"/>
      <c r="AB53" s="1403"/>
      <c r="AC53" s="1403"/>
      <c r="AD53" s="2196"/>
      <c r="AE53" s="2336"/>
      <c r="AF53" s="2215"/>
      <c r="AG53" s="2373"/>
      <c r="AH53" s="2117"/>
      <c r="AI53" s="2336"/>
      <c r="AJ53" s="2215"/>
      <c r="AK53" s="2337"/>
      <c r="AL53" s="2117"/>
      <c r="AM53" s="2210"/>
      <c r="AN53" s="2215"/>
      <c r="AO53" s="2367"/>
      <c r="AP53" s="2369"/>
      <c r="AQ53" s="326"/>
      <c r="AR53" s="426"/>
      <c r="AS53" s="426" t="s">
        <v>524</v>
      </c>
      <c r="AT53" s="1403"/>
      <c r="AU53" s="1506"/>
      <c r="AV53" s="1403"/>
      <c r="AW53" s="1506"/>
      <c r="AX53" s="1403"/>
      <c r="AY53" s="1403"/>
      <c r="AZ53" s="1403"/>
      <c r="BA53" s="1403"/>
      <c r="BB53" s="1407"/>
      <c r="BC53" s="2264"/>
      <c r="BE53" s="510"/>
      <c r="BF53" s="510"/>
      <c r="BG53" s="510"/>
      <c r="BH53" s="510"/>
      <c r="BI53" s="1165">
        <v>11</v>
      </c>
    </row>
    <row customHeight="1" ht="11.549999999999999">
      <c r="A54" s="1373" t="s">
        <v>283</v>
      </c>
      <c r="B54" s="1373"/>
      <c r="C54" s="1373"/>
      <c r="D54" s="1373"/>
      <c r="E54" s="2269"/>
      <c r="F54" s="2269"/>
      <c r="G54" s="2269"/>
      <c r="H54" s="2269"/>
      <c r="I54" s="2296"/>
      <c r="J54" s="2296"/>
      <c r="K54" s="2266"/>
      <c r="L54" s="1374"/>
      <c r="P54" s="2267"/>
      <c r="Q54" s="2267"/>
      <c r="R54" s="367"/>
      <c r="S54" s="2352"/>
      <c r="T54" s="2371"/>
      <c r="U54" s="310"/>
      <c r="V54" s="1403"/>
      <c r="W54" s="1506"/>
      <c r="X54" s="1403"/>
      <c r="Y54" s="1506"/>
      <c r="Z54" s="1403"/>
      <c r="AA54" s="1403"/>
      <c r="AB54" s="1403"/>
      <c r="AC54" s="1403"/>
      <c r="AD54" s="2196"/>
      <c r="AE54" s="2336"/>
      <c r="AF54" s="2215"/>
      <c r="AG54" s="2373"/>
      <c r="AH54" s="2117"/>
      <c r="AI54" s="2336"/>
      <c r="AJ54" s="2215"/>
      <c r="AK54" s="2337"/>
      <c r="AL54" s="2117"/>
      <c r="AM54" s="326"/>
      <c r="AN54" s="1510"/>
      <c r="AO54" s="1510" t="s">
        <v>525</v>
      </c>
      <c r="AP54" s="426"/>
      <c r="AQ54" s="426"/>
      <c r="AR54" s="426"/>
      <c r="AS54" s="1403"/>
      <c r="AT54" s="1403"/>
      <c r="AU54" s="1506"/>
      <c r="AV54" s="1403"/>
      <c r="AW54" s="1506"/>
      <c r="AX54" s="1403"/>
      <c r="AY54" s="1403"/>
      <c r="AZ54" s="1403"/>
      <c r="BA54" s="1403"/>
      <c r="BB54" s="1407"/>
      <c r="BC54" s="2264"/>
      <c r="BE54" s="510"/>
      <c r="BF54" s="510"/>
      <c r="BG54" s="510"/>
      <c r="BH54" s="510"/>
      <c r="BI54" s="1165">
        <v>11</v>
      </c>
    </row>
    <row customHeight="1" ht="11.549999999999999">
      <c r="A55" s="1373" t="s">
        <v>283</v>
      </c>
      <c r="B55" s="1373"/>
      <c r="C55" s="1373"/>
      <c r="D55" s="1373"/>
      <c r="E55" s="2269"/>
      <c r="F55" s="2269"/>
      <c r="G55" s="2269"/>
      <c r="H55" s="2269"/>
      <c r="I55" s="2296"/>
      <c r="J55" s="2296"/>
      <c r="K55" s="2266"/>
      <c r="L55" s="1374"/>
      <c r="P55" s="2267"/>
      <c r="Q55" s="2267"/>
      <c r="R55" s="367"/>
      <c r="S55" s="2352"/>
      <c r="T55" s="2371"/>
      <c r="U55" s="310"/>
      <c r="V55" s="1403"/>
      <c r="W55" s="1506"/>
      <c r="X55" s="1403"/>
      <c r="Y55" s="1506"/>
      <c r="Z55" s="1403"/>
      <c r="AA55" s="1403"/>
      <c r="AB55" s="1403"/>
      <c r="AC55" s="1403"/>
      <c r="AD55" s="2196"/>
      <c r="AE55" s="2336"/>
      <c r="AF55" s="2215"/>
      <c r="AG55" s="2373"/>
      <c r="AH55" s="2117"/>
      <c r="AI55" s="304"/>
      <c r="AJ55" s="425"/>
      <c r="AK55" s="323" t="s">
        <v>526</v>
      </c>
      <c r="AL55" s="1403"/>
      <c r="AM55" s="1403"/>
      <c r="AN55" s="1403"/>
      <c r="AO55" s="1403"/>
      <c r="AP55" s="1403"/>
      <c r="AQ55" s="1403"/>
      <c r="AR55" s="1403"/>
      <c r="AS55" s="1403"/>
      <c r="AT55" s="1403"/>
      <c r="AU55" s="1506"/>
      <c r="AV55" s="1403"/>
      <c r="AW55" s="1506"/>
      <c r="AX55" s="1403"/>
      <c r="AY55" s="1403"/>
      <c r="AZ55" s="1403"/>
      <c r="BA55" s="1403"/>
      <c r="BB55" s="1407"/>
      <c r="BC55" s="2264"/>
      <c r="BE55" s="510"/>
      <c r="BF55" s="510"/>
      <c r="BG55" s="510"/>
      <c r="BH55" s="510"/>
      <c r="BI55" s="1165">
        <v>11</v>
      </c>
    </row>
    <row customHeight="1" ht="11.549999999999999">
      <c r="A56" s="1373" t="s">
        <v>283</v>
      </c>
      <c r="B56" s="1373" t="s">
        <v>284</v>
      </c>
      <c r="C56" s="1373" t="s">
        <v>285</v>
      </c>
      <c r="D56" s="1373" t="s">
        <v>566</v>
      </c>
      <c r="E56" s="2269"/>
      <c r="F56" s="2269"/>
      <c r="G56" s="2269"/>
      <c r="H56" s="2269"/>
      <c r="I56" s="2296"/>
      <c r="J56" s="2296"/>
      <c r="K56" s="2266"/>
      <c r="L56" s="1374"/>
      <c r="P56" s="2267"/>
      <c r="Q56" s="2267"/>
      <c r="R56" s="367"/>
      <c r="S56" s="2353"/>
      <c r="T56" s="2372"/>
      <c r="U56" s="310"/>
      <c r="V56" s="1403"/>
      <c r="W56" s="1404" t="str">
        <f>Z52&amp;"-"&amp;AB52</f>
        <v>-</v>
      </c>
      <c r="X56" s="1403"/>
      <c r="Y56" s="1404" t="str">
        <f>AB52&amp;"-"&amp;AD52</f>
        <v>-да</v>
      </c>
      <c r="Z56" s="1403"/>
      <c r="AA56" s="1403"/>
      <c r="AB56" s="1403"/>
      <c r="AC56" s="1403"/>
      <c r="AD56" s="2122"/>
      <c r="AE56" s="322"/>
      <c r="AF56" s="324"/>
      <c r="AG56" s="426" t="s">
        <v>527</v>
      </c>
      <c r="AH56" s="1403"/>
      <c r="AI56" s="1403"/>
      <c r="AJ56" s="1403"/>
      <c r="AK56" s="1403"/>
      <c r="AL56" s="1403"/>
      <c r="AM56" s="1403"/>
      <c r="AN56" s="1403"/>
      <c r="AO56" s="1403"/>
      <c r="AP56" s="1403"/>
      <c r="AQ56" s="1403"/>
      <c r="AR56" s="1403"/>
      <c r="AS56" s="1403"/>
      <c r="AT56" s="1403"/>
      <c r="AU56" s="1404" t="str">
        <f>AX52&amp;"-"&amp;AZ52</f>
        <v>-</v>
      </c>
      <c r="AV56" s="1403"/>
      <c r="AW56" s="1404" t="str">
        <f>AZ52&amp;"-"&amp;BB52</f>
        <v>-</v>
      </c>
      <c r="AX56" s="1403"/>
      <c r="AY56" s="1403"/>
      <c r="AZ56" s="1403"/>
      <c r="BA56" s="1403"/>
      <c r="BB56" s="1406" t="str">
        <f>BE52&amp;"-"&amp;BG52</f>
        <v>-</v>
      </c>
      <c r="BC56" s="2264"/>
      <c r="BE56" s="510"/>
      <c r="BF56" s="510" t="str">
        <f>IF(T56="","",T56)</f>
        <v/>
      </c>
      <c r="BG56" s="510"/>
      <c r="BH56" s="510"/>
      <c r="BI56" s="1165">
        <v>11</v>
      </c>
    </row>
    <row customHeight="1" ht="11.549999999999999">
      <c r="A57" s="1373" t="s">
        <v>283</v>
      </c>
      <c r="B57" s="1373" t="s">
        <v>284</v>
      </c>
      <c r="C57" s="1373" t="s">
        <v>285</v>
      </c>
      <c r="D57" s="1373" t="s">
        <v>566</v>
      </c>
      <c r="E57" s="2269"/>
      <c r="F57" s="2269"/>
      <c r="G57" s="2269"/>
      <c r="H57" s="2269"/>
      <c r="I57" s="2296"/>
      <c r="J57" s="2266"/>
      <c r="K57" s="1373"/>
      <c r="L57" s="1374"/>
      <c r="P57" s="2267"/>
      <c r="Q57" s="2267"/>
      <c r="R57" s="366"/>
      <c r="S57" s="1288"/>
      <c r="T57" s="297" t="s">
        <v>490</v>
      </c>
      <c r="U57" s="377"/>
      <c r="V57" s="377"/>
      <c r="W57" s="377"/>
      <c r="X57" s="377"/>
      <c r="Y57" s="377"/>
      <c r="Z57" s="377"/>
      <c r="AA57" s="377"/>
      <c r="AB57" s="377"/>
      <c r="AC57" s="334"/>
      <c r="AD57" s="1515"/>
      <c r="AE57" s="377"/>
      <c r="AF57" s="377"/>
      <c r="AG57" s="377"/>
      <c r="AH57" s="377"/>
      <c r="AI57" s="377"/>
      <c r="AJ57" s="377"/>
      <c r="AK57" s="377"/>
      <c r="AL57" s="377"/>
      <c r="AM57" s="377"/>
      <c r="AN57" s="377"/>
      <c r="AO57" s="377"/>
      <c r="AP57" s="377"/>
      <c r="AQ57" s="377"/>
      <c r="AR57" s="377"/>
      <c r="AS57" s="377"/>
      <c r="AT57" s="377"/>
      <c r="AU57" s="377"/>
      <c r="AV57" s="377"/>
      <c r="AW57" s="377"/>
      <c r="AX57" s="377"/>
      <c r="AY57" s="377"/>
      <c r="AZ57" s="377"/>
      <c r="BA57" s="377"/>
      <c r="BB57" s="334"/>
      <c r="BC57" s="2265"/>
      <c r="BE57" s="510"/>
      <c r="BF57" s="510" t="str">
        <f>IF(T57="","",T57)</f>
        <v>Добавить строку</v>
      </c>
      <c r="BG57" s="510"/>
      <c r="BH57" s="510"/>
      <c r="BI57" s="1165">
        <v>11</v>
      </c>
    </row>
    <row s="1652" customFormat="1" customHeight="1" ht="0">
      <c r="A58" s="1353" t="s">
        <v>283</v>
      </c>
      <c r="B58" s="1353" t="s">
        <v>284</v>
      </c>
      <c r="C58" s="1353" t="s">
        <v>285</v>
      </c>
      <c r="D58" s="1353" t="s">
        <v>566</v>
      </c>
      <c r="E58" s="2269"/>
      <c r="F58" s="2269"/>
      <c r="G58" s="2269"/>
      <c r="H58" s="2269"/>
      <c r="I58" s="2266"/>
      <c r="J58" s="1353"/>
      <c r="K58" s="1353"/>
      <c r="L58" s="1356"/>
      <c r="M58" s="520"/>
      <c r="N58" s="520"/>
      <c r="O58" s="520"/>
      <c r="P58" s="2267"/>
      <c r="Q58" s="1491"/>
      <c r="R58" s="366"/>
      <c r="S58" s="1396"/>
      <c r="T58" s="1397"/>
      <c r="U58" s="1398"/>
      <c r="V58" s="1398"/>
      <c r="W58" s="1398"/>
      <c r="X58" s="1398"/>
      <c r="Y58" s="1398"/>
      <c r="Z58" s="1398"/>
      <c r="AA58" s="1398"/>
      <c r="AB58" s="1398"/>
      <c r="AC58" s="1398"/>
      <c r="AD58" s="1398"/>
      <c r="AE58" s="1398"/>
      <c r="AF58" s="1398"/>
      <c r="AG58" s="1398"/>
      <c r="AH58" s="1398"/>
      <c r="AI58" s="1398"/>
      <c r="AJ58" s="1398"/>
      <c r="AK58" s="1398"/>
      <c r="AL58" s="1398"/>
      <c r="AM58" s="1398"/>
      <c r="AN58" s="1398"/>
      <c r="AO58" s="1398"/>
      <c r="AP58" s="1398"/>
      <c r="AQ58" s="1398"/>
      <c r="AR58" s="1398"/>
      <c r="AS58" s="1398"/>
      <c r="AT58" s="1398"/>
      <c r="AU58" s="1398"/>
      <c r="AV58" s="1398"/>
      <c r="AW58" s="1398"/>
      <c r="AX58" s="1398"/>
      <c r="AY58" s="1398"/>
      <c r="AZ58" s="1398"/>
      <c r="BA58" s="1398"/>
      <c r="BB58" s="1398"/>
      <c r="BC58" s="1399"/>
      <c r="BE58" s="510"/>
      <c r="BF58" s="510" t="str">
        <f>IF(T58="","",T58)</f>
        <v/>
      </c>
      <c r="BG58" s="510"/>
      <c r="BH58" s="510"/>
      <c r="BI58" s="521">
        <v>0</v>
      </c>
    </row>
    <row s="1652" customFormat="1" customHeight="1" ht="0">
      <c r="A59" s="1353" t="s">
        <v>283</v>
      </c>
      <c r="B59" s="1353" t="s">
        <v>284</v>
      </c>
      <c r="C59" s="1353" t="s">
        <v>285</v>
      </c>
      <c r="D59" s="1353" t="s">
        <v>566</v>
      </c>
      <c r="E59" s="2269"/>
      <c r="F59" s="2269"/>
      <c r="G59" s="2269"/>
      <c r="H59" s="2268"/>
      <c r="I59" s="1353"/>
      <c r="J59" s="1353"/>
      <c r="K59" s="1353"/>
      <c r="L59" s="1356"/>
      <c r="M59" s="1325"/>
      <c r="N59" s="1325"/>
      <c r="O59" s="528"/>
      <c r="P59" s="390"/>
      <c r="Q59" s="1354"/>
      <c r="R59" s="1411"/>
      <c r="S59" s="1396"/>
      <c r="T59" s="1397"/>
      <c r="U59" s="1398"/>
      <c r="V59" s="1398"/>
      <c r="W59" s="1398"/>
      <c r="X59" s="1398"/>
      <c r="Y59" s="1398"/>
      <c r="Z59" s="1398"/>
      <c r="AA59" s="1398"/>
      <c r="AB59" s="1398"/>
      <c r="AC59" s="1398"/>
      <c r="AD59" s="1398"/>
      <c r="AE59" s="1398"/>
      <c r="AF59" s="1398"/>
      <c r="AG59" s="1398"/>
      <c r="AH59" s="1398"/>
      <c r="AI59" s="1398"/>
      <c r="AJ59" s="1398"/>
      <c r="AK59" s="1398"/>
      <c r="AL59" s="1398"/>
      <c r="AM59" s="1398"/>
      <c r="AN59" s="1398"/>
      <c r="AO59" s="1398"/>
      <c r="AP59" s="1398"/>
      <c r="AQ59" s="1398"/>
      <c r="AR59" s="1398"/>
      <c r="AS59" s="1398"/>
      <c r="AT59" s="1398"/>
      <c r="AU59" s="1398"/>
      <c r="AV59" s="1398"/>
      <c r="AW59" s="1398"/>
      <c r="AX59" s="1398"/>
      <c r="AY59" s="1398"/>
      <c r="AZ59" s="1398"/>
      <c r="BA59" s="1398"/>
      <c r="BB59" s="1398"/>
      <c r="BC59" s="1399"/>
      <c r="BE59" s="510"/>
      <c r="BF59" s="510" t="str">
        <f>IF(T59="","",T59)</f>
        <v/>
      </c>
      <c r="BG59" s="510"/>
      <c r="BH59" s="510"/>
      <c r="BI59" s="521">
        <v>0</v>
      </c>
    </row>
    <row s="1652" customFormat="1" customHeight="1" ht="0">
      <c r="A60" s="1353" t="s">
        <v>283</v>
      </c>
      <c r="B60" s="1353" t="s">
        <v>284</v>
      </c>
      <c r="C60" s="1353" t="s">
        <v>285</v>
      </c>
      <c r="D60" s="1324"/>
      <c r="E60" s="2269"/>
      <c r="F60" s="2269"/>
      <c r="G60" s="2268"/>
      <c r="H60" s="1324"/>
      <c r="I60" s="1324"/>
      <c r="J60" s="1324"/>
      <c r="K60" s="1324"/>
      <c r="L60" s="1504"/>
      <c r="M60" s="1325"/>
      <c r="N60" s="1325"/>
      <c r="P60" s="1326"/>
      <c r="Q60" s="1327"/>
      <c r="R60" s="1326"/>
      <c r="S60" s="1332"/>
      <c r="T60" s="1335"/>
      <c r="U60" s="1334"/>
      <c r="V60" s="1334"/>
      <c r="W60" s="1334"/>
      <c r="X60" s="1334"/>
      <c r="Y60" s="1334"/>
      <c r="Z60" s="1334"/>
      <c r="AA60" s="1334"/>
      <c r="AB60" s="1334"/>
      <c r="AC60" s="1334"/>
      <c r="AD60" s="1334"/>
      <c r="AE60" s="1334"/>
      <c r="AF60" s="1334"/>
      <c r="AG60" s="1334"/>
      <c r="AH60" s="1334"/>
      <c r="AI60" s="1334"/>
      <c r="AJ60" s="1334"/>
      <c r="AK60" s="1334"/>
      <c r="AL60" s="1334"/>
      <c r="AM60" s="1334"/>
      <c r="AN60" s="1334"/>
      <c r="AO60" s="1334"/>
      <c r="AP60" s="1334"/>
      <c r="AQ60" s="1334"/>
      <c r="AR60" s="1334"/>
      <c r="AS60" s="1334"/>
      <c r="AT60" s="1334"/>
      <c r="AU60" s="1334"/>
      <c r="AV60" s="1334"/>
      <c r="AW60" s="1334"/>
      <c r="AX60" s="1334"/>
      <c r="AY60" s="1334"/>
      <c r="AZ60" s="1334"/>
      <c r="BA60" s="1334"/>
      <c r="BB60" s="1334"/>
      <c r="BC60" s="1334"/>
      <c r="BE60" s="799"/>
      <c r="BF60" s="799" t="str">
        <f>IF(T60="","",T60)</f>
        <v/>
      </c>
      <c r="BG60" s="799"/>
      <c r="BH60" s="799"/>
      <c r="BI60" s="528">
        <v>0</v>
      </c>
    </row>
    <row s="1652" customFormat="1" customHeight="1" ht="0">
      <c r="A61" s="1353" t="s">
        <v>283</v>
      </c>
      <c r="B61" s="1353" t="s">
        <v>284</v>
      </c>
      <c r="C61" s="1324"/>
      <c r="D61" s="1324"/>
      <c r="E61" s="2269"/>
      <c r="F61" s="2268"/>
      <c r="G61" s="1324"/>
      <c r="H61" s="1324"/>
      <c r="I61" s="1324"/>
      <c r="J61" s="1324"/>
      <c r="K61" s="1324"/>
      <c r="L61" s="1504"/>
      <c r="M61" s="1331"/>
      <c r="N61" s="1331"/>
      <c r="P61" s="1326"/>
      <c r="Q61" s="1327"/>
      <c r="R61" s="1326"/>
      <c r="S61" s="1332"/>
      <c r="T61" s="1335" t="s">
        <v>437</v>
      </c>
      <c r="U61" s="1334"/>
      <c r="V61" s="1334"/>
      <c r="W61" s="1334"/>
      <c r="X61" s="1334"/>
      <c r="Y61" s="1334"/>
      <c r="Z61" s="1334"/>
      <c r="AA61" s="1334"/>
      <c r="AB61" s="1334"/>
      <c r="AC61" s="1334"/>
      <c r="AD61" s="1334"/>
      <c r="AE61" s="1334"/>
      <c r="AF61" s="1334"/>
      <c r="AG61" s="1334"/>
      <c r="AH61" s="1334"/>
      <c r="AI61" s="1334"/>
      <c r="AJ61" s="1334"/>
      <c r="AK61" s="1334"/>
      <c r="AL61" s="1334"/>
      <c r="AM61" s="1334"/>
      <c r="AN61" s="1334"/>
      <c r="AO61" s="1334"/>
      <c r="AP61" s="1334"/>
      <c r="AQ61" s="1334"/>
      <c r="AR61" s="1334"/>
      <c r="AS61" s="1334"/>
      <c r="AT61" s="1334"/>
      <c r="AU61" s="1334"/>
      <c r="AV61" s="1334"/>
      <c r="AW61" s="1334"/>
      <c r="AX61" s="1334"/>
      <c r="AY61" s="1334"/>
      <c r="AZ61" s="1334"/>
      <c r="BA61" s="1334"/>
      <c r="BB61" s="1334"/>
      <c r="BC61" s="1334"/>
      <c r="BE61" s="799"/>
      <c r="BF61" s="799" t="str">
        <f>IF(T61="","",T61)</f>
        <v>Добавить централизованную систему для дифференциации</v>
      </c>
      <c r="BG61" s="799"/>
      <c r="BH61" s="799"/>
      <c r="BI61" s="528">
        <v>0</v>
      </c>
    </row>
    <row s="1652" customFormat="1" customHeight="1" ht="0">
      <c r="A62" s="1353" t="s">
        <v>283</v>
      </c>
      <c r="B62" s="1353"/>
      <c r="C62" s="1353"/>
      <c r="D62" s="1353"/>
      <c r="E62" s="2268"/>
      <c r="F62" s="1353"/>
      <c r="G62" s="1353"/>
      <c r="H62" s="1353"/>
      <c r="I62" s="1353"/>
      <c r="J62" s="1353"/>
      <c r="K62" s="1353"/>
      <c r="L62" s="1356"/>
      <c r="M62" s="1331"/>
      <c r="N62" s="1331"/>
      <c r="O62" s="528"/>
      <c r="P62" s="390"/>
      <c r="Q62" s="1354"/>
      <c r="R62" s="390"/>
      <c r="S62" s="1332"/>
      <c r="T62" s="1335" t="s">
        <v>438</v>
      </c>
      <c r="U62" s="1334"/>
      <c r="V62" s="1334"/>
      <c r="W62" s="1334"/>
      <c r="X62" s="1334"/>
      <c r="Y62" s="1334"/>
      <c r="Z62" s="1334"/>
      <c r="AA62" s="1334"/>
      <c r="AB62" s="1334"/>
      <c r="AC62" s="1334"/>
      <c r="AD62" s="1334"/>
      <c r="AE62" s="1334"/>
      <c r="AF62" s="1334"/>
      <c r="AG62" s="1334"/>
      <c r="AH62" s="1334"/>
      <c r="AI62" s="1334"/>
      <c r="AJ62" s="1334"/>
      <c r="AK62" s="1334"/>
      <c r="AL62" s="1334"/>
      <c r="AM62" s="1334"/>
      <c r="AN62" s="1334"/>
      <c r="AO62" s="1334"/>
      <c r="AP62" s="1334"/>
      <c r="AQ62" s="1334"/>
      <c r="AR62" s="1334"/>
      <c r="AS62" s="1334"/>
      <c r="AT62" s="1334"/>
      <c r="AU62" s="1334"/>
      <c r="AV62" s="1334"/>
      <c r="AW62" s="1334"/>
      <c r="AX62" s="1334"/>
      <c r="AY62" s="1334"/>
      <c r="AZ62" s="1334"/>
      <c r="BA62" s="1334"/>
      <c r="BB62" s="1334"/>
      <c r="BC62" s="1334"/>
      <c r="BE62" s="510"/>
      <c r="BF62" s="510" t="str">
        <f>IF(T62="","",T62)</f>
        <v>Добавить территорию для дифференциации</v>
      </c>
      <c r="BG62" s="510"/>
      <c r="BH62" s="510"/>
      <c r="BI62" s="521">
        <v>0</v>
      </c>
    </row>
    <row s="1652" customFormat="1" customHeight="1" ht="0">
      <c r="A63" s="1324"/>
      <c r="B63" s="1324"/>
      <c r="C63" s="1324"/>
      <c r="D63" s="1324"/>
      <c r="E63" s="1353"/>
      <c r="F63" s="1324"/>
      <c r="G63" s="1324"/>
      <c r="H63" s="1324"/>
      <c r="I63" s="1324"/>
      <c r="J63" s="1324"/>
      <c r="K63" s="1324"/>
      <c r="L63" s="1504"/>
      <c r="M63" s="1331"/>
      <c r="N63" s="1331"/>
      <c r="P63" s="1326"/>
      <c r="Q63" s="1327"/>
      <c r="R63" s="1326"/>
      <c r="S63" s="1332"/>
      <c r="T63" s="1335" t="s">
        <v>470</v>
      </c>
      <c r="U63" s="1334"/>
      <c r="V63" s="1334"/>
      <c r="W63" s="1334"/>
      <c r="X63" s="1334"/>
      <c r="Y63" s="1334"/>
      <c r="Z63" s="1334"/>
      <c r="AA63" s="1334"/>
      <c r="AB63" s="1334"/>
      <c r="AC63" s="1334"/>
      <c r="AD63" s="1334"/>
      <c r="AE63" s="1334"/>
      <c r="AF63" s="1334"/>
      <c r="AG63" s="1334"/>
      <c r="AH63" s="1334"/>
      <c r="AI63" s="1334"/>
      <c r="AJ63" s="1334"/>
      <c r="AK63" s="1334"/>
      <c r="AL63" s="1334"/>
      <c r="AM63" s="1334"/>
      <c r="AN63" s="1334"/>
      <c r="AO63" s="1334"/>
      <c r="AP63" s="1334"/>
      <c r="AQ63" s="1334"/>
      <c r="AR63" s="1334"/>
      <c r="AS63" s="1334"/>
      <c r="AT63" s="1334"/>
      <c r="AU63" s="1334"/>
      <c r="AV63" s="1334"/>
      <c r="AW63" s="1334"/>
      <c r="AX63" s="1334"/>
      <c r="AY63" s="1334"/>
      <c r="AZ63" s="1334"/>
      <c r="BA63" s="1334"/>
      <c r="BB63" s="1334"/>
      <c r="BC63" s="1334"/>
      <c r="BE63" s="799"/>
      <c r="BF63" s="799" t="str">
        <f>IF(T63="","",T63)</f>
        <v>Добавить наименование тарифа</v>
      </c>
      <c r="BG63" s="799"/>
      <c r="BH63" s="799"/>
      <c r="BI63" s="528">
        <v>0</v>
      </c>
    </row>
    <row customHeight="1" ht="11.549999999999999">
      <c r="M64" s="1170"/>
      <c r="N64" s="1170"/>
      <c r="O64" s="547"/>
      <c r="P64" s="1170"/>
      <c r="Q64" s="1170"/>
      <c r="R64" s="1165"/>
      <c r="S64" s="1165"/>
      <c r="BD64" s="1165"/>
      <c r="BE64" s="1165"/>
      <c r="BF64" s="1165"/>
      <c r="BG64" s="1165"/>
      <c r="BH64" s="1165"/>
      <c r="BI64" s="1165">
        <v>11</v>
      </c>
    </row>
    <row customHeight="1" ht="19.95">
      <c r="O65" s="547"/>
      <c r="S65" s="1263"/>
      <c r="T65" s="2295"/>
      <c r="U65" s="2295"/>
      <c r="V65" s="2295"/>
      <c r="W65" s="2295"/>
      <c r="X65" s="2295"/>
      <c r="Y65" s="2295"/>
      <c r="Z65" s="2295"/>
      <c r="AA65" s="2295"/>
      <c r="AB65" s="2295"/>
      <c r="AC65" s="2295"/>
      <c r="AD65" s="2295"/>
      <c r="AE65" s="2295"/>
      <c r="AF65" s="2295"/>
      <c r="AG65" s="2295"/>
      <c r="AH65" s="2295"/>
      <c r="AI65" s="2295"/>
      <c r="AJ65" s="2295"/>
      <c r="AK65" s="2295"/>
      <c r="AL65" s="2295"/>
      <c r="AM65" s="2295"/>
      <c r="AN65" s="2295"/>
      <c r="AO65" s="2295"/>
      <c r="AP65" s="2295"/>
      <c r="AQ65" s="2295"/>
      <c r="AR65" s="2295"/>
      <c r="AS65" s="2295"/>
      <c r="AT65" s="2295"/>
      <c r="AU65" s="2295"/>
      <c r="AV65" s="2295"/>
      <c r="AW65" s="2295"/>
      <c r="AX65" s="2295"/>
      <c r="AY65" s="2295"/>
      <c r="AZ65" s="2295"/>
      <c r="BA65" s="2295"/>
      <c r="BB65" s="2295"/>
      <c r="BC65" s="2295"/>
      <c r="BI65" s="1165">
        <v>19</v>
      </c>
    </row>
    <row customHeight="1" ht="14.699999999999998">
      <c r="O66" s="547"/>
      <c r="T66" s="1490"/>
      <c r="U66" s="1490"/>
      <c r="V66" s="1490"/>
      <c r="W66" s="1490"/>
      <c r="X66" s="1490"/>
      <c r="Y66" s="1490"/>
      <c r="Z66" s="1490"/>
      <c r="AA66" s="1490"/>
      <c r="AB66" s="1490"/>
      <c r="AC66" s="1490"/>
      <c r="AD66" s="1490"/>
      <c r="AE66" s="1490"/>
      <c r="AF66" s="1490"/>
      <c r="AG66" s="1490"/>
      <c r="AH66" s="1490"/>
      <c r="AI66" s="1490"/>
      <c r="AJ66" s="1490"/>
      <c r="AK66" s="1490"/>
      <c r="AL66" s="1490"/>
      <c r="AM66" s="1490"/>
      <c r="AN66" s="1490"/>
      <c r="AO66" s="1490"/>
      <c r="AP66" s="1490"/>
      <c r="AQ66" s="1490"/>
      <c r="AR66" s="1490"/>
      <c r="AS66" s="1490"/>
      <c r="AT66" s="1490"/>
      <c r="AU66" s="1490"/>
      <c r="AV66" s="1490"/>
      <c r="AW66" s="1490"/>
      <c r="AX66" s="1490"/>
      <c r="AY66" s="1490"/>
      <c r="AZ66" s="1490"/>
      <c r="BA66" s="1490"/>
      <c r="BB66" s="1490"/>
      <c r="BC66" s="1490"/>
      <c r="BI66" s="1165">
        <v>14</v>
      </c>
    </row>
    <row customHeight="1" ht="19.95">
      <c r="O67" s="547"/>
      <c r="S67" s="1263"/>
      <c r="T67" s="2295"/>
      <c r="U67" s="2295"/>
      <c r="V67" s="2295"/>
      <c r="W67" s="2295"/>
      <c r="X67" s="2295"/>
      <c r="Y67" s="2295"/>
      <c r="Z67" s="2295"/>
      <c r="AA67" s="2295"/>
      <c r="AB67" s="2295"/>
      <c r="AC67" s="2295"/>
      <c r="AD67" s="2295"/>
      <c r="AE67" s="2295"/>
      <c r="AF67" s="2295"/>
      <c r="AG67" s="2295"/>
      <c r="AH67" s="2295"/>
      <c r="AI67" s="2295"/>
      <c r="AJ67" s="2295"/>
      <c r="AK67" s="2295"/>
      <c r="AL67" s="2295"/>
      <c r="AM67" s="2295"/>
      <c r="AN67" s="2295"/>
      <c r="AO67" s="2295"/>
      <c r="AP67" s="2295"/>
      <c r="AQ67" s="2295"/>
      <c r="AR67" s="2295"/>
      <c r="AS67" s="2295"/>
      <c r="AT67" s="2295"/>
      <c r="AU67" s="2295"/>
      <c r="AV67" s="2295"/>
      <c r="AW67" s="2295"/>
      <c r="AX67" s="2295"/>
      <c r="AY67" s="2295"/>
      <c r="AZ67" s="2295"/>
      <c r="BA67" s="2295"/>
      <c r="BB67" s="2295"/>
      <c r="BC67" s="2295"/>
      <c r="BI67" s="1165">
        <v>19</v>
      </c>
    </row>
    <row customHeight="1" ht="14.699999999999998">
      <c r="O68" s="547"/>
      <c r="BI68" s="1165">
        <v>14</v>
      </c>
    </row>
    <row customHeight="1" ht="14.25" hidden="1">
      <c r="A69" s="1170" t="s">
        <v>82</v>
      </c>
      <c r="B69" s="1170">
        <v>0</v>
      </c>
      <c r="C69" s="1170">
        <v>0</v>
      </c>
      <c r="D69" s="1170">
        <v>0</v>
      </c>
      <c r="E69" s="1170">
        <v>0</v>
      </c>
      <c r="F69" s="1170">
        <v>0</v>
      </c>
      <c r="G69" s="1170">
        <v>0</v>
      </c>
      <c r="H69" s="1170">
        <v>0</v>
      </c>
      <c r="I69" s="1170">
        <v>0</v>
      </c>
      <c r="J69" s="1170">
        <v>0</v>
      </c>
      <c r="K69" s="1170">
        <v>0</v>
      </c>
      <c r="L69" s="1488">
        <v>0</v>
      </c>
      <c r="M69" s="1372">
        <v>0</v>
      </c>
      <c r="N69" s="1372">
        <v>0</v>
      </c>
      <c r="O69" s="1372">
        <v>0</v>
      </c>
      <c r="P69" s="1372">
        <v>0</v>
      </c>
      <c r="Q69" s="1381">
        <v>0</v>
      </c>
      <c r="R69" s="354">
        <v>3</v>
      </c>
      <c r="S69" s="591">
        <v>12</v>
      </c>
      <c r="T69" s="1165">
        <v>31</v>
      </c>
      <c r="U69" s="1165">
        <v>0</v>
      </c>
      <c r="V69" s="1165">
        <v>0</v>
      </c>
      <c r="W69" s="1165">
        <v>0</v>
      </c>
      <c r="X69" s="1165">
        <v>0</v>
      </c>
      <c r="Y69" s="1165">
        <v>0</v>
      </c>
      <c r="Z69" s="1165">
        <v>0</v>
      </c>
      <c r="AA69" s="1165">
        <v>0</v>
      </c>
      <c r="AB69" s="1165">
        <v>0</v>
      </c>
      <c r="AC69" s="1165">
        <v>0</v>
      </c>
      <c r="AD69" s="1165">
        <v>3</v>
      </c>
      <c r="AE69" s="1165">
        <v>3</v>
      </c>
      <c r="AF69" s="1165">
        <v>3</v>
      </c>
      <c r="AG69" s="1165">
        <v>24</v>
      </c>
      <c r="AH69" s="1165">
        <v>3</v>
      </c>
      <c r="AI69" s="1165">
        <v>3</v>
      </c>
      <c r="AJ69" s="1165">
        <v>3</v>
      </c>
      <c r="AK69" s="1165">
        <v>24</v>
      </c>
      <c r="AL69" s="1165">
        <v>3</v>
      </c>
      <c r="AM69" s="1165">
        <v>3</v>
      </c>
      <c r="AN69" s="1165">
        <v>3</v>
      </c>
      <c r="AO69" s="1165">
        <v>18</v>
      </c>
      <c r="AP69" s="1165">
        <v>3</v>
      </c>
      <c r="AQ69" s="1165">
        <v>3</v>
      </c>
      <c r="AR69" s="1165">
        <v>3</v>
      </c>
      <c r="AS69" s="1165">
        <v>18</v>
      </c>
      <c r="AT69" s="1165">
        <v>21</v>
      </c>
      <c r="AU69" s="1165">
        <v>21</v>
      </c>
      <c r="AV69" s="1165">
        <v>21</v>
      </c>
      <c r="AW69" s="1165">
        <v>21</v>
      </c>
      <c r="AX69" s="1165">
        <v>11</v>
      </c>
      <c r="AY69" s="1165">
        <v>3</v>
      </c>
      <c r="AZ69" s="1165">
        <v>11</v>
      </c>
      <c r="BA69" s="1165">
        <v>0</v>
      </c>
      <c r="BB69" s="1165">
        <v>4</v>
      </c>
      <c r="BC69" s="1165">
        <v>115</v>
      </c>
      <c r="BD69" s="521">
        <v>10</v>
      </c>
      <c r="BE69" s="521">
        <v>10</v>
      </c>
      <c r="BF69" s="521">
        <v>10</v>
      </c>
      <c r="BG69" s="521">
        <v>10</v>
      </c>
      <c r="BH69" s="521">
        <v>10</v>
      </c>
      <c r="BI69" s="1165">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4F75E8-DD2D-5C59-F61B-0.0D2A616D}" mc:Ignorable="x14ac xr xr2 xr3">
  <sheetPr>
    <tabColor theme="9" tint="-0.25"/>
  </sheetPr>
  <dimension ref="A1:AI303"/>
  <sheetViews>
    <sheetView showGridLines="0" zoomScale="90" workbookViewId="0">
      <pane xSplit="8" ySplit="29" topLeftCell="I30" activePane="bottomRight" state="frozen"/>
      <selection pane="bottomLeft" activeCell="A30" sqref="A30"/>
      <selection pane="topRight" activeCell="I1" sqref="I1"/>
      <selection pane="bottomRight" activeCell="L24" sqref="L24"/>
    </sheetView>
  </sheetViews>
  <sheetFormatPr defaultColWidth="9.140625" customHeight="1" defaultRowHeight="11.25"/>
  <cols>
    <col min="1" max="1" style="997" width="10.7109375" hidden="1" customWidth="1"/>
    <col min="2" max="2" style="1376" width="16.8515625" hidden="1" customWidth="1"/>
    <col min="3" max="3" style="1652" width="5.57421875" hidden="1" customWidth="1"/>
    <col min="4" max="4" style="1645" width="3.00390625" customWidth="1"/>
    <col min="5" max="5" style="1645" width="7.00390625" customWidth="1"/>
    <col min="6" max="6" style="1645" width="54.00390625" customWidth="1"/>
    <col min="7" max="7" style="1645" width="10.00390625" customWidth="1"/>
    <col min="8" max="8" style="1645" width="40.7109375" hidden="1" customWidth="1"/>
    <col min="9" max="12" style="1645" width="40.7109375" customWidth="1"/>
    <col min="13" max="13" style="1645" width="102.00390625" customWidth="1"/>
    <col min="14" max="14" style="1376" width="9.00390625" customWidth="1"/>
    <col min="15" max="15" style="1652" width="5.00390625" customWidth="1"/>
    <col min="16" max="16" style="1652" width="3.00390625" customWidth="1"/>
    <col min="17" max="20" style="1376" width="3.00390625" customWidth="1"/>
    <col min="21" max="21" style="1652" width="10.00390625" customWidth="1"/>
    <col min="22" max="22" style="1376" width="34.00390625" customWidth="1"/>
    <col min="23" max="23" style="1376" width="9.00390625" customWidth="1"/>
    <col min="24" max="24" style="746" width="8.00390625" customWidth="1"/>
    <col min="25" max="29" style="1376" width="8.00390625" customWidth="1"/>
    <col min="30" max="34" style="1642" width="8.00390625" customWidth="1"/>
    <col min="35" max="35" style="1645" width="9.140625" hidden="1"/>
  </cols>
  <sheetData>
    <row customHeight="1" ht="22.5" hidden="1">
      <c r="J1" s="1645"/>
      <c r="K1" s="1645"/>
      <c r="L1" s="1645"/>
      <c r="AI1" s="1641" t="s">
        <v>14</v>
      </c>
    </row>
    <row customHeight="1" ht="23.25" hidden="1">
      <c r="B2" s="2109"/>
      <c r="C2" s="1177" t="s">
        <v>567</v>
      </c>
      <c r="D2" s="1648"/>
      <c r="E2" s="556">
        <f>B2</f>
        <v>0</v>
      </c>
      <c r="F2" s="557"/>
      <c r="G2" s="1656" t="s">
        <v>568</v>
      </c>
      <c r="H2" s="1656" t="s">
        <v>568</v>
      </c>
      <c r="I2" s="1656" t="s">
        <v>568</v>
      </c>
      <c r="J2" s="2322" t="s">
        <v>568</v>
      </c>
      <c r="K2" s="2322" t="s">
        <v>568</v>
      </c>
      <c r="L2" s="2322" t="s">
        <v>568</v>
      </c>
      <c r="M2" s="299" t="s">
        <v>569</v>
      </c>
      <c r="N2" s="553"/>
      <c r="AI2" s="1641">
        <v>0</v>
      </c>
    </row>
    <row s="1652" customFormat="1" customHeight="1" ht="0.75" hidden="1">
      <c r="B3" s="2109"/>
      <c r="C3" s="1177"/>
      <c r="D3" s="558"/>
      <c r="E3" s="559"/>
      <c r="F3" s="560" t="s">
        <v>570</v>
      </c>
      <c r="G3" s="561"/>
      <c r="H3" s="561">
        <f>H4*H5+H7</f>
        <v>0</v>
      </c>
      <c r="I3" s="561">
        <f>I4*I5+I6</f>
        <v>0</v>
      </c>
      <c r="J3" s="1383">
        <f>J4*J5+J7</f>
        <v>0</v>
      </c>
      <c r="K3" s="1383">
        <f>K4*K5+K7</f>
        <v>0</v>
      </c>
      <c r="L3" s="1383">
        <f>L4*L5+L7</f>
        <v>0</v>
      </c>
      <c r="M3" s="562"/>
      <c r="AI3" s="1646">
        <v>0</v>
      </c>
    </row>
    <row customHeight="1" ht="23.25" hidden="1">
      <c r="B4" s="2109"/>
      <c r="C4" s="1177"/>
      <c r="D4" s="1648"/>
      <c r="E4" s="556" t="str">
        <f>B2&amp;".1"</f>
        <v>.1</v>
      </c>
      <c r="F4" s="563" t="s">
        <v>571</v>
      </c>
      <c r="G4" s="564"/>
      <c r="H4" s="551"/>
      <c r="I4" s="551"/>
      <c r="J4" s="761"/>
      <c r="K4" s="761"/>
      <c r="L4" s="761"/>
      <c r="M4" s="299" t="s">
        <v>572</v>
      </c>
      <c r="N4" s="553"/>
      <c r="AI4" s="1641">
        <v>0</v>
      </c>
    </row>
    <row customHeight="1" ht="18.75" hidden="1">
      <c r="B5" s="2109"/>
      <c r="C5" s="1177"/>
      <c r="D5" s="1648"/>
      <c r="E5" s="556" t="str">
        <f>B2&amp;".2"</f>
        <v>.2</v>
      </c>
      <c r="F5" s="563" t="s">
        <v>573</v>
      </c>
      <c r="G5" s="1656" t="s">
        <v>574</v>
      </c>
      <c r="H5" s="551"/>
      <c r="I5" s="551"/>
      <c r="J5" s="761"/>
      <c r="K5" s="761"/>
      <c r="L5" s="761"/>
      <c r="M5" s="299"/>
      <c r="N5" s="553"/>
      <c r="AI5" s="1641">
        <v>0</v>
      </c>
    </row>
    <row customHeight="1" ht="18.75" hidden="1">
      <c r="B6" s="2109"/>
      <c r="C6" s="1177"/>
      <c r="D6" s="1648"/>
      <c r="E6" s="556" t="str">
        <f>B2&amp;".3"</f>
        <v>.3</v>
      </c>
      <c r="F6" s="563" t="s">
        <v>575</v>
      </c>
      <c r="G6" s="1656" t="s">
        <v>574</v>
      </c>
      <c r="H6" s="551"/>
      <c r="I6" s="551"/>
      <c r="J6" s="761"/>
      <c r="K6" s="761"/>
      <c r="L6" s="761"/>
      <c r="M6" s="299"/>
      <c r="N6" s="553"/>
      <c r="AI6" s="1641">
        <v>0</v>
      </c>
    </row>
    <row customHeight="1" ht="18.75" hidden="1">
      <c r="B7" s="2109"/>
      <c r="C7" s="1177"/>
      <c r="D7" s="1648"/>
      <c r="E7" s="556" t="str">
        <f>B2&amp;".4"</f>
        <v>.4</v>
      </c>
      <c r="F7" s="563" t="s">
        <v>576</v>
      </c>
      <c r="G7" s="1656" t="s">
        <v>568</v>
      </c>
      <c r="H7" s="565"/>
      <c r="I7" s="565"/>
      <c r="J7" s="565"/>
      <c r="K7" s="565"/>
      <c r="L7" s="565"/>
      <c r="M7" s="299"/>
      <c r="N7" s="553"/>
      <c r="AI7" s="1641">
        <v>0</v>
      </c>
    </row>
    <row s="1376" customFormat="1" customHeight="1" ht="11.25" hidden="1">
      <c r="A8" s="997"/>
      <c r="C8" s="1646"/>
      <c r="D8" s="547"/>
      <c r="H8" s="1170">
        <v>4</v>
      </c>
      <c r="I8" s="1170">
        <v>4</v>
      </c>
      <c r="J8" s="1376">
        <v>4</v>
      </c>
      <c r="K8" s="1376">
        <v>4</v>
      </c>
      <c r="L8" s="1376">
        <v>4</v>
      </c>
      <c r="O8" s="1646"/>
      <c r="P8" s="1646"/>
      <c r="U8" s="1646"/>
      <c r="AI8" s="1170">
        <v>0</v>
      </c>
    </row>
    <row s="1376" customFormat="1" customHeight="1" ht="22.5" hidden="1">
      <c r="A9" s="997"/>
      <c r="C9" s="1646"/>
      <c r="D9" s="548"/>
      <c r="E9" s="1658"/>
      <c r="F9" s="550"/>
      <c r="G9" s="1656" t="s">
        <v>574</v>
      </c>
      <c r="H9" s="551"/>
      <c r="I9" s="551"/>
      <c r="J9" s="761"/>
      <c r="K9" s="761"/>
      <c r="L9" s="761"/>
      <c r="M9" s="552" t="s">
        <v>577</v>
      </c>
      <c r="N9" s="553"/>
      <c r="O9" s="1646"/>
      <c r="P9" s="1646"/>
      <c r="U9" s="1646"/>
      <c r="X9" s="554"/>
      <c r="AD9" s="1642"/>
      <c r="AE9" s="1642"/>
      <c r="AF9" s="1642"/>
      <c r="AG9" s="1642"/>
      <c r="AH9" s="1642"/>
      <c r="AI9" s="1170">
        <v>0</v>
      </c>
    </row>
    <row customHeight="1" ht="11.25" hidden="1">
      <c r="J10" s="1645"/>
      <c r="K10" s="1645"/>
      <c r="L10" s="1645"/>
      <c r="AI10" s="1641">
        <v>0</v>
      </c>
    </row>
    <row customHeight="1" ht="18.75" hidden="1">
      <c r="D11" s="1648"/>
      <c r="E11" s="556"/>
      <c r="F11" s="550"/>
      <c r="G11" s="1656" t="s">
        <v>578</v>
      </c>
      <c r="H11" s="551"/>
      <c r="I11" s="551"/>
      <c r="J11" s="761"/>
      <c r="K11" s="761"/>
      <c r="L11" s="761"/>
      <c r="M11" s="299" t="s">
        <v>579</v>
      </c>
      <c r="N11" s="553"/>
      <c r="AI11" s="1641">
        <v>0</v>
      </c>
    </row>
    <row customHeight="1" ht="11.25" hidden="1">
      <c r="J12" s="1645"/>
      <c r="K12" s="1645"/>
      <c r="L12" s="1645"/>
      <c r="AI12" s="1641">
        <v>0</v>
      </c>
    </row>
    <row customHeight="1" ht="22.5" hidden="1">
      <c r="D13" s="1648"/>
      <c r="E13" s="556"/>
      <c r="F13" s="550"/>
      <c r="G13" s="979" t="s">
        <v>580</v>
      </c>
      <c r="H13" s="555"/>
      <c r="I13" s="555"/>
      <c r="J13" s="555"/>
      <c r="K13" s="555"/>
      <c r="L13" s="555"/>
      <c r="M13" s="755" t="s">
        <v>581</v>
      </c>
      <c r="N13" s="553"/>
      <c r="AI13" s="1641">
        <v>0</v>
      </c>
    </row>
    <row customHeight="1" ht="11.25" hidden="1">
      <c r="J14" s="1645"/>
      <c r="K14" s="1645"/>
      <c r="L14" s="1645"/>
      <c r="AI14" s="1641">
        <v>0</v>
      </c>
    </row>
    <row customHeight="1" ht="22.5" hidden="1">
      <c r="D15" s="1648"/>
      <c r="E15" s="556"/>
      <c r="F15" s="550"/>
      <c r="G15" s="1656" t="s">
        <v>582</v>
      </c>
      <c r="H15" s="555"/>
      <c r="I15" s="555"/>
      <c r="J15" s="555"/>
      <c r="K15" s="555"/>
      <c r="L15" s="555"/>
      <c r="M15" s="299" t="s">
        <v>583</v>
      </c>
      <c r="N15" s="553"/>
      <c r="AI15" s="1641">
        <v>0</v>
      </c>
    </row>
    <row customHeight="1" ht="11.25" hidden="1">
      <c r="J16" s="1645"/>
      <c r="K16" s="1645"/>
      <c r="L16" s="1645"/>
      <c r="AI16" s="1641">
        <v>0</v>
      </c>
    </row>
    <row customHeight="1" ht="22.5" hidden="1">
      <c r="D17" s="1648"/>
      <c r="E17" s="556"/>
      <c r="F17" s="550"/>
      <c r="G17" s="1656" t="s">
        <v>584</v>
      </c>
      <c r="H17" s="555"/>
      <c r="I17" s="555"/>
      <c r="J17" s="555"/>
      <c r="K17" s="555"/>
      <c r="L17" s="555"/>
      <c r="M17" s="299" t="s">
        <v>585</v>
      </c>
      <c r="N17" s="553"/>
      <c r="AI17" s="1641">
        <v>0</v>
      </c>
    </row>
    <row customHeight="1" ht="11.25" hidden="1">
      <c r="J18" s="1645"/>
      <c r="K18" s="1645"/>
      <c r="L18" s="1645"/>
      <c r="AI18" s="1641">
        <v>0</v>
      </c>
    </row>
    <row s="1642" customFormat="1" customHeight="1" ht="11.25" hidden="1">
      <c r="A19" s="997"/>
      <c r="B19" s="1170"/>
      <c r="C19" s="1646"/>
      <c r="D19" s="372"/>
      <c r="J19" s="1642"/>
      <c r="K19" s="1642"/>
      <c r="L19" s="1642"/>
      <c r="M19" s="1642">
        <v>4</v>
      </c>
      <c r="N19" s="1170"/>
      <c r="O19" s="1646"/>
      <c r="P19" s="1646"/>
      <c r="Q19" s="1170"/>
      <c r="R19" s="1170"/>
      <c r="S19" s="1170"/>
      <c r="T19" s="1170"/>
      <c r="U19" s="1646"/>
      <c r="V19" s="1170"/>
      <c r="W19" s="1170"/>
      <c r="X19" s="554"/>
      <c r="Y19" s="1170"/>
      <c r="Z19" s="1170"/>
      <c r="AA19" s="1170"/>
      <c r="AB19" s="1170"/>
      <c r="AC19" s="1170"/>
      <c r="AI19" s="1642">
        <v>0</v>
      </c>
    </row>
    <row customHeight="1" ht="11.549999999999999">
      <c r="J20" s="1645"/>
      <c r="K20" s="1645"/>
      <c r="L20" s="1645"/>
      <c r="AI20" s="1641">
        <v>11</v>
      </c>
    </row>
    <row customHeight="1" ht="25.2">
      <c r="E21" s="2258"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8"/>
      <c r="G21" s="2258"/>
      <c r="H21" s="2258"/>
      <c r="I21" s="2258"/>
      <c r="J21" s="2258"/>
      <c r="K21" s="2258"/>
      <c r="L21" s="2258"/>
      <c r="M21" s="566"/>
      <c r="AI21" s="1641">
        <v>24</v>
      </c>
    </row>
    <row customHeight="1" ht="25.2">
      <c r="E22" s="2259" t="str">
        <f>IF(org=0,"Не определено",org)</f>
        <v>АО «ДГК» СП «Нерюнгринская ГРЭС»</v>
      </c>
      <c r="F22" s="2259"/>
      <c r="G22" s="2259"/>
      <c r="H22" s="2259"/>
      <c r="I22" s="2259"/>
      <c r="J22" s="2259"/>
      <c r="K22" s="2259"/>
      <c r="L22" s="2259"/>
      <c r="AI22" s="1641">
        <v>24</v>
      </c>
    </row>
    <row customHeight="1" ht="11.549999999999999">
      <c r="E23" s="1145"/>
      <c r="F23" s="1145"/>
      <c r="G23" s="1145"/>
      <c r="H23" s="1145"/>
      <c r="I23" s="1145"/>
      <c r="J23" s="1146" t="s">
        <v>22</v>
      </c>
      <c r="K23" s="1146" t="s">
        <v>22</v>
      </c>
      <c r="L23" s="1146" t="s">
        <v>22</v>
      </c>
      <c r="AI23" s="1641">
        <v>11</v>
      </c>
    </row>
    <row s="1652" customFormat="1" customHeight="1" ht="1.05">
      <c r="A24" s="1177"/>
      <c r="D24" s="1652"/>
      <c r="H24" s="899"/>
      <c r="I24" s="899" t="s">
        <v>132</v>
      </c>
      <c r="J24" s="899" t="s">
        <v>138</v>
      </c>
      <c r="K24" s="899" t="s">
        <v>141</v>
      </c>
      <c r="L24" s="899" t="s">
        <v>143</v>
      </c>
      <c r="AI24" s="1646">
        <v>1</v>
      </c>
    </row>
    <row customHeight="1" ht="11.549999999999999">
      <c r="E25" s="721"/>
      <c r="F25" s="2377" t="s">
        <v>120</v>
      </c>
      <c r="G25" s="2378"/>
      <c r="H25" s="1662" t="str">
        <f>IF(H24="","",INDEX(DIFFERENTIATION_UNMERGE_VD,MATCH(H24,DIFFERENTIATION_ID_DIFF,0)))</f>
        <v/>
      </c>
      <c r="I25" s="1662" t="str">
        <f>IF(I24="","",INDEX(DIFFERENTIATION_UNMERGE_VD,MATCH(I24,DIFFERENTIATION_ID_DIFF,0)))</f>
        <v>Производство тепловой энергии. Некомбинированная выработка</v>
      </c>
      <c r="J25" s="2403" t="str">
        <f>IF(J24="","",INDEX(DIFFERENTIATION_UNMERGE_VD,MATCH(J24,DIFFERENTIATION_ID_DIFF,0)))</f>
        <v>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K25" s="2403" t="str">
        <f>IF(K24="","",INDEX(DIFFERENTIATION_UNMERGE_VD,MATCH(K24,DIFFERENTIATION_ID_DIFF,0)))</f>
        <v>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L25" s="2403" t="str">
        <f>IF(L24="","",INDEX(DIFFERENTIATION_UNMERGE_VD,MATCH(L24,DIFFERENTIATION_ID_DIFF,0)))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 Передача. Тепловая энергия; Передача. Теплоноситель; Сбыт. Тепловая энергия; Сбыт. Теплоноситель</v>
      </c>
      <c r="M25" s="2137"/>
      <c r="AI25" s="1641">
        <v>11</v>
      </c>
    </row>
    <row customHeight="1" ht="11.549999999999999">
      <c r="E26" s="721"/>
      <c r="F26" s="2377" t="s">
        <v>586</v>
      </c>
      <c r="G26" s="2378"/>
      <c r="H26" s="1662" t="str">
        <f>IF(H24="","",INDEX(DIFFERENTIATION_UNMERGE_AREA,MATCH(H24,DIFFERENTIATION_ID_DIFF,0)))</f>
        <v/>
      </c>
      <c r="I26" s="1662" t="str">
        <f>IF(I24="","",INDEX(DIFFERENTIATION_UNMERGE_AREA,MATCH(I24,DIFFERENTIATION_ID_DIFF,0)))</f>
        <v>Территория 1</v>
      </c>
      <c r="J26" s="2403" t="str">
        <f>IF(J24="","",INDEX(DIFFERENTIATION_UNMERGE_AREA,MATCH(J24,DIFFERENTIATION_ID_DIFF,0)))</f>
        <v>Территория 2</v>
      </c>
      <c r="K26" s="2403" t="str">
        <f>IF(K24="","",INDEX(DIFFERENTIATION_UNMERGE_AREA,MATCH(K24,DIFFERENTIATION_ID_DIFF,0)))</f>
        <v>Территория 3</v>
      </c>
      <c r="L26" s="2403" t="str">
        <f>IF(L24="","",INDEX(DIFFERENTIATION_UNMERGE_AREA,MATCH(L24,DIFFERENTIATION_ID_DIFF,0)))</f>
        <v>Территория 4</v>
      </c>
      <c r="M26" s="2137"/>
      <c r="AI26" s="1641">
        <v>11</v>
      </c>
    </row>
    <row customHeight="1" ht="11.549999999999999">
      <c r="E27" s="721"/>
      <c r="F27" s="2377" t="s">
        <v>587</v>
      </c>
      <c r="G27" s="2378"/>
      <c r="H27" s="1662" t="str">
        <f>IF(H24="","",INDEX(DIFFERENTIATION_UNMERGE_SYSTEM,MATCH(H24,DIFFERENTIATION_ID_DIFF,0)))</f>
        <v/>
      </c>
      <c r="I27" s="1662" t="str">
        <f>IF(I24="","",INDEX(DIFFERENTIATION_UNMERGE_SYSTEM,MATCH(I24,DIFFERENTIATION_ID_DIFF,0)))</f>
        <v>Нерюнгринская ГРЭС (г. Нерюнгри)</v>
      </c>
      <c r="J27" s="2403" t="str">
        <f>IF(J24="","",INDEX(DIFFERENTIATION_UNMERGE_SYSTEM,MATCH(J24,DIFFERENTIATION_ID_DIFF,0)))</f>
        <v>Нерюнгринская ГРЭС (п. Серебряный Бор)</v>
      </c>
      <c r="K27" s="2403" t="str">
        <f>IF(K24="","",INDEX(DIFFERENTIATION_UNMERGE_SYSTEM,MATCH(K24,DIFFERENTIATION_ID_DIFF,0)))</f>
        <v>Нерюнгринская ГРЭС (п. Беркакит)</v>
      </c>
      <c r="L27" s="2403" t="str">
        <f>IF(L24="","",INDEX(DIFFERENTIATION_UNMERGE_SYSTEM,MATCH(L24,DIFFERENTIATION_ID_DIFF,0)))</f>
        <v>Чульманская ТЭЦ (п. Чульман)</v>
      </c>
      <c r="M27" s="2137"/>
      <c r="AI27" s="1641">
        <v>11</v>
      </c>
    </row>
    <row customHeight="1" ht="11.549999999999999">
      <c r="E28" s="2379" t="s">
        <v>322</v>
      </c>
      <c r="F28" s="2380"/>
      <c r="G28" s="2380"/>
      <c r="H28" s="1655"/>
      <c r="I28" s="1655"/>
      <c r="J28" s="2377"/>
      <c r="K28" s="2377"/>
      <c r="L28" s="2377"/>
      <c r="M28" s="2137"/>
      <c r="AI28" s="1641">
        <v>11</v>
      </c>
    </row>
    <row customHeight="1" ht="24">
      <c r="E29" s="1656" t="s">
        <v>88</v>
      </c>
      <c r="F29" s="1663" t="s">
        <v>324</v>
      </c>
      <c r="G29" s="1663" t="s">
        <v>588</v>
      </c>
      <c r="H29" s="1663" t="s">
        <v>325</v>
      </c>
      <c r="I29" s="1663" t="s">
        <v>325</v>
      </c>
      <c r="J29" s="2322" t="s">
        <v>325</v>
      </c>
      <c r="K29" s="2322" t="s">
        <v>325</v>
      </c>
      <c r="L29" s="2322" t="s">
        <v>325</v>
      </c>
      <c r="M29" s="2137"/>
      <c r="AI29" s="1641">
        <v>23</v>
      </c>
    </row>
    <row customHeight="1" ht="19.95">
      <c r="D30" s="1648"/>
      <c r="E30" s="556">
        <f>FHD_NUM_P_1</f>
        <v>1</v>
      </c>
      <c r="F30" s="1890" t="str">
        <f>FHD_P_1</f>
        <v>Выручка от регулируемого вида деятельности с распределением по видам деятельности</v>
      </c>
      <c r="G30" s="1888" t="s">
        <v>574</v>
      </c>
      <c r="H30" s="567"/>
      <c r="I30" s="567"/>
      <c r="J30" s="567"/>
      <c r="K30" s="567"/>
      <c r="L30" s="567"/>
      <c r="M30" s="299" t="str">
        <f>FHD_NOTE_P_1</f>
        <v>Указывается выручка от регулируемого вида деятельности с распределением по видам деятельности.</v>
      </c>
      <c r="N30" s="553"/>
      <c r="AI30" s="1641">
        <v>19</v>
      </c>
    </row>
    <row customHeight="1" ht="11.549999999999999">
      <c r="D31" s="1648"/>
      <c r="E31" s="556">
        <f>FHD_NUM_P_2</f>
        <v>2</v>
      </c>
      <c r="F31" s="1890" t="str">
        <f>FHD_P_2</f>
        <v>Себестоимость производимых товаров (оказываемых услуг) по регулируемому виду деятельности, включая:</v>
      </c>
      <c r="G31" s="1888" t="s">
        <v>574</v>
      </c>
      <c r="H31" s="568">
        <f>SUMIF($N33:$N71,$N31,H33:H71)</f>
        <v>0</v>
      </c>
      <c r="I31" s="568">
        <f>SUMIF($N33:$N71,$N31,I33:I71)</f>
        <v>0</v>
      </c>
      <c r="J31" s="568">
        <f>SUMIF($N33:$N71,$N31,J33:J71)</f>
        <v>0</v>
      </c>
      <c r="K31" s="568">
        <f>SUMIF($N33:$N71,$N31,K33:K71)</f>
        <v>0</v>
      </c>
      <c r="L31" s="568">
        <f>SUMIF($N33:$N71,$N31,L33:L71)</f>
        <v>0</v>
      </c>
      <c r="M31" s="299" t="str">
        <f>FHD_NOTE_P_2</f>
        <v>Указывается суммарная себестоимость производимых товаров.</v>
      </c>
      <c r="N31" s="1646" t="s">
        <v>589</v>
      </c>
      <c r="AI31" s="1641">
        <v>11</v>
      </c>
    </row>
    <row customHeight="1" ht="11.549999999999999">
      <c r="D32" s="1648"/>
      <c r="E32" s="556" t="str">
        <f>FHD_NUM_P_3</f>
        <v>2.1</v>
      </c>
      <c r="F32" s="1534" t="str">
        <f>FHD_P_3</f>
        <v>Расходы на приобретаемую тепловую энергию (мощность), теплоноситель</v>
      </c>
      <c r="G32" s="1888" t="s">
        <v>574</v>
      </c>
      <c r="H32" s="567"/>
      <c r="I32" s="567"/>
      <c r="J32" s="567"/>
      <c r="K32" s="567"/>
      <c r="L32" s="567"/>
      <c r="M32" s="299" t="str">
        <f>FHD_NOTE_P_3</f>
        <v/>
      </c>
      <c r="N32" s="1646" t="str">
        <f>IF((LEN(E32)-LEN(SUBSTITUTE(E32,".","")))/LEN(".")=1,"p","")</f>
        <v>p</v>
      </c>
      <c r="AI32" s="1641">
        <v>11</v>
      </c>
    </row>
    <row customHeight="1" ht="11.25">
      <c r="A33" s="2381" t="s">
        <v>590</v>
      </c>
      <c r="D33" s="1648"/>
      <c r="E33" s="556" t="str">
        <f>FHD_NUM_P_4</f>
        <v>2.2</v>
      </c>
      <c r="F33" s="1534"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8" t="s">
        <v>574</v>
      </c>
      <c r="H33" s="568">
        <f>SUMIF($F34:$F40,$F3,H34:H40)</f>
        <v>0</v>
      </c>
      <c r="I33" s="568">
        <f>SUMIF($F34:$F40,$F3,I34:I40)</f>
        <v>0</v>
      </c>
      <c r="J33" s="568">
        <f>SUMIF($F34:$F40,$F3,J34:J40)</f>
        <v>0</v>
      </c>
      <c r="K33" s="568">
        <f>SUMIF($F34:$F40,$F3,K34:K40)</f>
        <v>0</v>
      </c>
      <c r="L33" s="568">
        <f>SUMIF($F34:$F40,$F3,L34:L40)</f>
        <v>0</v>
      </c>
      <c r="M33" s="299" t="str">
        <f>FHD_NOTE_P_4</f>
        <v>Указываются суммарные расходы на приобретение топлива всех видов.</v>
      </c>
      <c r="N33" s="1646" t="str">
        <f>IF((LEN(E33)-LEN(SUBSTITUTE(E33,".","")))/LEN(".")=1,"p","")</f>
        <v>p</v>
      </c>
      <c r="AI33" s="1641">
        <v>0</v>
      </c>
    </row>
    <row s="1651" customFormat="1" customHeight="1" ht="0.75">
      <c r="A34" s="2381"/>
      <c r="B34" s="2382" t="str">
        <f>E33&amp;".0"</f>
        <v>2.2.0</v>
      </c>
      <c r="C34" s="1177"/>
      <c r="D34" s="570"/>
      <c r="E34" s="571"/>
      <c r="F34" s="572"/>
      <c r="G34" s="573"/>
      <c r="H34" s="507"/>
      <c r="I34" s="507"/>
      <c r="J34" s="507"/>
      <c r="K34" s="507"/>
      <c r="L34" s="507"/>
      <c r="M34" s="574"/>
      <c r="N34" s="1646" t="str">
        <f>IF((LEN(E34)-LEN(SUBSTITUTE(E34,".","")))/LEN(".")=1,"p","")</f>
        <v/>
      </c>
      <c r="O34" s="1646"/>
      <c r="P34" s="1646"/>
      <c r="Q34" s="1646"/>
      <c r="R34" s="1646"/>
      <c r="S34" s="1646"/>
      <c r="T34" s="1646"/>
      <c r="U34" s="1646"/>
      <c r="V34" s="1646"/>
      <c r="W34" s="1646"/>
      <c r="X34" s="575"/>
      <c r="Y34" s="1646"/>
      <c r="Z34" s="1646"/>
      <c r="AA34" s="1646"/>
      <c r="AB34" s="1646"/>
      <c r="AC34" s="1646"/>
      <c r="AD34" s="576"/>
      <c r="AE34" s="576"/>
      <c r="AF34" s="576"/>
      <c r="AG34" s="576"/>
      <c r="AH34" s="576"/>
      <c r="AI34" s="1651">
        <v>0</v>
      </c>
    </row>
    <row s="1651" customFormat="1" customHeight="1" ht="0.75">
      <c r="A35" s="2381"/>
      <c r="B35" s="2382"/>
      <c r="C35" s="1177"/>
      <c r="D35" s="570"/>
      <c r="E35" s="577"/>
      <c r="F35" s="578"/>
      <c r="G35" s="573"/>
      <c r="H35" s="579"/>
      <c r="I35" s="579"/>
      <c r="J35" s="579"/>
      <c r="K35" s="579"/>
      <c r="L35" s="579"/>
      <c r="M35" s="574"/>
      <c r="N35" s="1646" t="str">
        <f>IF((LEN(E35)-LEN(SUBSTITUTE(E35,".","")))/LEN(".")=1,"p","")</f>
        <v/>
      </c>
      <c r="O35" s="1646"/>
      <c r="P35" s="1646"/>
      <c r="Q35" s="1646"/>
      <c r="R35" s="1646"/>
      <c r="S35" s="1646"/>
      <c r="T35" s="1646"/>
      <c r="U35" s="1646"/>
      <c r="V35" s="1646"/>
      <c r="W35" s="1646"/>
      <c r="X35" s="575"/>
      <c r="Y35" s="1646"/>
      <c r="Z35" s="1646"/>
      <c r="AA35" s="1646"/>
      <c r="AB35" s="1646"/>
      <c r="AC35" s="1646"/>
      <c r="AD35" s="576"/>
      <c r="AE35" s="576"/>
      <c r="AF35" s="576"/>
      <c r="AG35" s="576"/>
      <c r="AH35" s="576"/>
      <c r="AI35" s="1651">
        <v>0</v>
      </c>
    </row>
    <row s="1651" customFormat="1" customHeight="1" ht="0.75">
      <c r="A36" s="2381"/>
      <c r="B36" s="2382"/>
      <c r="C36" s="1177"/>
      <c r="D36" s="570"/>
      <c r="E36" s="577"/>
      <c r="F36" s="578"/>
      <c r="G36" s="573"/>
      <c r="H36" s="579"/>
      <c r="I36" s="579"/>
      <c r="J36" s="579"/>
      <c r="K36" s="579"/>
      <c r="L36" s="579"/>
      <c r="M36" s="574"/>
      <c r="N36" s="1646" t="str">
        <f>IF((LEN(E36)-LEN(SUBSTITUTE(E36,".","")))/LEN(".")=1,"p","")</f>
        <v/>
      </c>
      <c r="O36" s="1646"/>
      <c r="P36" s="1646"/>
      <c r="Q36" s="1646"/>
      <c r="R36" s="1646"/>
      <c r="S36" s="1646"/>
      <c r="T36" s="1646"/>
      <c r="U36" s="1646"/>
      <c r="V36" s="1646"/>
      <c r="W36" s="1646"/>
      <c r="X36" s="575"/>
      <c r="Y36" s="1646"/>
      <c r="Z36" s="1646"/>
      <c r="AA36" s="1646"/>
      <c r="AB36" s="1646"/>
      <c r="AC36" s="1646"/>
      <c r="AD36" s="576"/>
      <c r="AE36" s="576"/>
      <c r="AF36" s="576"/>
      <c r="AG36" s="576"/>
      <c r="AH36" s="576"/>
      <c r="AI36" s="1651">
        <v>0</v>
      </c>
    </row>
    <row s="1651" customFormat="1" customHeight="1" ht="0.75">
      <c r="A37" s="2381"/>
      <c r="B37" s="2382"/>
      <c r="C37" s="1177"/>
      <c r="D37" s="570"/>
      <c r="E37" s="577"/>
      <c r="F37" s="578"/>
      <c r="G37" s="573"/>
      <c r="H37" s="579"/>
      <c r="I37" s="579"/>
      <c r="J37" s="579"/>
      <c r="K37" s="579"/>
      <c r="L37" s="579"/>
      <c r="M37" s="574"/>
      <c r="N37" s="1646" t="str">
        <f>IF((LEN(E37)-LEN(SUBSTITUTE(E37,".","")))/LEN(".")=1,"p","")</f>
        <v/>
      </c>
      <c r="O37" s="1646"/>
      <c r="P37" s="1646"/>
      <c r="Q37" s="1646"/>
      <c r="R37" s="1646"/>
      <c r="S37" s="1646"/>
      <c r="T37" s="1646"/>
      <c r="U37" s="1646"/>
      <c r="V37" s="1646"/>
      <c r="W37" s="1646"/>
      <c r="X37" s="575"/>
      <c r="Y37" s="1646"/>
      <c r="Z37" s="1646"/>
      <c r="AA37" s="1646"/>
      <c r="AB37" s="1646"/>
      <c r="AC37" s="1646"/>
      <c r="AD37" s="576"/>
      <c r="AE37" s="576"/>
      <c r="AF37" s="576"/>
      <c r="AG37" s="576"/>
      <c r="AH37" s="576"/>
      <c r="AI37" s="1651">
        <v>0</v>
      </c>
    </row>
    <row s="1651" customFormat="1" customHeight="1" ht="0.75">
      <c r="A38" s="2381"/>
      <c r="B38" s="2382"/>
      <c r="C38" s="1177"/>
      <c r="D38" s="570"/>
      <c r="E38" s="577"/>
      <c r="F38" s="578"/>
      <c r="G38" s="573"/>
      <c r="H38" s="579"/>
      <c r="I38" s="579"/>
      <c r="J38" s="579"/>
      <c r="K38" s="579"/>
      <c r="L38" s="579"/>
      <c r="M38" s="574"/>
      <c r="N38" s="1646" t="str">
        <f>IF((LEN(E38)-LEN(SUBSTITUTE(E38,".","")))/LEN(".")=1,"p","")</f>
        <v/>
      </c>
      <c r="O38" s="1646"/>
      <c r="P38" s="1646"/>
      <c r="Q38" s="1646"/>
      <c r="R38" s="1646"/>
      <c r="S38" s="1646"/>
      <c r="T38" s="1646"/>
      <c r="U38" s="1646"/>
      <c r="V38" s="1646"/>
      <c r="W38" s="1646"/>
      <c r="X38" s="575"/>
      <c r="Y38" s="1646"/>
      <c r="Z38" s="1646"/>
      <c r="AA38" s="1646"/>
      <c r="AB38" s="1646"/>
      <c r="AC38" s="1646"/>
      <c r="AD38" s="576"/>
      <c r="AE38" s="576"/>
      <c r="AF38" s="576"/>
      <c r="AG38" s="576"/>
      <c r="AH38" s="576"/>
      <c r="AI38" s="1651">
        <v>0</v>
      </c>
    </row>
    <row s="1651" customFormat="1" customHeight="1" ht="0.75">
      <c r="A39" s="2381"/>
      <c r="B39" s="2382"/>
      <c r="C39" s="1177"/>
      <c r="D39" s="570"/>
      <c r="E39" s="577"/>
      <c r="F39" s="578"/>
      <c r="G39" s="573"/>
      <c r="H39" s="507"/>
      <c r="I39" s="507"/>
      <c r="J39" s="507"/>
      <c r="K39" s="507"/>
      <c r="L39" s="507"/>
      <c r="M39" s="574"/>
      <c r="N39" s="1646" t="str">
        <f>IF((LEN(E39)-LEN(SUBSTITUTE(E39,".","")))/LEN(".")=1,"p","")</f>
        <v/>
      </c>
      <c r="O39" s="1646"/>
      <c r="P39" s="1646"/>
      <c r="Q39" s="1646"/>
      <c r="R39" s="1646"/>
      <c r="S39" s="1646"/>
      <c r="T39" s="1646"/>
      <c r="U39" s="1646"/>
      <c r="V39" s="1646"/>
      <c r="W39" s="1646"/>
      <c r="X39" s="575"/>
      <c r="Y39" s="1646"/>
      <c r="Z39" s="1646"/>
      <c r="AA39" s="1646"/>
      <c r="AB39" s="1646"/>
      <c r="AC39" s="1646"/>
      <c r="AD39" s="576"/>
      <c r="AE39" s="576"/>
      <c r="AF39" s="576"/>
      <c r="AG39" s="576"/>
      <c r="AH39" s="576"/>
      <c r="AI39" s="1651">
        <v>0</v>
      </c>
    </row>
    <row s="1376" customFormat="1" customHeight="1" ht="15">
      <c r="A40" s="2381"/>
      <c r="C40" s="1646"/>
      <c r="D40" s="1643"/>
      <c r="E40" s="580"/>
      <c r="F40" s="581" t="s">
        <v>591</v>
      </c>
      <c r="G40" s="582"/>
      <c r="H40" s="583"/>
      <c r="I40" s="583"/>
      <c r="J40" s="2645"/>
      <c r="K40" s="2646"/>
      <c r="L40" s="2647"/>
      <c r="M40" s="311"/>
      <c r="N40" s="1646" t="str">
        <f>IF((LEN(E40)-LEN(SUBSTITUTE(E40,".","")))/LEN(".")=1,"p","")</f>
        <v/>
      </c>
      <c r="O40" s="1646"/>
      <c r="P40" s="1646"/>
      <c r="U40" s="1646"/>
      <c r="X40" s="554"/>
      <c r="AD40" s="1642"/>
      <c r="AE40" s="1642"/>
      <c r="AF40" s="1642"/>
      <c r="AG40" s="1642"/>
      <c r="AH40" s="1642"/>
      <c r="AI40" s="1170">
        <v>0</v>
      </c>
    </row>
    <row customHeight="1" ht="11.25" hidden="1">
      <c r="A41" s="2381" t="s">
        <v>592</v>
      </c>
      <c r="D41" s="1648"/>
      <c r="E41" s="556" t="str">
        <f>FHD_NUM_P_5</f>
        <v/>
      </c>
      <c r="F41" s="1534" t="str">
        <f>FHD_P_5</f>
        <v/>
      </c>
      <c r="G41" s="1888" t="s">
        <v>574</v>
      </c>
      <c r="H41" s="567"/>
      <c r="I41" s="567"/>
      <c r="J41" s="567"/>
      <c r="K41" s="567"/>
      <c r="L41" s="567"/>
      <c r="M41" s="299" t="str">
        <f>FHD_NOTE_P_5</f>
        <v/>
      </c>
      <c r="N41" s="1646" t="str">
        <f>IF((LEN(E41)-LEN(SUBSTITUTE(E41,".","")))/LEN(".")=1,"p","")</f>
        <v/>
      </c>
      <c r="AI41" s="1641">
        <v>0</v>
      </c>
    </row>
    <row customHeight="1" ht="11.25" hidden="1">
      <c r="A42" s="2381"/>
      <c r="D42" s="1648"/>
      <c r="E42" s="556" t="str">
        <f>FHD_NUM_P_6</f>
        <v/>
      </c>
      <c r="F42" s="1534" t="str">
        <f>FHD_P_6</f>
        <v/>
      </c>
      <c r="G42" s="1888" t="s">
        <v>574</v>
      </c>
      <c r="H42" s="567"/>
      <c r="I42" s="567"/>
      <c r="J42" s="567"/>
      <c r="K42" s="567"/>
      <c r="L42" s="567"/>
      <c r="M42" s="299" t="str">
        <f>FHD_NOTE_P_6</f>
        <v/>
      </c>
      <c r="N42" s="1646" t="str">
        <f>IF((LEN(E42)-LEN(SUBSTITUTE(E42,".","")))/LEN(".")=1,"p","")</f>
        <v/>
      </c>
      <c r="AI42" s="1641">
        <v>0</v>
      </c>
    </row>
    <row customHeight="1" ht="11.25" hidden="1">
      <c r="A43" s="2381"/>
      <c r="D43" s="1648"/>
      <c r="E43" s="556" t="str">
        <f>FHD_NUM_P_7</f>
        <v/>
      </c>
      <c r="F43" s="1534" t="str">
        <f>FHD_P_7</f>
        <v/>
      </c>
      <c r="G43" s="1888" t="s">
        <v>574</v>
      </c>
      <c r="H43" s="567"/>
      <c r="I43" s="567"/>
      <c r="J43" s="567"/>
      <c r="K43" s="567"/>
      <c r="L43" s="567"/>
      <c r="M43" s="299" t="str">
        <f>FHD_NOTE_P_7</f>
        <v/>
      </c>
      <c r="N43" s="1646" t="str">
        <f>IF((LEN(E43)-LEN(SUBSTITUTE(E43,".","")))/LEN(".")=1,"p","")</f>
        <v/>
      </c>
      <c r="AI43" s="1641">
        <v>0</v>
      </c>
    </row>
    <row customHeight="1" ht="11.549999999999999">
      <c r="D44" s="1648"/>
      <c r="E44" s="556" t="str">
        <f>FHD_NUM_P_8</f>
        <v>2.3</v>
      </c>
      <c r="F44" s="1534" t="str">
        <f>FHD_P_8</f>
        <v>Расходы на приобретаемую электрическую энергию (мощность), используемую в технологическом процессе</v>
      </c>
      <c r="G44" s="1888" t="s">
        <v>574</v>
      </c>
      <c r="H44" s="567"/>
      <c r="I44" s="567"/>
      <c r="J44" s="567"/>
      <c r="K44" s="567"/>
      <c r="L44" s="567"/>
      <c r="M44" s="299" t="str">
        <f>FHD_NOTE_P_8</f>
        <v/>
      </c>
      <c r="N44" s="1646" t="str">
        <f>IF((LEN(E44)-LEN(SUBSTITUTE(E44,".","")))/LEN(".")=1,"p","")</f>
        <v>p</v>
      </c>
      <c r="AI44" s="1641">
        <v>11</v>
      </c>
    </row>
    <row customHeight="1" ht="11.549999999999999">
      <c r="D45" s="1648"/>
      <c r="E45" s="556" t="str">
        <f>FHD_NUM_P_9</f>
        <v>2.3.1</v>
      </c>
      <c r="F45" s="1660" t="str">
        <f>FHD_P_9</f>
        <v>Средневзвешенная стоимость 1 кВт.ч (с учетом мощности)</v>
      </c>
      <c r="G45" s="1888" t="s">
        <v>593</v>
      </c>
      <c r="H45" s="567"/>
      <c r="I45" s="567"/>
      <c r="J45" s="567"/>
      <c r="K45" s="567"/>
      <c r="L45" s="567"/>
      <c r="M45" s="299" t="str">
        <f>FHD_NOTE_P_9</f>
        <v/>
      </c>
      <c r="N45" s="1646" t="str">
        <f>IF((LEN(E45)-LEN(SUBSTITUTE(E45,".","")))/LEN(".")=1,"p","")</f>
        <v/>
      </c>
      <c r="AI45" s="1641">
        <v>11</v>
      </c>
    </row>
    <row s="1376" customFormat="1" customHeight="1" ht="11.549999999999999">
      <c r="A46" s="997"/>
      <c r="C46" s="1646"/>
      <c r="D46" s="584"/>
      <c r="E46" s="556" t="str">
        <f>FHD_NUM_P_10</f>
        <v>2.3.2</v>
      </c>
      <c r="F46" s="1660" t="str">
        <f>FHD_P_10</f>
        <v>Объём приобретения электрической энергии</v>
      </c>
      <c r="G46" s="1888" t="s">
        <v>594</v>
      </c>
      <c r="H46" s="567"/>
      <c r="I46" s="567"/>
      <c r="J46" s="567"/>
      <c r="K46" s="567"/>
      <c r="L46" s="567"/>
      <c r="M46" s="299" t="str">
        <f>FHD_NOTE_P_10</f>
        <v/>
      </c>
      <c r="N46" s="1646" t="str">
        <f>IF((LEN(E46)-LEN(SUBSTITUTE(E46,".","")))/LEN(".")=1,"p","")</f>
        <v/>
      </c>
      <c r="O46" s="1646"/>
      <c r="P46" s="1646"/>
      <c r="U46" s="1646"/>
      <c r="X46" s="554"/>
      <c r="AD46" s="1642"/>
      <c r="AE46" s="1642"/>
      <c r="AF46" s="1642"/>
      <c r="AG46" s="1642"/>
      <c r="AH46" s="1642"/>
      <c r="AI46" s="1170">
        <v>11</v>
      </c>
    </row>
    <row s="1376" customFormat="1" customHeight="1" ht="11.25">
      <c r="A47" s="999" t="s">
        <v>595</v>
      </c>
      <c r="C47" s="1646"/>
      <c r="D47" s="585"/>
      <c r="E47" s="556" t="str">
        <f>FHD_NUM_P_11</f>
        <v>2.4</v>
      </c>
      <c r="F47" s="1534" t="str">
        <f>FHD_P_11</f>
        <v>Расходы на приобретение холодной воды, используемой в технологическом процессе</v>
      </c>
      <c r="G47" s="1888" t="s">
        <v>574</v>
      </c>
      <c r="H47" s="567"/>
      <c r="I47" s="567"/>
      <c r="J47" s="567"/>
      <c r="K47" s="567"/>
      <c r="L47" s="567"/>
      <c r="M47" s="299" t="str">
        <f>FHD_NOTE_P_11</f>
        <v/>
      </c>
      <c r="N47" s="1646" t="str">
        <f>IF((LEN(E47)-LEN(SUBSTITUTE(E47,".","")))/LEN(".")=1,"p","")</f>
        <v>p</v>
      </c>
      <c r="O47" s="1646"/>
      <c r="P47" s="1646"/>
      <c r="U47" s="1646"/>
      <c r="X47" s="554"/>
      <c r="AD47" s="1642"/>
      <c r="AE47" s="1642"/>
      <c r="AF47" s="1642"/>
      <c r="AG47" s="1642"/>
      <c r="AH47" s="1642"/>
      <c r="AI47" s="1170">
        <v>0</v>
      </c>
    </row>
    <row s="1376" customFormat="1" customHeight="1" ht="18.75">
      <c r="A48" s="999" t="s">
        <v>596</v>
      </c>
      <c r="C48" s="1646"/>
      <c r="D48" s="1648"/>
      <c r="E48" s="556" t="str">
        <f>FHD_NUM_P_12</f>
        <v>2.5</v>
      </c>
      <c r="F48" s="1534" t="str">
        <f>FHD_P_12</f>
        <v>Расходы на  химические реагенты, используемые в технологическом процессе</v>
      </c>
      <c r="G48" s="1888" t="s">
        <v>574</v>
      </c>
      <c r="H48" s="587"/>
      <c r="I48" s="587"/>
      <c r="J48" s="587"/>
      <c r="K48" s="587"/>
      <c r="L48" s="587"/>
      <c r="M48" s="299" t="str">
        <f>FHD_NOTE_P_12</f>
        <v/>
      </c>
      <c r="N48" s="1646" t="str">
        <f>IF((LEN(E48)-LEN(SUBSTITUTE(E48,".","")))/LEN(".")=1,"p","")</f>
        <v>p</v>
      </c>
      <c r="O48" s="1646"/>
      <c r="P48" s="1646"/>
      <c r="U48" s="1646"/>
      <c r="X48" s="554"/>
      <c r="AD48" s="1642"/>
      <c r="AE48" s="1642"/>
      <c r="AF48" s="1642"/>
      <c r="AG48" s="1642"/>
      <c r="AH48" s="1642"/>
      <c r="AI48" s="1170">
        <v>18</v>
      </c>
    </row>
    <row s="1375" customFormat="1" customHeight="1" ht="11.549999999999999">
      <c r="A49" s="998"/>
      <c r="C49" s="740"/>
      <c r="D49" s="683"/>
      <c r="E49" s="556" t="str">
        <f>FHD_NUM_P_13</f>
        <v>2.6</v>
      </c>
      <c r="F49" s="153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8" t="s">
        <v>574</v>
      </c>
      <c r="H49" s="567"/>
      <c r="I49" s="567"/>
      <c r="J49" s="567"/>
      <c r="K49" s="567"/>
      <c r="L49" s="567"/>
      <c r="M49" s="299" t="str">
        <f>FHD_NOTE_P_13</f>
        <v/>
      </c>
      <c r="N49" s="1646" t="str">
        <f>IF((LEN(E49)-LEN(SUBSTITUTE(E49,".","")))/LEN(".")=1,"p","")</f>
        <v>p</v>
      </c>
      <c r="O49" s="740"/>
      <c r="P49" s="740"/>
      <c r="U49" s="740"/>
      <c r="X49" s="741"/>
      <c r="AD49" s="742"/>
      <c r="AE49" s="742"/>
      <c r="AF49" s="742"/>
      <c r="AG49" s="742"/>
      <c r="AH49" s="742"/>
      <c r="AI49" s="739">
        <v>11</v>
      </c>
    </row>
    <row s="1375" customFormat="1" customHeight="1" ht="11.549999999999999">
      <c r="A50" s="998"/>
      <c r="C50" s="740"/>
      <c r="D50" s="683"/>
      <c r="E50" s="556" t="str">
        <f>FHD_NUM_P_14</f>
        <v>2.6.1</v>
      </c>
      <c r="F50" s="1660" t="str">
        <f>FHD_P_14</f>
        <v>Расходы на оплату труда основного производственного персонала</v>
      </c>
      <c r="G50" s="1888" t="s">
        <v>574</v>
      </c>
      <c r="H50" s="567"/>
      <c r="I50" s="567"/>
      <c r="J50" s="567"/>
      <c r="K50" s="567"/>
      <c r="L50" s="567"/>
      <c r="M50" s="299" t="str">
        <f>FHD_NOTE_P_14</f>
        <v/>
      </c>
      <c r="N50" s="1646" t="str">
        <f>IF((LEN(E50)-LEN(SUBSTITUTE(E50,".","")))/LEN(".")=1,"p","")</f>
        <v/>
      </c>
      <c r="O50" s="740"/>
      <c r="P50" s="740"/>
      <c r="U50" s="740"/>
      <c r="X50" s="741"/>
      <c r="AD50" s="742"/>
      <c r="AE50" s="742"/>
      <c r="AF50" s="742"/>
      <c r="AG50" s="742"/>
      <c r="AH50" s="742"/>
      <c r="AI50" s="739">
        <v>11</v>
      </c>
    </row>
    <row s="1375" customFormat="1" customHeight="1" ht="11.549999999999999">
      <c r="A51" s="998"/>
      <c r="C51" s="740"/>
      <c r="D51" s="683"/>
      <c r="E51" s="556" t="str">
        <f>FHD_NUM_P_15</f>
        <v>2.6.2</v>
      </c>
      <c r="F51" s="1660" t="str">
        <f>FHD_P_15</f>
        <v>Страховые взносы на обязательное социальное страхование, выплачиваемые из фонда оплаты труда основного производственного персонала</v>
      </c>
      <c r="G51" s="1888" t="s">
        <v>574</v>
      </c>
      <c r="H51" s="567"/>
      <c r="I51" s="567"/>
      <c r="J51" s="567"/>
      <c r="K51" s="567"/>
      <c r="L51" s="567"/>
      <c r="M51" s="299" t="str">
        <f>FHD_NOTE_P_15</f>
        <v/>
      </c>
      <c r="N51" s="1646" t="str">
        <f>IF((LEN(E51)-LEN(SUBSTITUTE(E51,".","")))/LEN(".")=1,"p","")</f>
        <v/>
      </c>
      <c r="O51" s="740"/>
      <c r="P51" s="740"/>
      <c r="U51" s="740"/>
      <c r="X51" s="741"/>
      <c r="AD51" s="742"/>
      <c r="AE51" s="742"/>
      <c r="AF51" s="742"/>
      <c r="AG51" s="742"/>
      <c r="AH51" s="742"/>
      <c r="AI51" s="739">
        <v>11</v>
      </c>
    </row>
    <row s="1376" customFormat="1" customHeight="1" ht="11.549999999999999">
      <c r="A52" s="997"/>
      <c r="C52" s="1646"/>
      <c r="D52" s="1648"/>
      <c r="E52" s="556" t="str">
        <f>FHD_NUM_P_16</f>
        <v>2.7</v>
      </c>
      <c r="F52" s="153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8" t="s">
        <v>574</v>
      </c>
      <c r="H52" s="567"/>
      <c r="I52" s="567"/>
      <c r="J52" s="567"/>
      <c r="K52" s="567"/>
      <c r="L52" s="567"/>
      <c r="M52" s="299" t="str">
        <f>FHD_NOTE_P_16</f>
        <v/>
      </c>
      <c r="N52" s="1646" t="str">
        <f>IF((LEN(E52)-LEN(SUBSTITUTE(E52,".","")))/LEN(".")=1,"p","")</f>
        <v>p</v>
      </c>
      <c r="O52" s="1646"/>
      <c r="P52" s="1652"/>
      <c r="Q52" s="547"/>
      <c r="R52" s="547"/>
      <c r="U52" s="1646"/>
      <c r="X52" s="554"/>
      <c r="AD52" s="1642"/>
      <c r="AE52" s="1642"/>
      <c r="AF52" s="1642"/>
      <c r="AG52" s="1642"/>
      <c r="AH52" s="1642"/>
      <c r="AI52" s="1170">
        <v>11</v>
      </c>
    </row>
    <row s="1376" customFormat="1" customHeight="1" ht="11.549999999999999">
      <c r="A53" s="997"/>
      <c r="C53" s="1646"/>
      <c r="D53" s="1648"/>
      <c r="E53" s="556" t="str">
        <f>FHD_NUM_P_17</f>
        <v>2.7.1</v>
      </c>
      <c r="F53" s="1660" t="str">
        <f>FHD_P_17</f>
        <v>Расходы на оплату труда административно-управленческого персонала</v>
      </c>
      <c r="G53" s="1888" t="s">
        <v>574</v>
      </c>
      <c r="H53" s="567"/>
      <c r="I53" s="567"/>
      <c r="J53" s="567"/>
      <c r="K53" s="567"/>
      <c r="L53" s="567"/>
      <c r="M53" s="299" t="str">
        <f>FHD_NOTE_P_17</f>
        <v/>
      </c>
      <c r="N53" s="1646" t="str">
        <f>IF((LEN(E53)-LEN(SUBSTITUTE(E53,".","")))/LEN(".")=1,"p","")</f>
        <v/>
      </c>
      <c r="O53" s="1646"/>
      <c r="P53" s="1652"/>
      <c r="Q53" s="547"/>
      <c r="R53" s="547"/>
      <c r="U53" s="1646"/>
      <c r="X53" s="554"/>
      <c r="AD53" s="1642"/>
      <c r="AE53" s="1642"/>
      <c r="AF53" s="1642"/>
      <c r="AG53" s="1642"/>
      <c r="AH53" s="1642"/>
      <c r="AI53" s="1170">
        <v>11</v>
      </c>
    </row>
    <row s="1376" customFormat="1" customHeight="1" ht="11.549999999999999">
      <c r="A54" s="997"/>
      <c r="C54" s="1646"/>
      <c r="D54" s="1648"/>
      <c r="E54" s="556" t="str">
        <f>FHD_NUM_P_18</f>
        <v>2.7.2</v>
      </c>
      <c r="F54" s="166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8" t="s">
        <v>574</v>
      </c>
      <c r="H54" s="567"/>
      <c r="I54" s="567"/>
      <c r="J54" s="567"/>
      <c r="K54" s="567"/>
      <c r="L54" s="567"/>
      <c r="M54" s="299" t="str">
        <f>FHD_NOTE_P_18</f>
        <v/>
      </c>
      <c r="N54" s="1646" t="str">
        <f>IF((LEN(E54)-LEN(SUBSTITUTE(E54,".","")))/LEN(".")=1,"p","")</f>
        <v/>
      </c>
      <c r="O54" s="1646"/>
      <c r="P54" s="1652"/>
      <c r="Q54" s="547"/>
      <c r="R54" s="547"/>
      <c r="U54" s="1646"/>
      <c r="X54" s="554"/>
      <c r="AD54" s="1642"/>
      <c r="AE54" s="1642"/>
      <c r="AF54" s="1642"/>
      <c r="AG54" s="1642"/>
      <c r="AH54" s="1642"/>
      <c r="AI54" s="1170">
        <v>11</v>
      </c>
    </row>
    <row s="1376" customFormat="1" customHeight="1" ht="11.549999999999999">
      <c r="A55" s="997"/>
      <c r="C55" s="1646"/>
      <c r="D55" s="585"/>
      <c r="E55" s="556" t="str">
        <f>FHD_NUM_P_19</f>
        <v>2.8</v>
      </c>
      <c r="F55" s="1534" t="str">
        <f>FHD_P_19</f>
        <v>Расходы на амортизацию основных средств и нематериальных активов</v>
      </c>
      <c r="G55" s="1888" t="s">
        <v>574</v>
      </c>
      <c r="H55" s="567"/>
      <c r="I55" s="567"/>
      <c r="J55" s="567"/>
      <c r="K55" s="567"/>
      <c r="L55" s="567"/>
      <c r="M55" s="299" t="str">
        <f>FHD_NOTE_P_19</f>
        <v/>
      </c>
      <c r="N55" s="1646" t="str">
        <f>IF((LEN(E55)-LEN(SUBSTITUTE(E55,".","")))/LEN(".")=1,"p","")</f>
        <v>p</v>
      </c>
      <c r="O55" s="1646"/>
      <c r="P55" s="1646"/>
      <c r="U55" s="1646"/>
      <c r="X55" s="554"/>
      <c r="AD55" s="1642"/>
      <c r="AE55" s="1642"/>
      <c r="AF55" s="1642"/>
      <c r="AG55" s="1642"/>
      <c r="AH55" s="1642"/>
      <c r="AI55" s="1170">
        <v>11</v>
      </c>
    </row>
    <row s="1376" customFormat="1" customHeight="1" ht="11.549999999999999">
      <c r="A56" s="997"/>
      <c r="C56" s="1646"/>
      <c r="D56" s="585"/>
      <c r="E56" s="556" t="str">
        <f>FHD_NUM_P_20</f>
        <v>2.8.1</v>
      </c>
      <c r="F56" s="1660" t="str">
        <f>FHD_P_20</f>
        <v>Расходы на амортизацию основных средств</v>
      </c>
      <c r="G56" s="1888" t="s">
        <v>574</v>
      </c>
      <c r="H56" s="567"/>
      <c r="I56" s="567"/>
      <c r="J56" s="567"/>
      <c r="K56" s="567"/>
      <c r="L56" s="567"/>
      <c r="M56" s="299" t="str">
        <f>FHD_NOTE_P_20</f>
        <v/>
      </c>
      <c r="N56" s="1646" t="str">
        <f>IF((LEN(E56)-LEN(SUBSTITUTE(E56,".","")))/LEN(".")=1,"p","")</f>
        <v/>
      </c>
      <c r="O56" s="1646"/>
      <c r="P56" s="1646"/>
      <c r="U56" s="1646"/>
      <c r="X56" s="554"/>
      <c r="AD56" s="1642"/>
      <c r="AE56" s="1642"/>
      <c r="AF56" s="1642"/>
      <c r="AG56" s="1642"/>
      <c r="AH56" s="1642"/>
      <c r="AI56" s="1170">
        <v>11</v>
      </c>
    </row>
    <row s="1376" customFormat="1" customHeight="1" ht="11.549999999999999">
      <c r="A57" s="997"/>
      <c r="C57" s="1646"/>
      <c r="D57" s="585"/>
      <c r="E57" s="556" t="str">
        <f>FHD_NUM_P_21</f>
        <v>2.8.2</v>
      </c>
      <c r="F57" s="1660" t="str">
        <f>FHD_P_21</f>
        <v>Расходы на амортизацию нематериальных активов</v>
      </c>
      <c r="G57" s="1888" t="s">
        <v>574</v>
      </c>
      <c r="H57" s="567"/>
      <c r="I57" s="567"/>
      <c r="J57" s="567"/>
      <c r="K57" s="567"/>
      <c r="L57" s="567"/>
      <c r="M57" s="299" t="str">
        <f>FHD_NOTE_P_21</f>
        <v/>
      </c>
      <c r="N57" s="1646" t="str">
        <f>IF((LEN(E57)-LEN(SUBSTITUTE(E57,".","")))/LEN(".")=1,"p","")</f>
        <v/>
      </c>
      <c r="O57" s="1646"/>
      <c r="P57" s="1646"/>
      <c r="U57" s="1646"/>
      <c r="X57" s="554"/>
      <c r="AD57" s="1642"/>
      <c r="AE57" s="1642"/>
      <c r="AF57" s="1642"/>
      <c r="AG57" s="1642"/>
      <c r="AH57" s="1642"/>
      <c r="AI57" s="1170">
        <v>11</v>
      </c>
    </row>
    <row s="1376" customFormat="1" customHeight="1" ht="11.549999999999999">
      <c r="A58" s="997"/>
      <c r="C58" s="1646"/>
      <c r="D58" s="1648"/>
      <c r="E58" s="556" t="str">
        <f>FHD_NUM_P_22</f>
        <v>2.9</v>
      </c>
      <c r="F58" s="1534" t="str">
        <f>FHD_P_22</f>
        <v>Расходы на аренду имущества, используемого для осуществления регулируемого вида деятельности</v>
      </c>
      <c r="G58" s="1888" t="s">
        <v>574</v>
      </c>
      <c r="H58" s="567"/>
      <c r="I58" s="567"/>
      <c r="J58" s="567"/>
      <c r="K58" s="567"/>
      <c r="L58" s="567"/>
      <c r="M58" s="299" t="str">
        <f>FHD_NOTE_P_22</f>
        <v/>
      </c>
      <c r="N58" s="1646" t="str">
        <f>IF((LEN(E58)-LEN(SUBSTITUTE(E58,".","")))/LEN(".")=1,"p","")</f>
        <v>p</v>
      </c>
      <c r="O58" s="1646"/>
      <c r="P58" s="1646"/>
      <c r="U58" s="1646"/>
      <c r="X58" s="554"/>
      <c r="AD58" s="1642"/>
      <c r="AE58" s="1642"/>
      <c r="AF58" s="1642"/>
      <c r="AG58" s="1642"/>
      <c r="AH58" s="1642"/>
      <c r="AI58" s="1170">
        <v>11</v>
      </c>
    </row>
    <row s="1376" customFormat="1" customHeight="1" ht="11.549999999999999">
      <c r="A59" s="997"/>
      <c r="C59" s="1646"/>
      <c r="D59" s="585"/>
      <c r="E59" s="556" t="str">
        <f>FHD_NUM_P_23</f>
        <v>2.10</v>
      </c>
      <c r="F59" s="1534" t="str">
        <f>FHD_P_23</f>
        <v>Общепроизводственные расходы, в том числе:</v>
      </c>
      <c r="G59" s="1888" t="s">
        <v>574</v>
      </c>
      <c r="H59" s="567"/>
      <c r="I59" s="567"/>
      <c r="J59" s="567"/>
      <c r="K59" s="567"/>
      <c r="L59" s="567"/>
      <c r="M59" s="299" t="str">
        <f>FHD_NOTE_P_23</f>
        <v>Указывается общая сумма общепроизводственных расходов.</v>
      </c>
      <c r="N59" s="1646" t="str">
        <f>IF((LEN(E59)-LEN(SUBSTITUTE(E59,".","")))/LEN(".")=1,"p","")</f>
        <v>p</v>
      </c>
      <c r="O59" s="1646"/>
      <c r="P59" s="1646"/>
      <c r="U59" s="1646"/>
      <c r="X59" s="554"/>
      <c r="AD59" s="1642"/>
      <c r="AE59" s="1642"/>
      <c r="AF59" s="1642"/>
      <c r="AG59" s="1642"/>
      <c r="AH59" s="1642"/>
      <c r="AI59" s="1170">
        <v>11</v>
      </c>
    </row>
    <row s="1376" customFormat="1" customHeight="1" ht="11.549999999999999">
      <c r="A60" s="997"/>
      <c r="C60" s="1646"/>
      <c r="D60" s="585"/>
      <c r="E60" s="556" t="str">
        <f>FHD_NUM_P_24</f>
        <v>2.10.1</v>
      </c>
      <c r="F60" s="1660" t="str">
        <f>FHD_P_24</f>
        <v>Расходы на текущий ремонт</v>
      </c>
      <c r="G60" s="1888" t="s">
        <v>574</v>
      </c>
      <c r="H60" s="567"/>
      <c r="I60" s="567"/>
      <c r="J60" s="567"/>
      <c r="K60" s="567"/>
      <c r="L60" s="567"/>
      <c r="M60" s="299" t="str">
        <f>FHD_NOTE_P_24</f>
        <v>Указываются расходы на текущий ремонт, отнесенные к общепроизводственным расходам.</v>
      </c>
      <c r="N60" s="1646" t="str">
        <f>IF((LEN(E60)-LEN(SUBSTITUTE(E60,".","")))/LEN(".")=1,"p","")</f>
        <v/>
      </c>
      <c r="O60" s="1646"/>
      <c r="P60" s="1646"/>
      <c r="U60" s="1646"/>
      <c r="X60" s="554"/>
      <c r="AD60" s="1642"/>
      <c r="AE60" s="1642"/>
      <c r="AF60" s="1642"/>
      <c r="AG60" s="1642"/>
      <c r="AH60" s="1642"/>
      <c r="AI60" s="1170">
        <v>11</v>
      </c>
    </row>
    <row s="1376" customFormat="1" customHeight="1" ht="11.549999999999999">
      <c r="A61" s="997"/>
      <c r="C61" s="1646"/>
      <c r="D61" s="585"/>
      <c r="E61" s="556" t="str">
        <f>FHD_NUM_P_25</f>
        <v>2.10.2</v>
      </c>
      <c r="F61" s="1660" t="str">
        <f>FHD_P_25</f>
        <v>Расходы на капитальный ремонт</v>
      </c>
      <c r="G61" s="1888" t="s">
        <v>574</v>
      </c>
      <c r="H61" s="567"/>
      <c r="I61" s="567"/>
      <c r="J61" s="567"/>
      <c r="K61" s="567"/>
      <c r="L61" s="567"/>
      <c r="M61" s="299" t="str">
        <f>FHD_NOTE_P_25</f>
        <v>Указываются расходы на капитальный ремонт, отнесенные к общепроизводственным расходам.</v>
      </c>
      <c r="N61" s="1646" t="str">
        <f>IF((LEN(E61)-LEN(SUBSTITUTE(E61,".","")))/LEN(".")=1,"p","")</f>
        <v/>
      </c>
      <c r="O61" s="1646"/>
      <c r="P61" s="1646"/>
      <c r="U61" s="1646"/>
      <c r="X61" s="554"/>
      <c r="AD61" s="1642"/>
      <c r="AE61" s="1642"/>
      <c r="AF61" s="1642"/>
      <c r="AG61" s="1642"/>
      <c r="AH61" s="1642"/>
      <c r="AI61" s="1170">
        <v>11</v>
      </c>
    </row>
    <row s="1376" customFormat="1" customHeight="1" ht="11.549999999999999">
      <c r="A62" s="997"/>
      <c r="C62" s="1646"/>
      <c r="D62" s="1648"/>
      <c r="E62" s="556" t="str">
        <f>FHD_NUM_P_26</f>
        <v>2.11</v>
      </c>
      <c r="F62" s="1534" t="str">
        <f>FHD_P_26</f>
        <v>Общехозяйственные расходы, в том числе:</v>
      </c>
      <c r="G62" s="1888" t="s">
        <v>574</v>
      </c>
      <c r="H62" s="567"/>
      <c r="I62" s="567"/>
      <c r="J62" s="567"/>
      <c r="K62" s="567"/>
      <c r="L62" s="567"/>
      <c r="M62" s="299" t="str">
        <f>FHD_NOTE_P_26</f>
        <v>Указывается общая сумма общехозяйственных расходов.</v>
      </c>
      <c r="N62" s="1646" t="str">
        <f>IF((LEN(E62)-LEN(SUBSTITUTE(E62,".","")))/LEN(".")=1,"p","")</f>
        <v>p</v>
      </c>
      <c r="O62" s="1646"/>
      <c r="P62" s="1646"/>
      <c r="U62" s="1646"/>
      <c r="X62" s="554"/>
      <c r="AD62" s="1642"/>
      <c r="AE62" s="1642"/>
      <c r="AF62" s="1642"/>
      <c r="AG62" s="1642"/>
      <c r="AH62" s="1642"/>
      <c r="AI62" s="1170">
        <v>11</v>
      </c>
    </row>
    <row s="1376" customFormat="1" customHeight="1" ht="11.549999999999999">
      <c r="A63" s="997"/>
      <c r="C63" s="1646"/>
      <c r="D63" s="1648"/>
      <c r="E63" s="556" t="str">
        <f>FHD_NUM_P_27</f>
        <v>2.11.1</v>
      </c>
      <c r="F63" s="1660" t="str">
        <f>FHD_P_27</f>
        <v>Расходы на текущий ремонт</v>
      </c>
      <c r="G63" s="1888" t="s">
        <v>574</v>
      </c>
      <c r="H63" s="567"/>
      <c r="I63" s="567"/>
      <c r="J63" s="567"/>
      <c r="K63" s="567"/>
      <c r="L63" s="567"/>
      <c r="M63" s="299" t="str">
        <f>FHD_NOTE_P_27</f>
        <v>Указываются расходы на текущий ремонт, отнесенные к общехозяйственным расходам.</v>
      </c>
      <c r="N63" s="1646" t="str">
        <f>IF((LEN(E63)-LEN(SUBSTITUTE(E63,".","")))/LEN(".")=1,"p","")</f>
        <v/>
      </c>
      <c r="O63" s="1646"/>
      <c r="P63" s="1646"/>
      <c r="U63" s="1646"/>
      <c r="X63" s="554"/>
      <c r="AD63" s="1642"/>
      <c r="AE63" s="1642"/>
      <c r="AF63" s="1642"/>
      <c r="AG63" s="1642"/>
      <c r="AH63" s="1642"/>
      <c r="AI63" s="1170">
        <v>11</v>
      </c>
    </row>
    <row s="1376" customFormat="1" customHeight="1" ht="11.549999999999999">
      <c r="A64" s="997"/>
      <c r="C64" s="1646"/>
      <c r="D64" s="1648"/>
      <c r="E64" s="556" t="str">
        <f>FHD_NUM_P_28</f>
        <v>2.11.2</v>
      </c>
      <c r="F64" s="1660" t="str">
        <f>FHD_P_28</f>
        <v>Расходы на капитальный ремонт</v>
      </c>
      <c r="G64" s="1888" t="s">
        <v>574</v>
      </c>
      <c r="H64" s="567"/>
      <c r="I64" s="567"/>
      <c r="J64" s="567"/>
      <c r="K64" s="567"/>
      <c r="L64" s="567"/>
      <c r="M64" s="299" t="str">
        <f>FHD_NOTE_P_28</f>
        <v>Указываются расходы на капитальный ремонт, отнесенные к общехозяйственным расходам.</v>
      </c>
      <c r="N64" s="1646" t="str">
        <f>IF((LEN(E64)-LEN(SUBSTITUTE(E64,".","")))/LEN(".")=1,"p","")</f>
        <v/>
      </c>
      <c r="O64" s="1646"/>
      <c r="P64" s="1646"/>
      <c r="U64" s="1646"/>
      <c r="X64" s="554"/>
      <c r="AD64" s="1642"/>
      <c r="AE64" s="1642"/>
      <c r="AF64" s="1642"/>
      <c r="AG64" s="1642"/>
      <c r="AH64" s="1642"/>
      <c r="AI64" s="1170">
        <v>11</v>
      </c>
    </row>
    <row s="1376" customFormat="1" customHeight="1" ht="11.549999999999999">
      <c r="A65" s="997"/>
      <c r="C65" s="1646"/>
      <c r="D65" s="1648"/>
      <c r="E65" s="556" t="str">
        <f>FHD_NUM_P_29</f>
        <v>2.12</v>
      </c>
      <c r="F65" s="1534" t="str">
        <f>FHD_P_29</f>
        <v>Расходы на капитальный и текущий ремонт основных средств</v>
      </c>
      <c r="G65" s="1888" t="s">
        <v>574</v>
      </c>
      <c r="H65" s="567"/>
      <c r="I65" s="567"/>
      <c r="J65" s="567"/>
      <c r="K65" s="567"/>
      <c r="L65" s="567"/>
      <c r="M65" s="299"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N65" s="1646" t="str">
        <f>IF((LEN(E65)-LEN(SUBSTITUTE(E65,".","")))/LEN(".")=1,"p","")</f>
        <v>p</v>
      </c>
      <c r="O65" s="1646"/>
      <c r="P65" s="1646"/>
      <c r="U65" s="1646"/>
      <c r="X65" s="554"/>
      <c r="AD65" s="1642"/>
      <c r="AE65" s="1642"/>
      <c r="AF65" s="1642"/>
      <c r="AG65" s="1642"/>
      <c r="AH65" s="1642"/>
      <c r="AI65" s="1170">
        <v>11</v>
      </c>
    </row>
    <row s="1376" customFormat="1" customHeight="1" ht="11.549999999999999">
      <c r="A66" s="997"/>
      <c r="C66" s="1646"/>
      <c r="D66" s="1648"/>
      <c r="E66" s="556" t="str">
        <f>FHD_NUM_P_30</f>
        <v>2.12.1</v>
      </c>
      <c r="F66" s="166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8" t="s">
        <v>328</v>
      </c>
      <c r="H66" s="1659" t="s">
        <v>597</v>
      </c>
      <c r="I66" s="1659" t="s">
        <v>597</v>
      </c>
      <c r="J66" s="2495" t="s">
        <v>597</v>
      </c>
      <c r="K66" s="2495" t="s">
        <v>597</v>
      </c>
      <c r="L66" s="2495" t="s">
        <v>597</v>
      </c>
      <c r="M66" s="299" t="str">
        <f>FHD_NOTE_P_30</f>
        <v/>
      </c>
      <c r="N66" s="1646" t="str">
        <f>IF((LEN(E66)-LEN(SUBSTITUTE(E66,".","")))/LEN(".")=1,"p","")</f>
        <v/>
      </c>
      <c r="O66" s="1646">
        <f>_xlfn.IFERROR(MATCH("есть",B_FHD_FLAG_INDEX_1,0),0)</f>
        <v>0</v>
      </c>
      <c r="P66" s="1646"/>
      <c r="U66" s="1646"/>
      <c r="X66" s="554"/>
      <c r="AD66" s="1642"/>
      <c r="AE66" s="1642"/>
      <c r="AF66" s="1642"/>
      <c r="AG66" s="1642"/>
      <c r="AH66" s="1642"/>
      <c r="AI66" s="1170">
        <v>11</v>
      </c>
    </row>
    <row s="1376" customFormat="1" customHeight="1" ht="23.25" hidden="1">
      <c r="A67" s="2381" t="s">
        <v>598</v>
      </c>
      <c r="C67" s="1646"/>
      <c r="D67" s="1648"/>
      <c r="E67" s="556" t="str">
        <f>FHD_NUM_P_31</f>
        <v/>
      </c>
      <c r="F67" s="1534" t="str">
        <f>FHD_P_31</f>
        <v/>
      </c>
      <c r="G67" s="1888" t="s">
        <v>574</v>
      </c>
      <c r="H67" s="567"/>
      <c r="I67" s="567"/>
      <c r="J67" s="567"/>
      <c r="K67" s="567"/>
      <c r="L67" s="567"/>
      <c r="M67" s="299" t="str">
        <f>FHD_NOTE_P_31</f>
        <v/>
      </c>
      <c r="N67" s="1646" t="str">
        <f>IF((LEN(E67)-LEN(SUBSTITUTE(E67,".","")))/LEN(".")=1,"p","")</f>
        <v/>
      </c>
      <c r="O67" s="1646"/>
      <c r="P67" s="1646"/>
      <c r="U67" s="1646"/>
      <c r="X67" s="554"/>
      <c r="AD67" s="1642"/>
      <c r="AE67" s="1642"/>
      <c r="AF67" s="1642"/>
      <c r="AG67" s="1642"/>
      <c r="AH67" s="1642"/>
      <c r="AI67" s="1170">
        <v>22</v>
      </c>
    </row>
    <row s="1376" customFormat="1" customHeight="1" ht="47.25" hidden="1">
      <c r="A68" s="2381"/>
      <c r="C68" s="1646"/>
      <c r="D68" s="1648"/>
      <c r="E68" s="556" t="str">
        <f>FHD_NUM_P_32</f>
        <v/>
      </c>
      <c r="F68" s="1660" t="str">
        <f>FHD_P_32</f>
        <v/>
      </c>
      <c r="G68" s="1888" t="s">
        <v>328</v>
      </c>
      <c r="H68" s="1659" t="s">
        <v>597</v>
      </c>
      <c r="I68" s="1659" t="s">
        <v>597</v>
      </c>
      <c r="J68" s="2495" t="s">
        <v>597</v>
      </c>
      <c r="K68" s="2495" t="s">
        <v>597</v>
      </c>
      <c r="L68" s="2495" t="s">
        <v>597</v>
      </c>
      <c r="M68" s="299" t="str">
        <f>FHD_NOTE_P_32</f>
        <v/>
      </c>
      <c r="N68" s="1646" t="str">
        <f>IF((LEN(E68)-LEN(SUBSTITUTE(E68,".","")))/LEN(".")=1,"p","")</f>
        <v/>
      </c>
      <c r="O68" s="1646">
        <f>_xlfn.IFERROR(MATCH("есть",B_FHD_FLAG_INDEX_2,0),0)</f>
        <v>0</v>
      </c>
      <c r="P68" s="1646"/>
      <c r="U68" s="1646"/>
      <c r="X68" s="554"/>
      <c r="AD68" s="1642"/>
      <c r="AE68" s="1642"/>
      <c r="AF68" s="1642"/>
      <c r="AG68" s="1642"/>
      <c r="AH68" s="1642"/>
      <c r="AI68" s="1170">
        <v>45</v>
      </c>
    </row>
    <row s="1376" customFormat="1" customHeight="1" ht="11.549999999999999">
      <c r="A69" s="997"/>
      <c r="C69" s="1646"/>
      <c r="D69" s="1648"/>
      <c r="E69" s="556" t="str">
        <f>FHD_NUM_P_33</f>
        <v>2.13</v>
      </c>
      <c r="F69" s="1534"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9" t="s">
        <v>574</v>
      </c>
      <c r="H69" s="589">
        <f>SUM(H70:H71)</f>
        <v>0</v>
      </c>
      <c r="I69" s="589">
        <f>SUM(I70:I71)</f>
        <v>0</v>
      </c>
      <c r="J69" s="589">
        <f>SUM(J70:J71)</f>
        <v>0</v>
      </c>
      <c r="K69" s="589">
        <f>SUM(K70:K71)</f>
        <v>0</v>
      </c>
      <c r="L69" s="589">
        <f>SUM(L70:L71)</f>
        <v>0</v>
      </c>
      <c r="M69" s="299"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N69" s="1646" t="str">
        <f>IF((LEN(E69)-LEN(SUBSTITUTE(E69,".","")))/LEN(".")=1,"p","")</f>
        <v>p</v>
      </c>
      <c r="O69" s="1646"/>
      <c r="P69" s="1646"/>
      <c r="U69" s="1646"/>
      <c r="X69" s="554"/>
      <c r="AD69" s="1642"/>
      <c r="AE69" s="1642"/>
      <c r="AF69" s="1642"/>
      <c r="AG69" s="1642"/>
      <c r="AH69" s="1642"/>
      <c r="AI69" s="1170">
        <v>11</v>
      </c>
    </row>
    <row s="1652" customFormat="1" customHeight="1" ht="1.05">
      <c r="A70" s="1177"/>
      <c r="D70" s="558"/>
      <c r="E70" s="1023" t="str">
        <f>E69&amp;".0"</f>
        <v>2.13.0</v>
      </c>
      <c r="F70" s="1001"/>
      <c r="G70" s="1023"/>
      <c r="H70" s="1002"/>
      <c r="I70" s="1002"/>
      <c r="J70" s="1002"/>
      <c r="K70" s="1002"/>
      <c r="L70" s="1002"/>
      <c r="M70" s="1003"/>
      <c r="N70" s="1646" t="str">
        <f>IF((LEN(E70)-LEN(SUBSTITUTE(E70,".","")))/LEN(".")=1,"p","")</f>
        <v/>
      </c>
      <c r="AI70" s="1646">
        <v>1</v>
      </c>
    </row>
    <row s="1376" customFormat="1" customHeight="1" ht="14.699999999999998">
      <c r="A71" s="997"/>
      <c r="C71" s="1646"/>
      <c r="D71" s="1643"/>
      <c r="E71" s="580"/>
      <c r="F71" s="581" t="s">
        <v>599</v>
      </c>
      <c r="G71" s="582"/>
      <c r="H71" s="583"/>
      <c r="I71" s="583"/>
      <c r="J71" s="2648"/>
      <c r="K71" s="2649"/>
      <c r="L71" s="2650"/>
      <c r="M71" s="311"/>
      <c r="N71" s="1646"/>
      <c r="O71" s="1646"/>
      <c r="P71" s="1646"/>
      <c r="U71" s="1646"/>
      <c r="X71" s="554"/>
      <c r="AD71" s="1642"/>
      <c r="AE71" s="1642"/>
      <c r="AF71" s="1642"/>
      <c r="AG71" s="1642"/>
      <c r="AH71" s="1642"/>
      <c r="AI71" s="1170">
        <v>14</v>
      </c>
    </row>
    <row s="1376" customFormat="1" customHeight="1" ht="18.75">
      <c r="A72" s="999" t="s">
        <v>600</v>
      </c>
      <c r="C72" s="1646"/>
      <c r="D72" s="1648"/>
      <c r="E72" s="556" t="str">
        <f>FHD_NUM_P_34</f>
        <v>3</v>
      </c>
      <c r="F72" s="1890" t="str">
        <f>FHD_P_34</f>
        <v>Валовая прибыль (убытки) от реализации товаров и оказания услуг по регулируемому виду деятельности</v>
      </c>
      <c r="G72" s="1888" t="s">
        <v>574</v>
      </c>
      <c r="H72" s="567"/>
      <c r="I72" s="567"/>
      <c r="J72" s="567"/>
      <c r="K72" s="567"/>
      <c r="L72" s="567"/>
      <c r="M72" s="299" t="str">
        <f>FHD_NOTE_P_34</f>
        <v/>
      </c>
      <c r="N72" s="553"/>
      <c r="O72" s="1646"/>
      <c r="P72" s="1646"/>
      <c r="U72" s="1646"/>
      <c r="X72" s="554"/>
      <c r="AD72" s="1642"/>
      <c r="AE72" s="1642"/>
      <c r="AF72" s="1642"/>
      <c r="AG72" s="1642"/>
      <c r="AH72" s="1642"/>
      <c r="AI72" s="1170">
        <v>0</v>
      </c>
    </row>
    <row s="1376" customFormat="1" customHeight="1" ht="19.95">
      <c r="A73" s="997"/>
      <c r="C73" s="1646"/>
      <c r="D73" s="585"/>
      <c r="E73" s="556" t="str">
        <f>FHD_NUM_P_35</f>
        <v>4</v>
      </c>
      <c r="F73" s="1890" t="str">
        <f>FHD_P_35</f>
        <v>Чистая прибыль, полученная от регулируемого вида деятельности, в том числе:</v>
      </c>
      <c r="G73" s="1888" t="s">
        <v>574</v>
      </c>
      <c r="H73" s="567"/>
      <c r="I73" s="567"/>
      <c r="J73" s="567"/>
      <c r="K73" s="567"/>
      <c r="L73" s="567"/>
      <c r="M73" s="299" t="str">
        <f>FHD_NOTE_P_35</f>
        <v>Указывается общая сумма чистой прибыли, полученной от регулируемого вида деятельности.</v>
      </c>
      <c r="N73" s="553"/>
      <c r="O73" s="1646"/>
      <c r="P73" s="1646"/>
      <c r="U73" s="1646"/>
      <c r="X73" s="554"/>
      <c r="AD73" s="1642"/>
      <c r="AE73" s="1642"/>
      <c r="AF73" s="1642"/>
      <c r="AG73" s="1642"/>
      <c r="AH73" s="1642"/>
      <c r="AI73" s="1170">
        <v>19</v>
      </c>
    </row>
    <row s="1376" customFormat="1" customHeight="1" ht="19.95">
      <c r="A74" s="997"/>
      <c r="C74" s="1646"/>
      <c r="D74" s="1648"/>
      <c r="E74" s="556" t="str">
        <f>FHD_NUM_P_36</f>
        <v>4.1</v>
      </c>
      <c r="F74" s="153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8" t="s">
        <v>574</v>
      </c>
      <c r="H74" s="567"/>
      <c r="I74" s="567"/>
      <c r="J74" s="567"/>
      <c r="K74" s="567"/>
      <c r="L74" s="567"/>
      <c r="M74" s="299" t="str">
        <f>FHD_NOTE_P_36</f>
        <v/>
      </c>
      <c r="N74" s="553"/>
      <c r="O74" s="1646"/>
      <c r="P74" s="1646"/>
      <c r="U74" s="1646"/>
      <c r="X74" s="554"/>
      <c r="AD74" s="1642"/>
      <c r="AE74" s="1642"/>
      <c r="AF74" s="1642"/>
      <c r="AG74" s="1642"/>
      <c r="AH74" s="1642"/>
      <c r="AI74" s="1170">
        <v>19</v>
      </c>
    </row>
    <row s="1376" customFormat="1" customHeight="1" ht="19.95">
      <c r="A75" s="997"/>
      <c r="C75" s="1646"/>
      <c r="D75" s="1648"/>
      <c r="E75" s="556" t="str">
        <f>FHD_NUM_P_37</f>
        <v>5</v>
      </c>
      <c r="F75" s="1890" t="str">
        <f>FHD_P_37</f>
        <v>Изменение стоимости основных фондов, в том числе:</v>
      </c>
      <c r="G75" s="1888" t="s">
        <v>574</v>
      </c>
      <c r="H75" s="567"/>
      <c r="I75" s="567"/>
      <c r="J75" s="567"/>
      <c r="K75" s="567"/>
      <c r="L75" s="567"/>
      <c r="M75" s="299" t="str">
        <f>FHD_NOTE_P_37</f>
        <v>Указывается общее изменение стоимости основных фондов.</v>
      </c>
      <c r="N75" s="553"/>
      <c r="O75" s="1646"/>
      <c r="P75" s="1646"/>
      <c r="U75" s="1646"/>
      <c r="X75" s="554"/>
      <c r="AD75" s="1642"/>
      <c r="AE75" s="1642"/>
      <c r="AF75" s="1642"/>
      <c r="AG75" s="1642"/>
      <c r="AH75" s="1642"/>
      <c r="AI75" s="1170">
        <v>19</v>
      </c>
    </row>
    <row s="1376" customFormat="1" customHeight="1" ht="19.95">
      <c r="A76" s="997"/>
      <c r="C76" s="1646"/>
      <c r="D76" s="1648"/>
      <c r="E76" s="556" t="str">
        <f>FHD_NUM_P_38</f>
        <v>5.1</v>
      </c>
      <c r="F76" s="1534" t="str">
        <f>FHD_P_38</f>
        <v>Изменение стоимости основных фондов за счет:</v>
      </c>
      <c r="G76" s="1888" t="s">
        <v>574</v>
      </c>
      <c r="H76" s="567"/>
      <c r="I76" s="567"/>
      <c r="J76" s="567"/>
      <c r="K76" s="567"/>
      <c r="L76" s="567"/>
      <c r="M76" s="299" t="str">
        <f>FHD_NOTE_P_38</f>
        <v>Указываются общее изменение стоимости основных фондов за счет их ввода в эксплуатацию и вывода из эксплуатации.</v>
      </c>
      <c r="N76" s="553"/>
      <c r="O76" s="1646"/>
      <c r="P76" s="1646"/>
      <c r="U76" s="1646"/>
      <c r="X76" s="554"/>
      <c r="AD76" s="1642"/>
      <c r="AE76" s="1642"/>
      <c r="AF76" s="1642"/>
      <c r="AG76" s="1642"/>
      <c r="AH76" s="1642"/>
      <c r="AI76" s="1170">
        <v>19</v>
      </c>
    </row>
    <row s="1376" customFormat="1" customHeight="1" ht="19.95">
      <c r="A77" s="997"/>
      <c r="C77" s="1646"/>
      <c r="D77" s="1648"/>
      <c r="E77" s="556" t="str">
        <f>FHD_NUM_P_39</f>
        <v>5.1.1</v>
      </c>
      <c r="F77" s="1660" t="str">
        <f>FHD_P_39</f>
        <v>Изменения стоимости основных фондов за счет их ввода в эксплуатацию</v>
      </c>
      <c r="G77" s="2082" t="s">
        <v>574</v>
      </c>
      <c r="H77" s="567"/>
      <c r="I77" s="567"/>
      <c r="J77" s="567"/>
      <c r="K77" s="567"/>
      <c r="L77" s="567"/>
      <c r="M77" s="299" t="str">
        <f>FHD_NOTE_P_39</f>
        <v>Указываются изменение стоимости основных фондов за счет их ввода в эксплуатацию.</v>
      </c>
      <c r="N77" s="553"/>
      <c r="O77" s="1646"/>
      <c r="P77" s="1646"/>
      <c r="U77" s="1646"/>
      <c r="X77" s="554"/>
      <c r="AD77" s="1642"/>
      <c r="AE77" s="1642"/>
      <c r="AF77" s="1642"/>
      <c r="AG77" s="1642"/>
      <c r="AH77" s="1642"/>
      <c r="AI77" s="1170">
        <v>19</v>
      </c>
    </row>
    <row s="1376" customFormat="1" customHeight="1" ht="19.95">
      <c r="A78" s="997"/>
      <c r="C78" s="1646"/>
      <c r="D78" s="1648"/>
      <c r="E78" s="556" t="str">
        <f>FHD_NUM_P_40</f>
        <v>5.1.2</v>
      </c>
      <c r="F78" s="2086" t="str">
        <f>FHD_P_40</f>
        <v>Изменения стоимости основных фондов за счет их вывода в эксплуатацию</v>
      </c>
      <c r="G78" s="2081" t="s">
        <v>574</v>
      </c>
      <c r="H78" s="986"/>
      <c r="I78" s="567"/>
      <c r="J78" s="986"/>
      <c r="K78" s="986"/>
      <c r="L78" s="986"/>
      <c r="M78" s="299" t="str">
        <f>FHD_NOTE_P_40</f>
        <v>Указываются изменение стоимости основных фондов за счет их вывода из эксплуатации.</v>
      </c>
      <c r="N78" s="553"/>
      <c r="O78" s="1646"/>
      <c r="P78" s="1646"/>
      <c r="U78" s="1646"/>
      <c r="X78" s="554"/>
      <c r="AD78" s="1642"/>
      <c r="AE78" s="1642"/>
      <c r="AF78" s="1642"/>
      <c r="AG78" s="1642"/>
      <c r="AH78" s="1642"/>
      <c r="AI78" s="1170">
        <v>19</v>
      </c>
    </row>
    <row s="1376" customFormat="1" customHeight="1" ht="19.95">
      <c r="A79" s="997"/>
      <c r="C79" s="1646"/>
      <c r="D79" s="1648"/>
      <c r="E79" s="556" t="str">
        <f>FHD_NUM_P_41</f>
        <v>5.2</v>
      </c>
      <c r="F79" s="2085" t="str">
        <f>FHD_P_41</f>
        <v>Изменение стоимости основных фондов за счет их переоценки</v>
      </c>
      <c r="G79" s="2081" t="s">
        <v>574</v>
      </c>
      <c r="H79" s="986"/>
      <c r="I79" s="567"/>
      <c r="J79" s="986"/>
      <c r="K79" s="986"/>
      <c r="L79" s="986"/>
      <c r="M79" s="299" t="str">
        <f>FHD_NOTE_P_41</f>
        <v/>
      </c>
      <c r="N79" s="553"/>
      <c r="O79" s="1646"/>
      <c r="P79" s="1646"/>
      <c r="U79" s="1646"/>
      <c r="X79" s="554"/>
      <c r="AD79" s="1642"/>
      <c r="AE79" s="1642"/>
      <c r="AF79" s="1642"/>
      <c r="AG79" s="1642"/>
      <c r="AH79" s="1642"/>
      <c r="AI79" s="1170">
        <v>19</v>
      </c>
    </row>
    <row s="1376" customFormat="1" customHeight="1" ht="20.25" hidden="1">
      <c r="A80" s="999" t="s">
        <v>601</v>
      </c>
      <c r="C80" s="1646"/>
      <c r="D80" s="1648"/>
      <c r="E80" s="556" t="str">
        <f>FHD_NUM_P_42</f>
        <v/>
      </c>
      <c r="F80" s="2083" t="str">
        <f>FHD_P_42</f>
        <v/>
      </c>
      <c r="G80" s="2081" t="s">
        <v>574</v>
      </c>
      <c r="H80" s="986"/>
      <c r="I80" s="567"/>
      <c r="J80" s="986"/>
      <c r="K80" s="986"/>
      <c r="L80" s="986"/>
      <c r="M80" s="299" t="str">
        <f>FHD_NOTE_P_42</f>
        <v/>
      </c>
      <c r="N80" s="553"/>
      <c r="O80" s="1646"/>
      <c r="P80" s="1646"/>
      <c r="U80" s="1646"/>
      <c r="X80" s="554"/>
      <c r="AD80" s="1642"/>
      <c r="AE80" s="1642"/>
      <c r="AF80" s="1642"/>
      <c r="AG80" s="1642"/>
      <c r="AH80" s="1642"/>
      <c r="AI80" s="1170">
        <v>19</v>
      </c>
    </row>
    <row s="1376" customFormat="1" customHeight="1" ht="19.95">
      <c r="A81" s="997"/>
      <c r="C81" s="1646"/>
      <c r="D81" s="1648"/>
      <c r="E81" s="556" t="str">
        <f>FHD_NUM_P_43</f>
        <v>6</v>
      </c>
      <c r="F81" s="1890" t="str">
        <f>FHD_P_43</f>
        <v>Годовая бухгалтерская (финансовая) отчетность, включая бухгалтерский баланс и приложения к нему</v>
      </c>
      <c r="G81" s="2084" t="s">
        <v>328</v>
      </c>
      <c r="H81" s="1065"/>
      <c r="I81" s="828"/>
      <c r="J81" s="1065"/>
      <c r="K81" s="1065"/>
      <c r="L81" s="1065"/>
      <c r="M81" s="299"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N81" s="553"/>
      <c r="O81" s="1646"/>
      <c r="P81" s="1646"/>
      <c r="U81" s="1646"/>
      <c r="X81" s="554"/>
      <c r="AD81" s="1642"/>
      <c r="AE81" s="1642"/>
      <c r="AF81" s="1642"/>
      <c r="AG81" s="1642"/>
      <c r="AH81" s="1642"/>
      <c r="AI81" s="1170">
        <v>19</v>
      </c>
    </row>
    <row s="1376" customFormat="1" customHeight="1" ht="18.75" hidden="1">
      <c r="A82" s="2381" t="s">
        <v>602</v>
      </c>
      <c r="C82" s="745"/>
      <c r="D82" s="743"/>
      <c r="E82" s="556" t="str">
        <f>FHD_NUM_P_44</f>
        <v/>
      </c>
      <c r="F82" s="1890" t="str">
        <f>FHD_P_44</f>
        <v/>
      </c>
      <c r="G82" s="1891" t="s">
        <v>603</v>
      </c>
      <c r="H82" s="987"/>
      <c r="I82" s="587"/>
      <c r="J82" s="987"/>
      <c r="K82" s="987"/>
      <c r="L82" s="987"/>
      <c r="M82" s="299" t="str">
        <f>FHD_NOTE_P_44</f>
        <v/>
      </c>
      <c r="N82" s="744"/>
      <c r="O82" s="745"/>
      <c r="P82" s="745"/>
      <c r="U82" s="745"/>
      <c r="X82" s="746"/>
      <c r="AD82" s="747"/>
      <c r="AE82" s="747"/>
      <c r="AF82" s="747"/>
      <c r="AG82" s="747"/>
      <c r="AH82" s="747"/>
      <c r="AI82" s="920">
        <v>0</v>
      </c>
    </row>
    <row s="1376" customFormat="1" customHeight="1" ht="18.75" hidden="1">
      <c r="A83" s="2381"/>
      <c r="C83" s="745"/>
      <c r="D83" s="743"/>
      <c r="E83" s="556" t="str">
        <f>FHD_NUM_P_45</f>
        <v/>
      </c>
      <c r="F83" s="1890" t="str">
        <f>FHD_P_45</f>
        <v/>
      </c>
      <c r="G83" s="1891" t="s">
        <v>603</v>
      </c>
      <c r="H83" s="987"/>
      <c r="I83" s="587"/>
      <c r="J83" s="987"/>
      <c r="K83" s="987"/>
      <c r="L83" s="987"/>
      <c r="M83" s="299" t="str">
        <f>FHD_NOTE_P_45</f>
        <v/>
      </c>
      <c r="N83" s="744"/>
      <c r="O83" s="745"/>
      <c r="P83" s="745"/>
      <c r="U83" s="745"/>
      <c r="X83" s="746"/>
      <c r="AD83" s="747"/>
      <c r="AE83" s="747"/>
      <c r="AF83" s="747"/>
      <c r="AG83" s="747"/>
      <c r="AH83" s="747"/>
      <c r="AI83" s="920">
        <v>0</v>
      </c>
    </row>
    <row s="1376" customFormat="1" customHeight="1" ht="18.75" hidden="1">
      <c r="A84" s="2381"/>
      <c r="C84" s="745"/>
      <c r="D84" s="748"/>
      <c r="E84" s="556" t="str">
        <f>FHD_NUM_P_46</f>
        <v/>
      </c>
      <c r="F84" s="1890" t="str">
        <f>FHD_P_46</f>
        <v/>
      </c>
      <c r="G84" s="1891" t="s">
        <v>603</v>
      </c>
      <c r="H84" s="987"/>
      <c r="I84" s="587"/>
      <c r="J84" s="987"/>
      <c r="K84" s="987"/>
      <c r="L84" s="987"/>
      <c r="M84" s="299" t="str">
        <f>FHD_NOTE_P_46</f>
        <v/>
      </c>
      <c r="N84" s="744"/>
      <c r="O84" s="745"/>
      <c r="P84" s="745"/>
      <c r="U84" s="745"/>
      <c r="X84" s="746"/>
      <c r="AD84" s="747"/>
      <c r="AE84" s="747"/>
      <c r="AF84" s="747"/>
      <c r="AG84" s="747"/>
      <c r="AH84" s="747"/>
      <c r="AI84" s="920">
        <v>0</v>
      </c>
    </row>
    <row s="1376" customFormat="1" customHeight="1" ht="18.75" hidden="1">
      <c r="A85" s="2381"/>
      <c r="C85" s="745"/>
      <c r="D85" s="743"/>
      <c r="E85" s="556" t="str">
        <f>FHD_NUM_P_47</f>
        <v/>
      </c>
      <c r="F85" s="1890" t="str">
        <f>FHD_P_47</f>
        <v/>
      </c>
      <c r="G85" s="1891" t="s">
        <v>603</v>
      </c>
      <c r="H85" s="987"/>
      <c r="I85" s="587"/>
      <c r="J85" s="987"/>
      <c r="K85" s="987"/>
      <c r="L85" s="987"/>
      <c r="M85" s="299" t="str">
        <f>FHD_NOTE_P_47</f>
        <v/>
      </c>
      <c r="N85" s="744"/>
      <c r="O85" s="745"/>
      <c r="P85" s="745"/>
      <c r="U85" s="745"/>
      <c r="X85" s="746"/>
      <c r="AD85" s="747"/>
      <c r="AE85" s="747"/>
      <c r="AF85" s="747"/>
      <c r="AG85" s="747"/>
      <c r="AH85" s="747"/>
      <c r="AI85" s="920">
        <v>0</v>
      </c>
    </row>
    <row s="1645" customFormat="1" customHeight="1" ht="18.75" hidden="1">
      <c r="A86" s="2381"/>
      <c r="B86" s="920"/>
      <c r="C86" s="745"/>
      <c r="D86" s="743"/>
      <c r="E86" s="556" t="str">
        <f>FHD_NUM_P_48</f>
        <v/>
      </c>
      <c r="F86" s="1890" t="str">
        <f>FHD_P_48</f>
        <v/>
      </c>
      <c r="G86" s="1891" t="s">
        <v>603</v>
      </c>
      <c r="H86" s="987"/>
      <c r="I86" s="587"/>
      <c r="J86" s="987"/>
      <c r="K86" s="987"/>
      <c r="L86" s="987"/>
      <c r="M86" s="299" t="str">
        <f>FHD_NOTE_P_48</f>
        <v/>
      </c>
      <c r="N86" s="744"/>
      <c r="O86" s="745"/>
      <c r="P86" s="745"/>
      <c r="Q86" s="920"/>
      <c r="R86" s="920"/>
      <c r="S86" s="920"/>
      <c r="T86" s="920"/>
      <c r="U86" s="745"/>
      <c r="V86" s="920"/>
      <c r="W86" s="920"/>
      <c r="X86" s="746"/>
      <c r="Y86" s="920"/>
      <c r="Z86" s="920"/>
      <c r="AA86" s="920"/>
      <c r="AB86" s="920"/>
      <c r="AC86" s="920"/>
      <c r="AD86" s="747"/>
      <c r="AE86" s="747"/>
      <c r="AF86" s="747"/>
      <c r="AG86" s="747"/>
      <c r="AH86" s="747"/>
      <c r="AI86" s="749">
        <v>0</v>
      </c>
    </row>
    <row s="1645" customFormat="1" customHeight="1" ht="18.75" hidden="1">
      <c r="A87" s="2381"/>
      <c r="B87" s="920"/>
      <c r="C87" s="745"/>
      <c r="D87" s="743"/>
      <c r="E87" s="556" t="str">
        <f>FHD_NUM_P_49</f>
        <v/>
      </c>
      <c r="F87" s="1890" t="str">
        <f>FHD_P_49</f>
        <v/>
      </c>
      <c r="G87" s="1891" t="s">
        <v>603</v>
      </c>
      <c r="H87" s="988">
        <f>SUM(H88:H89)</f>
        <v>0</v>
      </c>
      <c r="I87" s="759">
        <f>SUM(I88:I89)</f>
        <v>0</v>
      </c>
      <c r="J87" s="988">
        <f>SUM(J88:J89)</f>
        <v>0</v>
      </c>
      <c r="K87" s="988">
        <f>SUM(K88:K89)</f>
        <v>0</v>
      </c>
      <c r="L87" s="988">
        <f>SUM(L88:L89)</f>
        <v>0</v>
      </c>
      <c r="M87" s="299" t="str">
        <f>FHD_NOTE_P_49</f>
        <v/>
      </c>
      <c r="N87" s="744"/>
      <c r="O87" s="745"/>
      <c r="P87" s="745"/>
      <c r="Q87" s="920"/>
      <c r="R87" s="920"/>
      <c r="S87" s="920"/>
      <c r="T87" s="920"/>
      <c r="U87" s="745"/>
      <c r="V87" s="920"/>
      <c r="W87" s="920"/>
      <c r="X87" s="746"/>
      <c r="Y87" s="920"/>
      <c r="Z87" s="920"/>
      <c r="AA87" s="920"/>
      <c r="AB87" s="920"/>
      <c r="AC87" s="920"/>
      <c r="AD87" s="747"/>
      <c r="AE87" s="747"/>
      <c r="AF87" s="747"/>
      <c r="AG87" s="747"/>
      <c r="AH87" s="747"/>
      <c r="AI87" s="749">
        <v>0</v>
      </c>
    </row>
    <row s="1645" customFormat="1" customHeight="1" ht="18.75" hidden="1">
      <c r="A88" s="2381"/>
      <c r="B88" s="920"/>
      <c r="C88" s="745"/>
      <c r="D88" s="743"/>
      <c r="E88" s="556" t="str">
        <f>FHD_NUM_P_50</f>
        <v/>
      </c>
      <c r="F88" s="1890" t="str">
        <f>FHD_P_50</f>
        <v/>
      </c>
      <c r="G88" s="1891" t="s">
        <v>603</v>
      </c>
      <c r="H88" s="987"/>
      <c r="I88" s="587"/>
      <c r="J88" s="987"/>
      <c r="K88" s="987"/>
      <c r="L88" s="987"/>
      <c r="M88" s="299" t="str">
        <f>FHD_NOTE_P_50</f>
        <v/>
      </c>
      <c r="N88" s="744"/>
      <c r="O88" s="745"/>
      <c r="P88" s="745"/>
      <c r="Q88" s="920"/>
      <c r="R88" s="920"/>
      <c r="S88" s="920"/>
      <c r="T88" s="920"/>
      <c r="U88" s="745"/>
      <c r="V88" s="920"/>
      <c r="W88" s="920"/>
      <c r="X88" s="746"/>
      <c r="Y88" s="920"/>
      <c r="Z88" s="920"/>
      <c r="AA88" s="920"/>
      <c r="AB88" s="920"/>
      <c r="AC88" s="920"/>
      <c r="AD88" s="747"/>
      <c r="AE88" s="747"/>
      <c r="AF88" s="747"/>
      <c r="AG88" s="747"/>
      <c r="AH88" s="747"/>
      <c r="AI88" s="749">
        <v>0</v>
      </c>
    </row>
    <row s="1645" customFormat="1" customHeight="1" ht="18.75" hidden="1">
      <c r="A89" s="2381"/>
      <c r="B89" s="920"/>
      <c r="C89" s="745"/>
      <c r="D89" s="743"/>
      <c r="E89" s="556" t="str">
        <f>FHD_NUM_P_51</f>
        <v/>
      </c>
      <c r="F89" s="1890" t="str">
        <f>FHD_P_51</f>
        <v/>
      </c>
      <c r="G89" s="1891" t="s">
        <v>603</v>
      </c>
      <c r="H89" s="987"/>
      <c r="I89" s="587"/>
      <c r="J89" s="987"/>
      <c r="K89" s="987"/>
      <c r="L89" s="987"/>
      <c r="M89" s="299" t="str">
        <f>FHD_NOTE_P_51</f>
        <v/>
      </c>
      <c r="N89" s="744"/>
      <c r="O89" s="745"/>
      <c r="P89" s="745"/>
      <c r="Q89" s="920"/>
      <c r="R89" s="920"/>
      <c r="S89" s="920"/>
      <c r="T89" s="920"/>
      <c r="U89" s="745"/>
      <c r="V89" s="920"/>
      <c r="W89" s="920"/>
      <c r="X89" s="746"/>
      <c r="Y89" s="920"/>
      <c r="Z89" s="920"/>
      <c r="AA89" s="920"/>
      <c r="AB89" s="920"/>
      <c r="AC89" s="920"/>
      <c r="AD89" s="747"/>
      <c r="AE89" s="747"/>
      <c r="AF89" s="747"/>
      <c r="AG89" s="747"/>
      <c r="AH89" s="747"/>
      <c r="AI89" s="749">
        <v>0</v>
      </c>
    </row>
    <row s="1645" customFormat="1" customHeight="1" ht="18.75" hidden="1">
      <c r="A90" s="2381"/>
      <c r="B90" s="920"/>
      <c r="C90" s="745"/>
      <c r="D90" s="743"/>
      <c r="E90" s="556" t="str">
        <f>FHD_NUM_P_52</f>
        <v/>
      </c>
      <c r="F90" s="1890" t="str">
        <f>FHD_P_52</f>
        <v/>
      </c>
      <c r="G90" s="1891" t="s">
        <v>580</v>
      </c>
      <c r="H90" s="986"/>
      <c r="I90" s="567"/>
      <c r="J90" s="986"/>
      <c r="K90" s="986"/>
      <c r="L90" s="986"/>
      <c r="M90" s="299" t="str">
        <f>FHD_NOTE_P_52</f>
        <v/>
      </c>
      <c r="N90" s="744"/>
      <c r="O90" s="745"/>
      <c r="P90" s="745"/>
      <c r="Q90" s="920"/>
      <c r="R90" s="920"/>
      <c r="S90" s="920"/>
      <c r="T90" s="920"/>
      <c r="U90" s="745"/>
      <c r="V90" s="920"/>
      <c r="W90" s="920"/>
      <c r="X90" s="746"/>
      <c r="Y90" s="920"/>
      <c r="Z90" s="920"/>
      <c r="AA90" s="920"/>
      <c r="AB90" s="920"/>
      <c r="AC90" s="920"/>
      <c r="AD90" s="747"/>
      <c r="AE90" s="747"/>
      <c r="AF90" s="747"/>
      <c r="AG90" s="747"/>
      <c r="AH90" s="747"/>
      <c r="AI90" s="749">
        <v>0</v>
      </c>
    </row>
    <row s="1376" customFormat="1" customHeight="1" ht="18.75" hidden="1">
      <c r="A91" s="2383" t="s">
        <v>604</v>
      </c>
      <c r="C91" s="745"/>
      <c r="D91" s="743"/>
      <c r="E91" s="556" t="str">
        <f>FHD_NUM_P_53</f>
        <v/>
      </c>
      <c r="F91" s="1890" t="str">
        <f>FHD_P_53</f>
        <v/>
      </c>
      <c r="G91" s="1891" t="s">
        <v>603</v>
      </c>
      <c r="H91" s="987"/>
      <c r="I91" s="587"/>
      <c r="J91" s="987"/>
      <c r="K91" s="987"/>
      <c r="L91" s="987"/>
      <c r="M91" s="299" t="str">
        <f>FHD_NOTE_P_53</f>
        <v/>
      </c>
      <c r="N91" s="744"/>
      <c r="O91" s="745"/>
      <c r="P91" s="745"/>
      <c r="U91" s="745"/>
      <c r="X91" s="746"/>
      <c r="AD91" s="747"/>
      <c r="AE91" s="747"/>
      <c r="AF91" s="747"/>
      <c r="AG91" s="747"/>
      <c r="AH91" s="747"/>
      <c r="AI91" s="920">
        <v>0</v>
      </c>
    </row>
    <row s="1376" customFormat="1" customHeight="1" ht="18.75" hidden="1">
      <c r="A92" s="2383"/>
      <c r="C92" s="745"/>
      <c r="D92" s="743"/>
      <c r="E92" s="556" t="str">
        <f>FHD_NUM_P_54</f>
        <v/>
      </c>
      <c r="F92" s="1890" t="str">
        <f>FHD_P_54</f>
        <v/>
      </c>
      <c r="G92" s="1891" t="s">
        <v>603</v>
      </c>
      <c r="H92" s="987"/>
      <c r="I92" s="587"/>
      <c r="J92" s="987"/>
      <c r="K92" s="987"/>
      <c r="L92" s="987"/>
      <c r="M92" s="299" t="str">
        <f>FHD_NOTE_P_54</f>
        <v/>
      </c>
      <c r="N92" s="744"/>
      <c r="O92" s="745"/>
      <c r="P92" s="745"/>
      <c r="U92" s="745"/>
      <c r="X92" s="746"/>
      <c r="AD92" s="747"/>
      <c r="AE92" s="747"/>
      <c r="AF92" s="747"/>
      <c r="AG92" s="747"/>
      <c r="AH92" s="747"/>
      <c r="AI92" s="920">
        <v>0</v>
      </c>
    </row>
    <row s="1376" customFormat="1" customHeight="1" ht="18.75" hidden="1">
      <c r="A93" s="2383"/>
      <c r="C93" s="745"/>
      <c r="D93" s="748"/>
      <c r="E93" s="556" t="str">
        <f>FHD_NUM_P_55</f>
        <v/>
      </c>
      <c r="F93" s="1890" t="str">
        <f>FHD_P_55</f>
        <v/>
      </c>
      <c r="G93" s="1894"/>
      <c r="H93" s="987"/>
      <c r="I93" s="587"/>
      <c r="J93" s="987"/>
      <c r="K93" s="987"/>
      <c r="L93" s="987"/>
      <c r="M93" s="299" t="str">
        <f>FHD_NOTE_P_55</f>
        <v/>
      </c>
      <c r="N93" s="744"/>
      <c r="O93" s="745"/>
      <c r="P93" s="745"/>
      <c r="U93" s="745"/>
      <c r="X93" s="746"/>
      <c r="AD93" s="747"/>
      <c r="AE93" s="747"/>
      <c r="AF93" s="747"/>
      <c r="AG93" s="747"/>
      <c r="AH93" s="747"/>
      <c r="AI93" s="920">
        <v>0</v>
      </c>
    </row>
    <row s="1376" customFormat="1" customHeight="1" ht="18.75" hidden="1">
      <c r="A94" s="2383"/>
      <c r="C94" s="745"/>
      <c r="D94" s="743"/>
      <c r="E94" s="556" t="str">
        <f>FHD_NUM_P_56</f>
        <v/>
      </c>
      <c r="F94" s="1890" t="str">
        <f>FHD_P_56</f>
        <v/>
      </c>
      <c r="G94" s="1891" t="s">
        <v>605</v>
      </c>
      <c r="H94" s="987"/>
      <c r="I94" s="587"/>
      <c r="J94" s="987"/>
      <c r="K94" s="987"/>
      <c r="L94" s="987"/>
      <c r="M94" s="299" t="str">
        <f>FHD_NOTE_P_56</f>
        <v/>
      </c>
      <c r="N94" s="744"/>
      <c r="O94" s="745"/>
      <c r="P94" s="745"/>
      <c r="U94" s="745"/>
      <c r="X94" s="746"/>
      <c r="AD94" s="747"/>
      <c r="AE94" s="747"/>
      <c r="AF94" s="747"/>
      <c r="AG94" s="747"/>
      <c r="AH94" s="747"/>
      <c r="AI94" s="920">
        <v>0</v>
      </c>
    </row>
    <row s="1645" customFormat="1" customHeight="1" ht="18.75" hidden="1">
      <c r="A95" s="2383"/>
      <c r="B95" s="920"/>
      <c r="C95" s="745"/>
      <c r="D95" s="743"/>
      <c r="E95" s="556" t="str">
        <f>FHD_NUM_P_57</f>
        <v/>
      </c>
      <c r="F95" s="1890" t="str">
        <f>FHD_P_57</f>
        <v/>
      </c>
      <c r="G95" s="1891" t="s">
        <v>580</v>
      </c>
      <c r="H95" s="986"/>
      <c r="I95" s="567"/>
      <c r="J95" s="986"/>
      <c r="K95" s="986"/>
      <c r="L95" s="986"/>
      <c r="M95" s="299" t="str">
        <f>FHD_NOTE_P_57</f>
        <v/>
      </c>
      <c r="N95" s="744"/>
      <c r="O95" s="745"/>
      <c r="P95" s="745"/>
      <c r="Q95" s="920"/>
      <c r="R95" s="920"/>
      <c r="S95" s="920"/>
      <c r="T95" s="920"/>
      <c r="U95" s="745"/>
      <c r="V95" s="920"/>
      <c r="W95" s="920"/>
      <c r="X95" s="746"/>
      <c r="Y95" s="920"/>
      <c r="Z95" s="920"/>
      <c r="AA95" s="920"/>
      <c r="AB95" s="920"/>
      <c r="AC95" s="920"/>
      <c r="AD95" s="747"/>
      <c r="AE95" s="747"/>
      <c r="AF95" s="747"/>
      <c r="AG95" s="747"/>
      <c r="AH95" s="747"/>
      <c r="AI95" s="749">
        <v>0</v>
      </c>
    </row>
    <row customHeight="1" ht="18.75" hidden="1">
      <c r="A96" s="2381" t="s">
        <v>606</v>
      </c>
      <c r="D96" s="1648"/>
      <c r="E96" s="556" t="str">
        <f>FHD_NUM_P_58</f>
        <v/>
      </c>
      <c r="F96" s="1890" t="str">
        <f>FHD_P_58</f>
        <v/>
      </c>
      <c r="G96" s="1891" t="s">
        <v>603</v>
      </c>
      <c r="H96" s="987"/>
      <c r="I96" s="587"/>
      <c r="J96" s="987"/>
      <c r="K96" s="987"/>
      <c r="L96" s="987"/>
      <c r="M96" s="299" t="str">
        <f>FHD_NOTE_P_58</f>
        <v/>
      </c>
      <c r="N96" s="553"/>
      <c r="AI96" s="1641">
        <v>0</v>
      </c>
    </row>
    <row customHeight="1" ht="18.75" hidden="1">
      <c r="A97" s="2381"/>
      <c r="D97" s="1648"/>
      <c r="E97" s="556" t="str">
        <f>FHD_NUM_P_59</f>
        <v/>
      </c>
      <c r="F97" s="1890" t="str">
        <f>FHD_P_59</f>
        <v/>
      </c>
      <c r="G97" s="1891" t="s">
        <v>603</v>
      </c>
      <c r="H97" s="987"/>
      <c r="I97" s="587"/>
      <c r="J97" s="987"/>
      <c r="K97" s="987"/>
      <c r="L97" s="987"/>
      <c r="M97" s="299" t="str">
        <f>FHD_NOTE_P_59</f>
        <v/>
      </c>
      <c r="N97" s="553"/>
      <c r="AI97" s="1641">
        <v>0</v>
      </c>
    </row>
    <row customHeight="1" ht="18.75" hidden="1">
      <c r="A98" s="2381"/>
      <c r="D98" s="1648"/>
      <c r="E98" s="556" t="str">
        <f>FHD_NUM_P_60</f>
        <v/>
      </c>
      <c r="F98" s="1890" t="str">
        <f>FHD_P_60</f>
        <v/>
      </c>
      <c r="G98" s="1891" t="s">
        <v>603</v>
      </c>
      <c r="H98" s="987"/>
      <c r="I98" s="587"/>
      <c r="J98" s="987"/>
      <c r="K98" s="987"/>
      <c r="L98" s="987"/>
      <c r="M98" s="299" t="str">
        <f>FHD_NOTE_P_60</f>
        <v/>
      </c>
      <c r="N98" s="553"/>
      <c r="AI98" s="1641">
        <v>0</v>
      </c>
    </row>
    <row s="1376" customFormat="1" customHeight="1" ht="18.75">
      <c r="A99" s="2381" t="s">
        <v>607</v>
      </c>
      <c r="C99" s="1646"/>
      <c r="D99" s="1648"/>
      <c r="E99" s="556" t="str">
        <f>FHD_NUM_P_61</f>
        <v>7</v>
      </c>
      <c r="F99" s="1890"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8" t="s">
        <v>578</v>
      </c>
      <c r="H99" s="989"/>
      <c r="I99" s="752"/>
      <c r="J99" s="989"/>
      <c r="K99" s="989"/>
      <c r="L99" s="989"/>
      <c r="M99" s="299"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N99" s="553"/>
      <c r="O99" s="1646"/>
      <c r="P99" s="1646"/>
      <c r="U99" s="1646"/>
      <c r="X99" s="554"/>
      <c r="AD99" s="1642"/>
      <c r="AE99" s="1642"/>
      <c r="AF99" s="1642"/>
      <c r="AG99" s="1642"/>
      <c r="AH99" s="1642"/>
      <c r="AI99" s="1170">
        <v>0</v>
      </c>
    </row>
    <row s="1652" customFormat="1" customHeight="1" ht="0.75">
      <c r="A100" s="2381"/>
      <c r="D100" s="558"/>
      <c r="E100" s="1023" t="str">
        <f>E99&amp;".0"</f>
        <v>7.0</v>
      </c>
      <c r="F100" s="1004"/>
      <c r="G100" s="1005"/>
      <c r="H100" s="1002"/>
      <c r="I100" s="1002"/>
      <c r="J100" s="1002"/>
      <c r="K100" s="1002"/>
      <c r="L100" s="1002"/>
      <c r="M100" s="1006"/>
      <c r="AI100" s="1646">
        <v>0</v>
      </c>
    </row>
    <row customHeight="1" ht="15">
      <c r="A101" s="2381"/>
      <c r="D101" s="1643"/>
      <c r="E101" s="981"/>
      <c r="F101" s="982" t="s">
        <v>608</v>
      </c>
      <c r="G101" s="582"/>
      <c r="H101" s="583"/>
      <c r="I101" s="583"/>
      <c r="J101" s="2651"/>
      <c r="K101" s="2652"/>
      <c r="L101" s="2653"/>
      <c r="M101" s="1014" t="s">
        <v>609</v>
      </c>
      <c r="N101" s="553"/>
      <c r="AI101" s="1641">
        <v>0</v>
      </c>
    </row>
    <row s="1376" customFormat="1" customHeight="1" ht="18.75">
      <c r="A102" s="2381"/>
      <c r="C102" s="1646"/>
      <c r="D102" s="1648"/>
      <c r="E102" s="556" t="str">
        <f>FHD_NUM_P_62</f>
        <v>8</v>
      </c>
      <c r="F102" s="1890" t="str">
        <f>FHD_P_62</f>
        <v>Тепловая нагрузка по договорам, заключенным в рамках осуществления регулируемых видов деятельности</v>
      </c>
      <c r="G102" s="1887" t="s">
        <v>578</v>
      </c>
      <c r="H102" s="567"/>
      <c r="I102" s="567"/>
      <c r="J102" s="567"/>
      <c r="K102" s="567"/>
      <c r="L102" s="567"/>
      <c r="M102" s="299" t="str">
        <f>FHD_NOTE_P_62</f>
        <v>Регулируемыми организациями указывается информация по договорам, заключенным в рамках осуществления регулируемых видов деятельности</v>
      </c>
      <c r="N102" s="553"/>
      <c r="O102" s="1646"/>
      <c r="P102" s="1646"/>
      <c r="U102" s="1646"/>
      <c r="X102" s="554"/>
      <c r="AD102" s="1642"/>
      <c r="AE102" s="1642"/>
      <c r="AF102" s="1642"/>
      <c r="AG102" s="1642"/>
      <c r="AH102" s="1642"/>
      <c r="AI102" s="1170">
        <v>0</v>
      </c>
    </row>
    <row s="1376" customFormat="1" customHeight="1" ht="18.75">
      <c r="A103" s="2381"/>
      <c r="C103" s="1646"/>
      <c r="D103" s="1648"/>
      <c r="E103" s="556" t="str">
        <f>FHD_NUM_P_63</f>
        <v>9</v>
      </c>
      <c r="F103" s="1890" t="str">
        <f>FHD_P_63</f>
        <v>Объем вырабатываемой регулируемой организацией тепловой энергии в рамках осуществления регулируемых видов деятельности</v>
      </c>
      <c r="G103" s="1887" t="s">
        <v>605</v>
      </c>
      <c r="H103" s="587"/>
      <c r="I103" s="587"/>
      <c r="J103" s="587"/>
      <c r="K103" s="587"/>
      <c r="L103" s="587"/>
      <c r="M103" s="299"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N103" s="553"/>
      <c r="O103" s="1646"/>
      <c r="P103" s="1646"/>
      <c r="U103" s="1646"/>
      <c r="X103" s="554"/>
      <c r="AD103" s="1642"/>
      <c r="AE103" s="1642"/>
      <c r="AF103" s="1642"/>
      <c r="AG103" s="1642"/>
      <c r="AH103" s="1642"/>
      <c r="AI103" s="1170">
        <v>0</v>
      </c>
    </row>
    <row s="1376" customFormat="1" customHeight="1" ht="18.75">
      <c r="A104" s="2381"/>
      <c r="C104" s="1646" t="s">
        <v>610</v>
      </c>
      <c r="D104" s="1648"/>
      <c r="E104" s="556" t="str">
        <f>FHD_NUM_P_64</f>
        <v>9.1</v>
      </c>
      <c r="F104" s="1890" t="str">
        <f>FHD_P_64</f>
        <v>Объем приобретаемой регулируемой организацией тепловой энергии в рамках осуществления регулируемых видов деятельности</v>
      </c>
      <c r="G104" s="1887" t="s">
        <v>605</v>
      </c>
      <c r="H104" s="555"/>
      <c r="I104" s="555"/>
      <c r="J104" s="555"/>
      <c r="K104" s="555"/>
      <c r="L104" s="555"/>
      <c r="M104" s="299" t="str">
        <f>FHD_NOTE_P_64</f>
        <v>Информация указывается только едиными теплоснабжающими организациями.</v>
      </c>
      <c r="N104" s="553"/>
      <c r="O104" s="1646"/>
      <c r="P104" s="1646"/>
      <c r="U104" s="1646"/>
      <c r="X104" s="554"/>
      <c r="AD104" s="1642"/>
      <c r="AE104" s="1642"/>
      <c r="AF104" s="1642"/>
      <c r="AG104" s="1642"/>
      <c r="AH104" s="1642"/>
      <c r="AI104" s="1170">
        <v>0</v>
      </c>
    </row>
    <row s="1376" customFormat="1" customHeight="1" ht="18.75">
      <c r="A105" s="2381"/>
      <c r="C105" s="1646"/>
      <c r="D105" s="1648"/>
      <c r="E105" s="556" t="str">
        <f>FHD_NUM_P_65</f>
        <v>10</v>
      </c>
      <c r="F105" s="1890"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7" t="s">
        <v>605</v>
      </c>
      <c r="H105" s="587"/>
      <c r="I105" s="587"/>
      <c r="J105" s="587"/>
      <c r="K105" s="587"/>
      <c r="L105" s="587"/>
      <c r="M105" s="299"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N105" s="553"/>
      <c r="O105" s="1646"/>
      <c r="P105" s="1646"/>
      <c r="U105" s="1646"/>
      <c r="X105" s="554"/>
      <c r="AD105" s="1642"/>
      <c r="AE105" s="1642"/>
      <c r="AF105" s="1642"/>
      <c r="AG105" s="1642"/>
      <c r="AH105" s="1642"/>
      <c r="AI105" s="1170">
        <v>0</v>
      </c>
    </row>
    <row s="1376" customFormat="1" customHeight="1" ht="18.75">
      <c r="A106" s="2381"/>
      <c r="C106" s="1646"/>
      <c r="D106" s="1648"/>
      <c r="E106" s="556" t="str">
        <f>FHD_NUM_P_66</f>
        <v>10.1</v>
      </c>
      <c r="F106" s="1534" t="str">
        <f>FHD_P_66</f>
        <v>По приборам учёта </v>
      </c>
      <c r="G106" s="1887" t="s">
        <v>605</v>
      </c>
      <c r="H106" s="587"/>
      <c r="I106" s="587"/>
      <c r="J106" s="587"/>
      <c r="K106" s="587"/>
      <c r="L106" s="587"/>
      <c r="M106" s="299" t="str">
        <f>FHD_NOTE_P_66</f>
        <v/>
      </c>
      <c r="N106" s="553"/>
      <c r="O106" s="1646"/>
      <c r="P106" s="1646"/>
      <c r="U106" s="1646"/>
      <c r="X106" s="554"/>
      <c r="AD106" s="1642"/>
      <c r="AE106" s="1642"/>
      <c r="AF106" s="1642"/>
      <c r="AG106" s="1642"/>
      <c r="AH106" s="1642"/>
      <c r="AI106" s="1170">
        <v>0</v>
      </c>
    </row>
    <row s="1376" customFormat="1" customHeight="1" ht="18.75">
      <c r="A107" s="2381"/>
      <c r="C107" s="1646"/>
      <c r="D107" s="1648"/>
      <c r="E107" s="556" t="str">
        <f>FHD_NUM_P_67</f>
        <v>10.1.1</v>
      </c>
      <c r="F107" s="1660"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7" t="s">
        <v>605</v>
      </c>
      <c r="H107" s="587"/>
      <c r="I107" s="587"/>
      <c r="J107" s="587"/>
      <c r="K107" s="587"/>
      <c r="L107" s="587"/>
      <c r="M107" s="299" t="str">
        <f>FHD_NOTE_P_67</f>
        <v/>
      </c>
      <c r="N107" s="553"/>
      <c r="O107" s="1646"/>
      <c r="P107" s="1646"/>
      <c r="U107" s="1646"/>
      <c r="X107" s="554"/>
      <c r="AD107" s="1642"/>
      <c r="AE107" s="1642"/>
      <c r="AF107" s="1642"/>
      <c r="AG107" s="1642"/>
      <c r="AH107" s="1642"/>
      <c r="AI107" s="1170">
        <v>0</v>
      </c>
    </row>
    <row s="1376" customFormat="1" customHeight="1" ht="18.75">
      <c r="A108" s="2381"/>
      <c r="C108" s="1646"/>
      <c r="D108" s="1648"/>
      <c r="E108" s="556" t="str">
        <f>FHD_NUM_P_68</f>
        <v>10.2</v>
      </c>
      <c r="F108" s="1534" t="str">
        <f>FHD_P_68</f>
        <v>Расчётным путём</v>
      </c>
      <c r="G108" s="1887" t="s">
        <v>605</v>
      </c>
      <c r="H108" s="587"/>
      <c r="I108" s="587"/>
      <c r="J108" s="587"/>
      <c r="K108" s="587"/>
      <c r="L108" s="587"/>
      <c r="M108" s="299" t="str">
        <f>FHD_NOTE_P_68</f>
        <v/>
      </c>
      <c r="N108" s="553"/>
      <c r="O108" s="1646"/>
      <c r="P108" s="1646"/>
      <c r="U108" s="1646"/>
      <c r="X108" s="554"/>
      <c r="AD108" s="1642"/>
      <c r="AE108" s="1642"/>
      <c r="AF108" s="1642"/>
      <c r="AG108" s="1642"/>
      <c r="AH108" s="1642"/>
      <c r="AI108" s="1170">
        <v>0</v>
      </c>
    </row>
    <row s="1376" customFormat="1" customHeight="1" ht="18.75">
      <c r="A109" s="2381"/>
      <c r="C109" s="1646"/>
      <c r="D109" s="1648"/>
      <c r="E109" s="556" t="str">
        <f>FHD_NUM_P_69</f>
        <v>10.3</v>
      </c>
      <c r="F109" s="1534" t="str">
        <f>FHD_P_69</f>
        <v>По нормативам потребления коммунальных услуг и нормативам потребления коммунальных ресурсов</v>
      </c>
      <c r="G109" s="1887" t="s">
        <v>605</v>
      </c>
      <c r="H109" s="587"/>
      <c r="I109" s="587"/>
      <c r="J109" s="587"/>
      <c r="K109" s="587"/>
      <c r="L109" s="587"/>
      <c r="M109" s="299" t="str">
        <f>FHD_NOTE_P_69</f>
        <v/>
      </c>
      <c r="N109" s="553"/>
      <c r="O109" s="1646"/>
      <c r="P109" s="1646"/>
      <c r="U109" s="1646"/>
      <c r="X109" s="554"/>
      <c r="AD109" s="1642"/>
      <c r="AE109" s="1642"/>
      <c r="AF109" s="1642"/>
      <c r="AG109" s="1642"/>
      <c r="AH109" s="1642"/>
      <c r="AI109" s="1170">
        <v>0</v>
      </c>
    </row>
    <row s="1376" customFormat="1" customHeight="1" ht="22.5">
      <c r="A110" s="2381"/>
      <c r="C110" s="1646"/>
      <c r="D110" s="1648"/>
      <c r="E110" s="556" t="str">
        <f>FHD_NUM_P_70</f>
        <v>11</v>
      </c>
      <c r="F110" s="1890"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7" t="s">
        <v>611</v>
      </c>
      <c r="H110" s="567"/>
      <c r="I110" s="567"/>
      <c r="J110" s="567"/>
      <c r="K110" s="567"/>
      <c r="L110" s="567"/>
      <c r="M110" s="299" t="str">
        <f>FHD_NOTE_P_70</f>
        <v/>
      </c>
      <c r="N110" s="553"/>
      <c r="O110" s="1646"/>
      <c r="P110" s="1646"/>
      <c r="U110" s="1646"/>
      <c r="X110" s="554"/>
      <c r="AD110" s="1642"/>
      <c r="AE110" s="1642"/>
      <c r="AF110" s="1642"/>
      <c r="AG110" s="1642"/>
      <c r="AH110" s="1642"/>
      <c r="AI110" s="1170">
        <v>0</v>
      </c>
    </row>
    <row s="1376" customFormat="1" customHeight="1" ht="22.5">
      <c r="A111" s="2381"/>
      <c r="C111" s="1646"/>
      <c r="D111" s="1648"/>
      <c r="E111" s="556" t="str">
        <f>FHD_NUM_P_71</f>
        <v>12</v>
      </c>
      <c r="F111" s="1890" t="str">
        <f>FHD_P_71</f>
        <v>Фактический объем потерь при передаче тепловой энергии</v>
      </c>
      <c r="G111" s="1887" t="s">
        <v>611</v>
      </c>
      <c r="H111" s="567"/>
      <c r="I111" s="567"/>
      <c r="J111" s="567"/>
      <c r="K111" s="567"/>
      <c r="L111" s="567"/>
      <c r="M111" s="299" t="str">
        <f>FHD_NOTE_P_71</f>
        <v/>
      </c>
      <c r="N111" s="553"/>
      <c r="O111" s="1646"/>
      <c r="P111" s="1646"/>
      <c r="U111" s="1646"/>
      <c r="X111" s="554"/>
      <c r="AD111" s="1642"/>
      <c r="AE111" s="1642"/>
      <c r="AF111" s="1642"/>
      <c r="AG111" s="1642"/>
      <c r="AH111" s="1642"/>
      <c r="AI111" s="1170">
        <v>0</v>
      </c>
    </row>
    <row customHeight="1" ht="19.95">
      <c r="D112" s="1648"/>
      <c r="E112" s="556" t="str">
        <f>FHD_NUM_P_72</f>
        <v>13</v>
      </c>
      <c r="F112" s="1890" t="str">
        <f>FHD_P_72</f>
        <v>Среднесписочная численность основного производственного персонала</v>
      </c>
      <c r="G112" s="1886" t="s">
        <v>612</v>
      </c>
      <c r="H112" s="587"/>
      <c r="I112" s="587"/>
      <c r="J112" s="587"/>
      <c r="K112" s="587"/>
      <c r="L112" s="587"/>
      <c r="M112" s="299" t="str">
        <f>FHD_NOTE_P_72</f>
        <v/>
      </c>
      <c r="N112" s="553"/>
      <c r="AI112" s="1641">
        <v>19</v>
      </c>
    </row>
    <row customHeight="1" ht="18.75">
      <c r="A113" s="999" t="s">
        <v>613</v>
      </c>
      <c r="D113" s="1648"/>
      <c r="E113" s="556" t="str">
        <f>FHD_NUM_P_73</f>
        <v>14</v>
      </c>
      <c r="F113" s="1890" t="str">
        <f>FHD_P_73</f>
        <v>Среднесписочная численность административно-управленческого персонала</v>
      </c>
      <c r="G113" s="980" t="s">
        <v>612</v>
      </c>
      <c r="H113" s="978"/>
      <c r="I113" s="978"/>
      <c r="J113" s="978"/>
      <c r="K113" s="978"/>
      <c r="L113" s="978"/>
      <c r="M113" s="299" t="str">
        <f>FHD_NOTE_P_73</f>
        <v/>
      </c>
      <c r="N113" s="553"/>
      <c r="AI113" s="1641">
        <v>0</v>
      </c>
    </row>
    <row customHeight="1" ht="33.75" hidden="1">
      <c r="A114" s="999" t="s">
        <v>614</v>
      </c>
      <c r="D114" s="1648"/>
      <c r="E114" s="556" t="str">
        <f>FHD_NUM_P_74</f>
        <v/>
      </c>
      <c r="F114" s="1890" t="str">
        <f>FHD_P_74</f>
        <v/>
      </c>
      <c r="G114" s="1886" t="s">
        <v>615</v>
      </c>
      <c r="H114" s="587"/>
      <c r="I114" s="587"/>
      <c r="J114" s="587"/>
      <c r="K114" s="587"/>
      <c r="L114" s="587"/>
      <c r="M114" s="299" t="str">
        <f>FHD_NOTE_P_74</f>
        <v/>
      </c>
      <c r="N114" s="553"/>
      <c r="AI114" s="1641">
        <v>0</v>
      </c>
    </row>
    <row s="1645" customFormat="1" customHeight="1" ht="18.75" hidden="1">
      <c r="A115" s="2383" t="s">
        <v>616</v>
      </c>
      <c r="B115" s="920"/>
      <c r="C115" s="745"/>
      <c r="D115" s="743"/>
      <c r="E115" s="556" t="str">
        <f>FHD_NUM_P_75</f>
        <v/>
      </c>
      <c r="F115" s="1890" t="str">
        <f>FHD_P_75</f>
        <v/>
      </c>
      <c r="G115" s="1886" t="s">
        <v>580</v>
      </c>
      <c r="H115" s="567"/>
      <c r="I115" s="567"/>
      <c r="J115" s="567"/>
      <c r="K115" s="567"/>
      <c r="L115" s="567"/>
      <c r="M115" s="299" t="str">
        <f>FHD_NOTE_P_75</f>
        <v/>
      </c>
      <c r="N115" s="744"/>
      <c r="O115" s="745"/>
      <c r="P115" s="745"/>
      <c r="Q115" s="920"/>
      <c r="R115" s="920"/>
      <c r="S115" s="920"/>
      <c r="T115" s="920"/>
      <c r="U115" s="745"/>
      <c r="V115" s="920"/>
      <c r="W115" s="920"/>
      <c r="X115" s="746"/>
      <c r="Y115" s="920"/>
      <c r="Z115" s="920"/>
      <c r="AA115" s="920"/>
      <c r="AB115" s="920"/>
      <c r="AC115" s="920"/>
      <c r="AD115" s="747"/>
      <c r="AE115" s="747"/>
      <c r="AF115" s="747"/>
      <c r="AG115" s="747"/>
      <c r="AH115" s="747"/>
      <c r="AI115" s="749">
        <v>0</v>
      </c>
    </row>
    <row s="1645" customFormat="1" customHeight="1" ht="18.75" hidden="1">
      <c r="A116" s="2383"/>
      <c r="B116" s="920"/>
      <c r="C116" s="745"/>
      <c r="D116" s="743"/>
      <c r="E116" s="556" t="str">
        <f>FHD_NUM_P_76</f>
        <v/>
      </c>
      <c r="F116" s="1890" t="str">
        <f>FHD_P_76</f>
        <v/>
      </c>
      <c r="G116" s="1886" t="s">
        <v>580</v>
      </c>
      <c r="H116" s="567"/>
      <c r="I116" s="567"/>
      <c r="J116" s="567"/>
      <c r="K116" s="567"/>
      <c r="L116" s="567"/>
      <c r="M116" s="299" t="str">
        <f>FHD_NOTE_P_76</f>
        <v/>
      </c>
      <c r="N116" s="744"/>
      <c r="O116" s="745"/>
      <c r="P116" s="745"/>
      <c r="Q116" s="920"/>
      <c r="R116" s="920"/>
      <c r="S116" s="920"/>
      <c r="T116" s="920"/>
      <c r="U116" s="745"/>
      <c r="V116" s="920"/>
      <c r="W116" s="920"/>
      <c r="X116" s="746"/>
      <c r="Y116" s="920"/>
      <c r="Z116" s="920"/>
      <c r="AA116" s="920"/>
      <c r="AB116" s="920"/>
      <c r="AC116" s="920"/>
      <c r="AD116" s="747"/>
      <c r="AE116" s="747"/>
      <c r="AF116" s="747"/>
      <c r="AG116" s="747"/>
      <c r="AH116" s="747"/>
      <c r="AI116" s="749">
        <v>0</v>
      </c>
    </row>
    <row s="1645" customFormat="1" customHeight="1" ht="18.75" hidden="1">
      <c r="A117" s="2383"/>
      <c r="B117" s="920"/>
      <c r="C117" s="745"/>
      <c r="D117" s="743"/>
      <c r="E117" s="556" t="str">
        <f>FHD_NUM_P_77</f>
        <v/>
      </c>
      <c r="F117" s="1890" t="str">
        <f>FHD_P_77</f>
        <v/>
      </c>
      <c r="G117" s="1886" t="s">
        <v>580</v>
      </c>
      <c r="H117" s="567"/>
      <c r="I117" s="567"/>
      <c r="J117" s="567"/>
      <c r="K117" s="567"/>
      <c r="L117" s="567"/>
      <c r="M117" s="299" t="str">
        <f>FHD_NOTE_P_77</f>
        <v/>
      </c>
      <c r="N117" s="744"/>
      <c r="O117" s="745"/>
      <c r="P117" s="745"/>
      <c r="Q117" s="920"/>
      <c r="R117" s="920"/>
      <c r="S117" s="920"/>
      <c r="T117" s="920"/>
      <c r="U117" s="745"/>
      <c r="V117" s="920"/>
      <c r="W117" s="920"/>
      <c r="X117" s="746"/>
      <c r="Y117" s="920"/>
      <c r="Z117" s="920"/>
      <c r="AA117" s="920"/>
      <c r="AB117" s="920"/>
      <c r="AC117" s="920"/>
      <c r="AD117" s="747"/>
      <c r="AE117" s="747"/>
      <c r="AF117" s="747"/>
      <c r="AG117" s="747"/>
      <c r="AH117" s="747"/>
      <c r="AI117" s="749">
        <v>0</v>
      </c>
    </row>
    <row s="1652" customFormat="1" customHeight="1" ht="0.75" hidden="1">
      <c r="A118" s="2383"/>
      <c r="D118" s="558"/>
      <c r="E118" s="1023" t="str">
        <f>E117&amp;".0"</f>
        <v>.0</v>
      </c>
      <c r="F118" s="1007"/>
      <c r="G118" s="1661"/>
      <c r="H118" s="1002"/>
      <c r="I118" s="1002"/>
      <c r="J118" s="1002"/>
      <c r="K118" s="1002"/>
      <c r="L118" s="1002"/>
      <c r="M118" s="1006"/>
      <c r="AI118" s="1646">
        <v>0</v>
      </c>
    </row>
    <row s="1645" customFormat="1" customHeight="1" ht="15" hidden="1">
      <c r="A119" s="2383"/>
      <c r="B119" s="920"/>
      <c r="C119" s="745"/>
      <c r="D119" s="756"/>
      <c r="E119" s="983"/>
      <c r="F119" s="984" t="s">
        <v>617</v>
      </c>
      <c r="G119" s="757"/>
      <c r="H119" s="758"/>
      <c r="I119" s="758"/>
      <c r="J119" s="2654"/>
      <c r="K119" s="2655"/>
      <c r="L119" s="2656"/>
      <c r="M119" s="1013" t="s">
        <v>618</v>
      </c>
      <c r="N119" s="744"/>
      <c r="O119" s="745"/>
      <c r="P119" s="745"/>
      <c r="Q119" s="920"/>
      <c r="R119" s="920"/>
      <c r="S119" s="920"/>
      <c r="T119" s="920"/>
      <c r="U119" s="745"/>
      <c r="V119" s="920"/>
      <c r="W119" s="920"/>
      <c r="X119" s="746"/>
      <c r="Y119" s="920"/>
      <c r="Z119" s="920"/>
      <c r="AA119" s="920"/>
      <c r="AB119" s="920"/>
      <c r="AC119" s="920"/>
      <c r="AD119" s="747"/>
      <c r="AE119" s="747"/>
      <c r="AF119" s="747"/>
      <c r="AG119" s="747"/>
      <c r="AH119" s="747"/>
      <c r="AI119" s="749">
        <v>0</v>
      </c>
    </row>
    <row customHeight="1" ht="22.5">
      <c r="A120" s="2381" t="s">
        <v>619</v>
      </c>
      <c r="D120" s="1648"/>
      <c r="E120" s="556" t="str">
        <f>FHD_NUM_P_78</f>
        <v>15</v>
      </c>
      <c r="F120" s="1890"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7" t="s">
        <v>582</v>
      </c>
      <c r="H120" s="587"/>
      <c r="I120" s="587"/>
      <c r="J120" s="587"/>
      <c r="K120" s="587"/>
      <c r="L120" s="587"/>
      <c r="M120" s="299" t="str">
        <f>FHD_NOTE_P_78</f>
        <v/>
      </c>
      <c r="N120" s="553"/>
      <c r="AI120" s="1641">
        <v>0</v>
      </c>
    </row>
    <row s="1652" customFormat="1" customHeight="1" ht="0.75">
      <c r="A121" s="2381"/>
      <c r="D121" s="558"/>
      <c r="E121" s="1023" t="str">
        <f>E120&amp;".0"</f>
        <v>15.0</v>
      </c>
      <c r="F121" s="1007"/>
      <c r="G121" s="1661"/>
      <c r="H121" s="1002"/>
      <c r="I121" s="1002"/>
      <c r="J121" s="1002"/>
      <c r="K121" s="1002"/>
      <c r="L121" s="1002"/>
      <c r="M121" s="1006"/>
      <c r="AI121" s="1646">
        <v>0</v>
      </c>
    </row>
    <row customHeight="1" ht="15">
      <c r="A122" s="2381"/>
      <c r="D122" s="1643"/>
      <c r="E122" s="580"/>
      <c r="F122" s="1178" t="s">
        <v>608</v>
      </c>
      <c r="G122" s="582"/>
      <c r="H122" s="583"/>
      <c r="I122" s="583"/>
      <c r="J122" s="2657"/>
      <c r="K122" s="2658"/>
      <c r="L122" s="2659"/>
      <c r="M122" s="1014" t="s">
        <v>620</v>
      </c>
      <c r="N122" s="553"/>
      <c r="AI122" s="1641">
        <v>0</v>
      </c>
    </row>
    <row customHeight="1" ht="22.5">
      <c r="A123" s="2381"/>
      <c r="D123" s="1648"/>
      <c r="E123" s="556" t="str">
        <f>FHD_NUM_P_79</f>
        <v>16</v>
      </c>
      <c r="F123" s="1890"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8" t="s">
        <v>584</v>
      </c>
      <c r="H123" s="587"/>
      <c r="I123" s="587"/>
      <c r="J123" s="587"/>
      <c r="K123" s="587"/>
      <c r="L123" s="587"/>
      <c r="M123" s="299"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N123" s="553"/>
      <c r="AI123" s="1641">
        <v>0</v>
      </c>
    </row>
    <row s="1652" customFormat="1" customHeight="1" ht="0.75">
      <c r="A124" s="2381"/>
      <c r="D124" s="558"/>
      <c r="E124" s="1023" t="str">
        <f>E123&amp;".0"</f>
        <v>16.0</v>
      </c>
      <c r="F124" s="1008"/>
      <c r="G124" s="1661"/>
      <c r="H124" s="1002"/>
      <c r="I124" s="1002"/>
      <c r="J124" s="1002"/>
      <c r="K124" s="1002"/>
      <c r="L124" s="1002"/>
      <c r="M124" s="1006"/>
      <c r="AI124" s="1646">
        <v>0</v>
      </c>
    </row>
    <row customHeight="1" ht="15">
      <c r="A125" s="2381"/>
      <c r="D125" s="1643"/>
      <c r="E125" s="580"/>
      <c r="F125" s="1178" t="s">
        <v>608</v>
      </c>
      <c r="G125" s="582"/>
      <c r="H125" s="583"/>
      <c r="I125" s="583"/>
      <c r="J125" s="2660"/>
      <c r="K125" s="2661"/>
      <c r="L125" s="2662"/>
      <c r="M125" s="1014" t="s">
        <v>621</v>
      </c>
      <c r="N125" s="553"/>
      <c r="AI125" s="1641">
        <v>0</v>
      </c>
    </row>
    <row customHeight="1" ht="22.5">
      <c r="A126" s="2381"/>
      <c r="D126" s="1648"/>
      <c r="E126" s="556" t="str">
        <f>FHD_NUM_P_80</f>
        <v>17</v>
      </c>
      <c r="F126" s="1890"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8" t="s">
        <v>622</v>
      </c>
      <c r="H126" s="567"/>
      <c r="I126" s="567"/>
      <c r="J126" s="567"/>
      <c r="K126" s="567"/>
      <c r="L126" s="567"/>
      <c r="M126" s="299" t="str">
        <f>FHD_NOTE_P_80</f>
        <v>Регулируемыми организациями указывается информация с по договорам, заключенным в рамках осуществления регулируемой деятельности.</v>
      </c>
      <c r="N126" s="553"/>
      <c r="AI126" s="1641">
        <v>0</v>
      </c>
    </row>
    <row customHeight="1" ht="18.75">
      <c r="A127" s="2381"/>
      <c r="D127" s="1648"/>
      <c r="E127" s="556" t="str">
        <f>FHD_NUM_P_81</f>
        <v>18</v>
      </c>
      <c r="F127" s="1890"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8" t="s">
        <v>623</v>
      </c>
      <c r="H127" s="567"/>
      <c r="I127" s="567"/>
      <c r="J127" s="567"/>
      <c r="K127" s="567"/>
      <c r="L127" s="567"/>
      <c r="M127" s="299" t="str">
        <f>FHD_NOTE_P_81</f>
        <v>Регулируемыми организациями указывается информация с по договорам, заключенным в рамках осуществления регулируемой деятельности.</v>
      </c>
      <c r="N127" s="553"/>
      <c r="AI127" s="1641">
        <v>0</v>
      </c>
    </row>
    <row customHeight="1" ht="18.75">
      <c r="A128" s="2381"/>
      <c r="C128" s="1646" t="s">
        <v>610</v>
      </c>
      <c r="D128" s="1648"/>
      <c r="E128" s="556" t="str">
        <f>FHD_NUM_P_82</f>
        <v>19</v>
      </c>
      <c r="F128" s="1890"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8" t="s">
        <v>328</v>
      </c>
      <c r="H128" s="411"/>
      <c r="I128" s="411"/>
      <c r="J128" s="828"/>
      <c r="K128" s="828"/>
      <c r="L128" s="828"/>
      <c r="M128" s="299" t="str">
        <f>FHD_NOTE_P_82</f>
        <v>Указывается ссылка на документ, предварительно загруженный в хранилище файлов ФГИС ЕИАС.</v>
      </c>
      <c r="N128" s="553"/>
      <c r="AI128" s="1641">
        <v>0</v>
      </c>
    </row>
    <row customHeight="1" ht="18.75">
      <c r="A129" s="2381"/>
      <c r="C129" s="1646" t="s">
        <v>610</v>
      </c>
      <c r="D129" s="1648"/>
      <c r="E129" s="556" t="str">
        <f>FHD_NUM_P_83</f>
        <v>19.1</v>
      </c>
      <c r="F129" s="1534" t="str">
        <f>FHD_P_83</f>
        <v>Информация о показателях физического износа объектов теплоснабжения</v>
      </c>
      <c r="G129" s="1888" t="s">
        <v>328</v>
      </c>
      <c r="H129" s="411"/>
      <c r="I129" s="411"/>
      <c r="J129" s="828"/>
      <c r="K129" s="828"/>
      <c r="L129" s="828"/>
      <c r="M129" s="299" t="str">
        <f>FHD_NOTE_P_83</f>
        <v>Указывается ссылка на документ, предварительно загруженный в хранилище файлов ФГИС ЕИАС.</v>
      </c>
      <c r="N129" s="553"/>
      <c r="AI129" s="1641">
        <v>0</v>
      </c>
    </row>
    <row customHeight="1" ht="18.75">
      <c r="A130" s="2381"/>
      <c r="C130" s="1646" t="s">
        <v>610</v>
      </c>
      <c r="D130" s="1648"/>
      <c r="E130" s="556" t="str">
        <f>FHD_NUM_P_84</f>
        <v>19.2</v>
      </c>
      <c r="F130" s="1534" t="str">
        <f>FHD_P_84</f>
        <v>Информация о показателях энергетической эффективности объектов теплоснабжения</v>
      </c>
      <c r="G130" s="1888" t="s">
        <v>328</v>
      </c>
      <c r="H130" s="411"/>
      <c r="I130" s="411"/>
      <c r="J130" s="828"/>
      <c r="K130" s="828"/>
      <c r="L130" s="828"/>
      <c r="M130" s="299" t="str">
        <f>FHD_NOTE_P_84</f>
        <v>Указывается ссылка на документ, предварительно загруженный в хранилище файлов ФГИС ЕИАС.</v>
      </c>
      <c r="N130" s="553"/>
      <c r="AI130" s="1641">
        <v>0</v>
      </c>
    </row>
    <row customHeight="1" ht="11.549999999999999">
      <c r="D131" s="1648"/>
      <c r="J131" s="1645"/>
      <c r="K131" s="1645"/>
      <c r="L131" s="1645"/>
      <c r="AI131" s="1641">
        <v>11</v>
      </c>
    </row>
    <row customHeight="1" ht="13.5">
      <c r="D132" s="1648"/>
      <c r="E132" s="346"/>
      <c r="F132" s="379"/>
      <c r="G132" s="379"/>
      <c r="H132" s="379"/>
      <c r="I132" s="1657"/>
      <c r="J132" s="1697"/>
      <c r="K132" s="1697"/>
      <c r="L132" s="1697"/>
      <c r="M132" s="591"/>
      <c r="AI132" s="1641">
        <v>13</v>
      </c>
    </row>
    <row s="1651" customFormat="1" customHeight="1" ht="11.549999999999999">
      <c r="A133" s="997"/>
      <c r="B133" s="1646"/>
      <c r="C133" s="1646"/>
      <c r="D133" s="361"/>
      <c r="F133" s="1650"/>
      <c r="G133" s="1641"/>
      <c r="H133" s="1641"/>
      <c r="I133" s="1641"/>
      <c r="J133" s="1645"/>
      <c r="K133" s="1645"/>
      <c r="L133" s="1645"/>
      <c r="N133" s="1170"/>
      <c r="O133" s="1646"/>
      <c r="P133" s="1646"/>
      <c r="Q133" s="1170"/>
      <c r="R133" s="1170"/>
      <c r="S133" s="1170"/>
      <c r="T133" s="1170"/>
      <c r="U133" s="1646"/>
      <c r="V133" s="1170"/>
      <c r="W133" s="1170"/>
      <c r="X133" s="554"/>
      <c r="Y133" s="1170"/>
      <c r="Z133" s="1170"/>
      <c r="AA133" s="1170"/>
      <c r="AB133" s="1170"/>
      <c r="AC133" s="1170"/>
      <c r="AD133" s="1642"/>
      <c r="AE133" s="576"/>
      <c r="AF133" s="576"/>
      <c r="AG133" s="576"/>
      <c r="AH133" s="576"/>
      <c r="AI133" s="1651">
        <v>11</v>
      </c>
    </row>
    <row s="1651" customFormat="1" customHeight="1" ht="11.549999999999999">
      <c r="A134" s="997"/>
      <c r="B134" s="1646"/>
      <c r="C134" s="1646"/>
      <c r="D134" s="361"/>
      <c r="J134" s="1651"/>
      <c r="K134" s="1651"/>
      <c r="L134" s="1651"/>
      <c r="N134" s="1170"/>
      <c r="O134" s="1646"/>
      <c r="P134" s="1646"/>
      <c r="Q134" s="1170"/>
      <c r="R134" s="1170"/>
      <c r="S134" s="1170"/>
      <c r="T134" s="1170"/>
      <c r="U134" s="1646"/>
      <c r="V134" s="1170"/>
      <c r="W134" s="1170"/>
      <c r="X134" s="554"/>
      <c r="Y134" s="1170"/>
      <c r="Z134" s="1170"/>
      <c r="AA134" s="1170"/>
      <c r="AB134" s="1170"/>
      <c r="AC134" s="1170"/>
      <c r="AD134" s="1642"/>
      <c r="AE134" s="576"/>
      <c r="AF134" s="576"/>
      <c r="AG134" s="576"/>
      <c r="AH134" s="576"/>
      <c r="AI134" s="1651">
        <v>11</v>
      </c>
    </row>
    <row s="1651" customFormat="1" customHeight="1" ht="11.549999999999999">
      <c r="A135" s="997"/>
      <c r="B135" s="1646"/>
      <c r="C135" s="1646"/>
      <c r="D135" s="361"/>
      <c r="J135" s="1651"/>
      <c r="K135" s="1651"/>
      <c r="L135" s="1651"/>
      <c r="N135" s="1170"/>
      <c r="O135" s="1646"/>
      <c r="P135" s="1646"/>
      <c r="Q135" s="1170"/>
      <c r="R135" s="1170"/>
      <c r="S135" s="1170"/>
      <c r="T135" s="1170"/>
      <c r="U135" s="1646"/>
      <c r="V135" s="1170"/>
      <c r="W135" s="1170"/>
      <c r="X135" s="554"/>
      <c r="Y135" s="1170"/>
      <c r="Z135" s="1170"/>
      <c r="AA135" s="1170"/>
      <c r="AB135" s="1170"/>
      <c r="AC135" s="1170"/>
      <c r="AD135" s="1642"/>
      <c r="AE135" s="576"/>
      <c r="AF135" s="576"/>
      <c r="AG135" s="576"/>
      <c r="AH135" s="576"/>
      <c r="AI135" s="1651">
        <v>11</v>
      </c>
    </row>
    <row s="1651" customFormat="1" customHeight="1" ht="11.549999999999999">
      <c r="A136" s="997"/>
      <c r="B136" s="1646"/>
      <c r="C136" s="1646"/>
      <c r="D136" s="361"/>
      <c r="H136" s="576" t="str">
        <f>IF(H30-H31&lt;&gt;H72,"WARNING","")</f>
        <v/>
      </c>
      <c r="I136" s="576" t="str">
        <f>IF(I30-I31&lt;&gt;I72,"WARNING","")</f>
        <v/>
      </c>
      <c r="J136" s="632" t="str">
        <f>IF(J30-J31&lt;&gt;J72,"WARNING","")</f>
        <v/>
      </c>
      <c r="K136" s="632" t="str">
        <f>IF(K30-K31&lt;&gt;K72,"WARNING","")</f>
        <v/>
      </c>
      <c r="L136" s="632" t="str">
        <f>IF(L30-L31&lt;&gt;L72,"WARNING","")</f>
        <v/>
      </c>
      <c r="N136" s="1170"/>
      <c r="O136" s="1646"/>
      <c r="P136" s="1646"/>
      <c r="Q136" s="1170"/>
      <c r="R136" s="1170"/>
      <c r="S136" s="1170"/>
      <c r="T136" s="1170"/>
      <c r="U136" s="1646"/>
      <c r="V136" s="1170"/>
      <c r="W136" s="1170"/>
      <c r="X136" s="554"/>
      <c r="Y136" s="1170"/>
      <c r="Z136" s="1170"/>
      <c r="AA136" s="1170"/>
      <c r="AB136" s="1170"/>
      <c r="AC136" s="1170"/>
      <c r="AD136" s="1642"/>
      <c r="AE136" s="576"/>
      <c r="AF136" s="576"/>
      <c r="AG136" s="576"/>
      <c r="AH136" s="576"/>
      <c r="AI136" s="1651">
        <v>11</v>
      </c>
    </row>
    <row s="1651" customFormat="1" customHeight="1" ht="11.549999999999999">
      <c r="A137" s="997"/>
      <c r="B137" s="1646"/>
      <c r="C137" s="1646"/>
      <c r="D137" s="361"/>
      <c r="J137" s="1651"/>
      <c r="K137" s="1651"/>
      <c r="L137" s="1651"/>
      <c r="N137" s="1170"/>
      <c r="O137" s="1646"/>
      <c r="P137" s="1646"/>
      <c r="Q137" s="1170"/>
      <c r="R137" s="1170"/>
      <c r="S137" s="1170"/>
      <c r="T137" s="1170"/>
      <c r="U137" s="1646"/>
      <c r="V137" s="1170"/>
      <c r="W137" s="1170"/>
      <c r="X137" s="554"/>
      <c r="Y137" s="1170"/>
      <c r="Z137" s="1170"/>
      <c r="AA137" s="1170"/>
      <c r="AB137" s="1170"/>
      <c r="AC137" s="1170"/>
      <c r="AD137" s="1642"/>
      <c r="AE137" s="576"/>
      <c r="AF137" s="576"/>
      <c r="AG137" s="576"/>
      <c r="AH137" s="576"/>
      <c r="AI137" s="1651">
        <v>11</v>
      </c>
    </row>
    <row s="1651" customFormat="1" customHeight="1" ht="11.549999999999999">
      <c r="A138" s="997"/>
      <c r="B138" s="1646"/>
      <c r="C138" s="1646"/>
      <c r="D138" s="361"/>
      <c r="J138" s="1651"/>
      <c r="K138" s="1651"/>
      <c r="L138" s="1651"/>
      <c r="N138" s="1170"/>
      <c r="O138" s="1646"/>
      <c r="P138" s="1646"/>
      <c r="Q138" s="1170"/>
      <c r="R138" s="1170"/>
      <c r="S138" s="1170"/>
      <c r="T138" s="1170"/>
      <c r="U138" s="1646"/>
      <c r="V138" s="1170"/>
      <c r="W138" s="1170"/>
      <c r="X138" s="554"/>
      <c r="Y138" s="1170"/>
      <c r="Z138" s="1170"/>
      <c r="AA138" s="1170"/>
      <c r="AB138" s="1170"/>
      <c r="AC138" s="1170"/>
      <c r="AD138" s="1642"/>
      <c r="AE138" s="576"/>
      <c r="AF138" s="576"/>
      <c r="AG138" s="576"/>
      <c r="AH138" s="576"/>
      <c r="AI138" s="1651">
        <v>11</v>
      </c>
    </row>
    <row s="1651" customFormat="1" customHeight="1" ht="11.549999999999999">
      <c r="A139" s="997"/>
      <c r="B139" s="1646"/>
      <c r="C139" s="1646"/>
      <c r="D139" s="361"/>
      <c r="J139" s="1651"/>
      <c r="K139" s="1651"/>
      <c r="L139" s="1651"/>
      <c r="N139" s="1170"/>
      <c r="O139" s="1646"/>
      <c r="P139" s="1646"/>
      <c r="Q139" s="1170"/>
      <c r="R139" s="1170"/>
      <c r="S139" s="1170"/>
      <c r="T139" s="1170"/>
      <c r="U139" s="1646"/>
      <c r="V139" s="1170"/>
      <c r="W139" s="1170"/>
      <c r="X139" s="554"/>
      <c r="Y139" s="1170"/>
      <c r="Z139" s="1170"/>
      <c r="AA139" s="1170"/>
      <c r="AB139" s="1170"/>
      <c r="AC139" s="1170"/>
      <c r="AD139" s="1642"/>
      <c r="AE139" s="576"/>
      <c r="AF139" s="576"/>
      <c r="AG139" s="576"/>
      <c r="AH139" s="576"/>
      <c r="AI139" s="1651">
        <v>11</v>
      </c>
    </row>
    <row s="1651" customFormat="1" customHeight="1" ht="11.549999999999999">
      <c r="A140" s="997"/>
      <c r="B140" s="1646"/>
      <c r="C140" s="1646"/>
      <c r="D140" s="361"/>
      <c r="J140" s="1651"/>
      <c r="K140" s="1651"/>
      <c r="L140" s="1651"/>
      <c r="N140" s="1170"/>
      <c r="O140" s="1646"/>
      <c r="P140" s="1646"/>
      <c r="Q140" s="1170"/>
      <c r="R140" s="1170"/>
      <c r="S140" s="1170"/>
      <c r="T140" s="1170"/>
      <c r="U140" s="1646"/>
      <c r="V140" s="1170"/>
      <c r="W140" s="1170"/>
      <c r="X140" s="554"/>
      <c r="Y140" s="1170"/>
      <c r="Z140" s="1170"/>
      <c r="AA140" s="1170"/>
      <c r="AB140" s="1170"/>
      <c r="AC140" s="1170"/>
      <c r="AD140" s="1642"/>
      <c r="AE140" s="576"/>
      <c r="AF140" s="576"/>
      <c r="AG140" s="576"/>
      <c r="AH140" s="576"/>
      <c r="AI140" s="1651">
        <v>11</v>
      </c>
    </row>
    <row s="1651" customFormat="1" customHeight="1" ht="11.549999999999999">
      <c r="A141" s="997"/>
      <c r="B141" s="1646"/>
      <c r="C141" s="1646"/>
      <c r="D141" s="361"/>
      <c r="J141" s="1651"/>
      <c r="K141" s="1651"/>
      <c r="L141" s="1651"/>
      <c r="N141" s="1170"/>
      <c r="O141" s="1646"/>
      <c r="P141" s="1646"/>
      <c r="Q141" s="1170"/>
      <c r="R141" s="1170"/>
      <c r="S141" s="1170"/>
      <c r="T141" s="1170"/>
      <c r="U141" s="1646"/>
      <c r="V141" s="1170"/>
      <c r="W141" s="1170"/>
      <c r="X141" s="554"/>
      <c r="Y141" s="1170"/>
      <c r="Z141" s="1170"/>
      <c r="AA141" s="1170"/>
      <c r="AB141" s="1170"/>
      <c r="AC141" s="1170"/>
      <c r="AD141" s="1642"/>
      <c r="AE141" s="576"/>
      <c r="AF141" s="576"/>
      <c r="AG141" s="576"/>
      <c r="AH141" s="576"/>
      <c r="AI141" s="1651">
        <v>11</v>
      </c>
    </row>
    <row s="1651" customFormat="1" customHeight="1" ht="11.549999999999999">
      <c r="A142" s="997"/>
      <c r="B142" s="1646"/>
      <c r="C142" s="1646"/>
      <c r="D142" s="361"/>
      <c r="J142" s="1651"/>
      <c r="K142" s="1651"/>
      <c r="L142" s="1651"/>
      <c r="N142" s="1170"/>
      <c r="O142" s="1646"/>
      <c r="P142" s="1646"/>
      <c r="Q142" s="1170"/>
      <c r="R142" s="1170"/>
      <c r="S142" s="1170"/>
      <c r="T142" s="1170"/>
      <c r="U142" s="1646"/>
      <c r="V142" s="1170"/>
      <c r="W142" s="1170"/>
      <c r="X142" s="554"/>
      <c r="Y142" s="1170"/>
      <c r="Z142" s="1170"/>
      <c r="AA142" s="1170"/>
      <c r="AB142" s="1170"/>
      <c r="AC142" s="1170"/>
      <c r="AD142" s="1642"/>
      <c r="AE142" s="576"/>
      <c r="AF142" s="576"/>
      <c r="AG142" s="576"/>
      <c r="AH142" s="576"/>
      <c r="AI142" s="1651">
        <v>11</v>
      </c>
    </row>
    <row s="1651" customFormat="1" customHeight="1" ht="11.549999999999999">
      <c r="A143" s="997"/>
      <c r="B143" s="1646"/>
      <c r="C143" s="1646"/>
      <c r="D143" s="361"/>
      <c r="J143" s="1651"/>
      <c r="K143" s="1651"/>
      <c r="L143" s="1651"/>
      <c r="N143" s="1170"/>
      <c r="O143" s="1646"/>
      <c r="P143" s="1646"/>
      <c r="Q143" s="1170"/>
      <c r="R143" s="1170"/>
      <c r="S143" s="1170"/>
      <c r="T143" s="1170"/>
      <c r="U143" s="1646"/>
      <c r="V143" s="1170"/>
      <c r="W143" s="1170"/>
      <c r="X143" s="554"/>
      <c r="Y143" s="1170"/>
      <c r="Z143" s="1170"/>
      <c r="AA143" s="1170"/>
      <c r="AB143" s="1170"/>
      <c r="AC143" s="1170"/>
      <c r="AD143" s="1642"/>
      <c r="AE143" s="576"/>
      <c r="AF143" s="576"/>
      <c r="AG143" s="576"/>
      <c r="AH143" s="576"/>
      <c r="AI143" s="1651">
        <v>11</v>
      </c>
    </row>
    <row s="1651" customFormat="1" customHeight="1" ht="11.549999999999999">
      <c r="A144" s="997"/>
      <c r="B144" s="1646"/>
      <c r="C144" s="1646"/>
      <c r="D144" s="361"/>
      <c r="J144" s="1651"/>
      <c r="K144" s="1651"/>
      <c r="L144" s="1651"/>
      <c r="N144" s="1170"/>
      <c r="O144" s="1646"/>
      <c r="P144" s="1646"/>
      <c r="Q144" s="1170"/>
      <c r="R144" s="1170"/>
      <c r="S144" s="1170"/>
      <c r="T144" s="1170"/>
      <c r="U144" s="1646"/>
      <c r="V144" s="1170"/>
      <c r="W144" s="1170"/>
      <c r="X144" s="554"/>
      <c r="Y144" s="1170"/>
      <c r="Z144" s="1170"/>
      <c r="AA144" s="1170"/>
      <c r="AB144" s="1170"/>
      <c r="AC144" s="1170"/>
      <c r="AD144" s="1642"/>
      <c r="AE144" s="576"/>
      <c r="AF144" s="576"/>
      <c r="AG144" s="576"/>
      <c r="AH144" s="576"/>
      <c r="AI144" s="1651">
        <v>11</v>
      </c>
    </row>
    <row s="1651" customFormat="1" customHeight="1" ht="11.549999999999999">
      <c r="A145" s="997"/>
      <c r="B145" s="1646"/>
      <c r="C145" s="1646"/>
      <c r="D145" s="361"/>
      <c r="J145" s="1651"/>
      <c r="K145" s="1651"/>
      <c r="L145" s="1651"/>
      <c r="N145" s="1170"/>
      <c r="O145" s="1646"/>
      <c r="P145" s="1646"/>
      <c r="Q145" s="1170"/>
      <c r="R145" s="1170"/>
      <c r="S145" s="1170"/>
      <c r="T145" s="1170"/>
      <c r="U145" s="1646"/>
      <c r="V145" s="1170"/>
      <c r="W145" s="1170"/>
      <c r="X145" s="554"/>
      <c r="Y145" s="1170"/>
      <c r="Z145" s="1170"/>
      <c r="AA145" s="1170"/>
      <c r="AB145" s="1170"/>
      <c r="AC145" s="1170"/>
      <c r="AD145" s="1642"/>
      <c r="AE145" s="576"/>
      <c r="AF145" s="576"/>
      <c r="AG145" s="576"/>
      <c r="AH145" s="576"/>
      <c r="AI145" s="1651">
        <v>11</v>
      </c>
    </row>
    <row s="1651" customFormat="1" customHeight="1" ht="11.549999999999999">
      <c r="A146" s="997"/>
      <c r="B146" s="1646"/>
      <c r="C146" s="1646"/>
      <c r="D146" s="361"/>
      <c r="J146" s="1651"/>
      <c r="K146" s="1651"/>
      <c r="L146" s="1651"/>
      <c r="N146" s="1170"/>
      <c r="O146" s="1646"/>
      <c r="P146" s="1646"/>
      <c r="Q146" s="1170"/>
      <c r="R146" s="1170"/>
      <c r="S146" s="1170"/>
      <c r="T146" s="1170"/>
      <c r="U146" s="1646"/>
      <c r="V146" s="1170"/>
      <c r="W146" s="1170"/>
      <c r="X146" s="554"/>
      <c r="Y146" s="1170"/>
      <c r="Z146" s="1170"/>
      <c r="AA146" s="1170"/>
      <c r="AB146" s="1170"/>
      <c r="AC146" s="1170"/>
      <c r="AD146" s="1642"/>
      <c r="AE146" s="576"/>
      <c r="AF146" s="576"/>
      <c r="AG146" s="576"/>
      <c r="AH146" s="576"/>
      <c r="AI146" s="1651">
        <v>11</v>
      </c>
    </row>
    <row s="1651" customFormat="1" customHeight="1" ht="11.549999999999999">
      <c r="A147" s="997"/>
      <c r="B147" s="1646"/>
      <c r="C147" s="1646"/>
      <c r="D147" s="361"/>
      <c r="J147" s="1651"/>
      <c r="K147" s="1651"/>
      <c r="L147" s="1651"/>
      <c r="N147" s="1170"/>
      <c r="O147" s="1646"/>
      <c r="P147" s="1646"/>
      <c r="Q147" s="1170"/>
      <c r="R147" s="1170"/>
      <c r="S147" s="1170"/>
      <c r="T147" s="1170"/>
      <c r="U147" s="1646"/>
      <c r="V147" s="1170"/>
      <c r="W147" s="1170"/>
      <c r="X147" s="554"/>
      <c r="Y147" s="1170"/>
      <c r="Z147" s="1170"/>
      <c r="AA147" s="1170"/>
      <c r="AB147" s="1170"/>
      <c r="AC147" s="1170"/>
      <c r="AD147" s="1642"/>
      <c r="AE147" s="576"/>
      <c r="AF147" s="576"/>
      <c r="AG147" s="576"/>
      <c r="AH147" s="576"/>
      <c r="AI147" s="1651">
        <v>11</v>
      </c>
    </row>
    <row s="1651" customFormat="1" customHeight="1" ht="11.549999999999999">
      <c r="A148" s="997"/>
      <c r="B148" s="1646"/>
      <c r="C148" s="1646"/>
      <c r="D148" s="361"/>
      <c r="J148" s="1651"/>
      <c r="K148" s="1651"/>
      <c r="L148" s="1651"/>
      <c r="N148" s="1170"/>
      <c r="O148" s="1646"/>
      <c r="P148" s="1646"/>
      <c r="Q148" s="1170"/>
      <c r="R148" s="1170"/>
      <c r="S148" s="1170"/>
      <c r="T148" s="1170"/>
      <c r="U148" s="1646"/>
      <c r="V148" s="1170"/>
      <c r="W148" s="1170"/>
      <c r="X148" s="554"/>
      <c r="Y148" s="1170"/>
      <c r="Z148" s="1170"/>
      <c r="AA148" s="1170"/>
      <c r="AB148" s="1170"/>
      <c r="AC148" s="1170"/>
      <c r="AD148" s="1642"/>
      <c r="AE148" s="576"/>
      <c r="AF148" s="576"/>
      <c r="AG148" s="576"/>
      <c r="AH148" s="576"/>
      <c r="AI148" s="1651">
        <v>11</v>
      </c>
    </row>
    <row s="1651" customFormat="1" customHeight="1" ht="11.549999999999999">
      <c r="A149" s="997"/>
      <c r="B149" s="1646"/>
      <c r="C149" s="1646"/>
      <c r="D149" s="361"/>
      <c r="J149" s="1651"/>
      <c r="K149" s="1651"/>
      <c r="L149" s="1651"/>
      <c r="N149" s="1170"/>
      <c r="O149" s="1646"/>
      <c r="P149" s="1646"/>
      <c r="Q149" s="1170"/>
      <c r="R149" s="1170"/>
      <c r="S149" s="1170"/>
      <c r="T149" s="1170"/>
      <c r="U149" s="1646"/>
      <c r="V149" s="1170"/>
      <c r="W149" s="1170"/>
      <c r="X149" s="554"/>
      <c r="Y149" s="1170"/>
      <c r="Z149" s="1170"/>
      <c r="AA149" s="1170"/>
      <c r="AB149" s="1170"/>
      <c r="AC149" s="1170"/>
      <c r="AD149" s="1642"/>
      <c r="AE149" s="576"/>
      <c r="AF149" s="576"/>
      <c r="AG149" s="576"/>
      <c r="AH149" s="576"/>
      <c r="AI149" s="1651">
        <v>11</v>
      </c>
    </row>
    <row s="1651" customFormat="1" customHeight="1" ht="11.549999999999999">
      <c r="A150" s="997"/>
      <c r="B150" s="1646"/>
      <c r="C150" s="1646"/>
      <c r="D150" s="361"/>
      <c r="J150" s="1651"/>
      <c r="K150" s="1651"/>
      <c r="L150" s="1651"/>
      <c r="N150" s="1170"/>
      <c r="O150" s="1646"/>
      <c r="P150" s="1646"/>
      <c r="Q150" s="1170"/>
      <c r="R150" s="1170"/>
      <c r="S150" s="1170"/>
      <c r="T150" s="1170"/>
      <c r="U150" s="1646"/>
      <c r="V150" s="1170"/>
      <c r="W150" s="1170"/>
      <c r="X150" s="554"/>
      <c r="Y150" s="1170"/>
      <c r="Z150" s="1170"/>
      <c r="AA150" s="1170"/>
      <c r="AB150" s="1170"/>
      <c r="AC150" s="1170"/>
      <c r="AD150" s="1642"/>
      <c r="AE150" s="576"/>
      <c r="AF150" s="576"/>
      <c r="AG150" s="576"/>
      <c r="AH150" s="576"/>
      <c r="AI150" s="1651">
        <v>11</v>
      </c>
    </row>
    <row s="1651" customFormat="1" customHeight="1" ht="11.549999999999999">
      <c r="A151" s="997"/>
      <c r="B151" s="1646"/>
      <c r="C151" s="1646"/>
      <c r="D151" s="361"/>
      <c r="J151" s="1651"/>
      <c r="K151" s="1651"/>
      <c r="L151" s="1651"/>
      <c r="N151" s="1170"/>
      <c r="O151" s="1646"/>
      <c r="P151" s="1646"/>
      <c r="Q151" s="1170"/>
      <c r="R151" s="1170"/>
      <c r="S151" s="1170"/>
      <c r="T151" s="1170"/>
      <c r="U151" s="1646"/>
      <c r="V151" s="1170"/>
      <c r="W151" s="1170"/>
      <c r="X151" s="554"/>
      <c r="Y151" s="1170"/>
      <c r="Z151" s="1170"/>
      <c r="AA151" s="1170"/>
      <c r="AB151" s="1170"/>
      <c r="AC151" s="1170"/>
      <c r="AD151" s="1642"/>
      <c r="AE151" s="576"/>
      <c r="AF151" s="576"/>
      <c r="AG151" s="576"/>
      <c r="AH151" s="576"/>
      <c r="AI151" s="1651">
        <v>11</v>
      </c>
    </row>
    <row s="1651" customFormat="1" customHeight="1" ht="11.549999999999999">
      <c r="A152" s="997"/>
      <c r="B152" s="1646"/>
      <c r="C152" s="1646"/>
      <c r="D152" s="361"/>
      <c r="J152" s="1651"/>
      <c r="K152" s="1651"/>
      <c r="L152" s="1651"/>
      <c r="N152" s="1170"/>
      <c r="O152" s="1646"/>
      <c r="P152" s="1646"/>
      <c r="Q152" s="1170"/>
      <c r="R152" s="1170"/>
      <c r="S152" s="1170"/>
      <c r="T152" s="1170"/>
      <c r="U152" s="1646"/>
      <c r="V152" s="1170"/>
      <c r="W152" s="1170"/>
      <c r="X152" s="554"/>
      <c r="Y152" s="1170"/>
      <c r="Z152" s="1170"/>
      <c r="AA152" s="1170"/>
      <c r="AB152" s="1170"/>
      <c r="AC152" s="1170"/>
      <c r="AD152" s="1642"/>
      <c r="AE152" s="576"/>
      <c r="AF152" s="576"/>
      <c r="AG152" s="576"/>
      <c r="AH152" s="576"/>
      <c r="AI152" s="1651">
        <v>11</v>
      </c>
    </row>
    <row s="1651" customFormat="1" customHeight="1" ht="11.549999999999999">
      <c r="A153" s="997"/>
      <c r="B153" s="1646"/>
      <c r="C153" s="1646"/>
      <c r="D153" s="361"/>
      <c r="J153" s="1651"/>
      <c r="K153" s="1651"/>
      <c r="L153" s="1651"/>
      <c r="N153" s="1170"/>
      <c r="O153" s="1646"/>
      <c r="P153" s="1646"/>
      <c r="Q153" s="1170"/>
      <c r="R153" s="1170"/>
      <c r="S153" s="1170"/>
      <c r="T153" s="1170"/>
      <c r="U153" s="1646"/>
      <c r="V153" s="1170"/>
      <c r="W153" s="1170"/>
      <c r="X153" s="554"/>
      <c r="Y153" s="1170"/>
      <c r="Z153" s="1170"/>
      <c r="AA153" s="1170"/>
      <c r="AB153" s="1170"/>
      <c r="AC153" s="1170"/>
      <c r="AD153" s="1642"/>
      <c r="AE153" s="576"/>
      <c r="AF153" s="576"/>
      <c r="AG153" s="576"/>
      <c r="AH153" s="576"/>
      <c r="AI153" s="1651">
        <v>11</v>
      </c>
    </row>
    <row s="1651" customFormat="1" customHeight="1" ht="11.549999999999999">
      <c r="A154" s="997"/>
      <c r="B154" s="1646"/>
      <c r="C154" s="1646"/>
      <c r="D154" s="361"/>
      <c r="J154" s="1651"/>
      <c r="K154" s="1651"/>
      <c r="L154" s="1651"/>
      <c r="N154" s="1170"/>
      <c r="O154" s="1646"/>
      <c r="P154" s="1646"/>
      <c r="Q154" s="1170"/>
      <c r="R154" s="1170"/>
      <c r="S154" s="1170"/>
      <c r="T154" s="1170"/>
      <c r="U154" s="1646"/>
      <c r="V154" s="1170"/>
      <c r="W154" s="1170"/>
      <c r="X154" s="554"/>
      <c r="Y154" s="1170"/>
      <c r="Z154" s="1170"/>
      <c r="AA154" s="1170"/>
      <c r="AB154" s="1170"/>
      <c r="AC154" s="1170"/>
      <c r="AD154" s="1642"/>
      <c r="AE154" s="576"/>
      <c r="AF154" s="576"/>
      <c r="AG154" s="576"/>
      <c r="AH154" s="576"/>
      <c r="AI154" s="1651">
        <v>11</v>
      </c>
    </row>
    <row s="1651" customFormat="1" customHeight="1" ht="11.549999999999999">
      <c r="A155" s="997"/>
      <c r="B155" s="1646"/>
      <c r="C155" s="1646"/>
      <c r="D155" s="361"/>
      <c r="J155" s="1651"/>
      <c r="K155" s="1651"/>
      <c r="L155" s="1651"/>
      <c r="N155" s="1170"/>
      <c r="O155" s="1646"/>
      <c r="P155" s="1646"/>
      <c r="Q155" s="1170"/>
      <c r="R155" s="1170"/>
      <c r="S155" s="1170"/>
      <c r="T155" s="1170"/>
      <c r="U155" s="1646"/>
      <c r="V155" s="1170"/>
      <c r="W155" s="1170"/>
      <c r="X155" s="554"/>
      <c r="Y155" s="1170"/>
      <c r="Z155" s="1170"/>
      <c r="AA155" s="1170"/>
      <c r="AB155" s="1170"/>
      <c r="AC155" s="1170"/>
      <c r="AD155" s="1642"/>
      <c r="AE155" s="576"/>
      <c r="AF155" s="576"/>
      <c r="AG155" s="576"/>
      <c r="AH155" s="576"/>
      <c r="AI155" s="1651">
        <v>11</v>
      </c>
    </row>
    <row s="1651" customFormat="1" customHeight="1" ht="11.549999999999999">
      <c r="A156" s="997"/>
      <c r="B156" s="1646"/>
      <c r="C156" s="1646"/>
      <c r="D156" s="361"/>
      <c r="J156" s="1651"/>
      <c r="K156" s="1651"/>
      <c r="L156" s="1651"/>
      <c r="N156" s="1170"/>
      <c r="O156" s="1646"/>
      <c r="P156" s="1646"/>
      <c r="Q156" s="1170"/>
      <c r="R156" s="1170"/>
      <c r="S156" s="1170"/>
      <c r="T156" s="1170"/>
      <c r="U156" s="1646"/>
      <c r="V156" s="1170"/>
      <c r="W156" s="1170"/>
      <c r="X156" s="554"/>
      <c r="Y156" s="1170"/>
      <c r="Z156" s="1170"/>
      <c r="AA156" s="1170"/>
      <c r="AB156" s="1170"/>
      <c r="AC156" s="1170"/>
      <c r="AD156" s="1642"/>
      <c r="AE156" s="576"/>
      <c r="AF156" s="576"/>
      <c r="AG156" s="576"/>
      <c r="AH156" s="576"/>
      <c r="AI156" s="1651">
        <v>11</v>
      </c>
    </row>
    <row s="1651" customFormat="1" customHeight="1" ht="11.549999999999999">
      <c r="A157" s="997"/>
      <c r="B157" s="1646"/>
      <c r="C157" s="1646"/>
      <c r="D157" s="361"/>
      <c r="J157" s="1651"/>
      <c r="K157" s="1651"/>
      <c r="L157" s="1651"/>
      <c r="N157" s="1170"/>
      <c r="O157" s="1646"/>
      <c r="P157" s="1646"/>
      <c r="Q157" s="1170"/>
      <c r="R157" s="1170"/>
      <c r="S157" s="1170"/>
      <c r="T157" s="1170"/>
      <c r="U157" s="1646"/>
      <c r="V157" s="1170"/>
      <c r="W157" s="1170"/>
      <c r="X157" s="554"/>
      <c r="Y157" s="1170"/>
      <c r="Z157" s="1170"/>
      <c r="AA157" s="1170"/>
      <c r="AB157" s="1170"/>
      <c r="AC157" s="1170"/>
      <c r="AD157" s="1642"/>
      <c r="AE157" s="576"/>
      <c r="AF157" s="576"/>
      <c r="AG157" s="576"/>
      <c r="AH157" s="576"/>
      <c r="AI157" s="1651">
        <v>11</v>
      </c>
    </row>
    <row s="1651" customFormat="1" customHeight="1" ht="11.549999999999999">
      <c r="A158" s="997"/>
      <c r="B158" s="1646"/>
      <c r="C158" s="1646"/>
      <c r="D158" s="361"/>
      <c r="J158" s="1651"/>
      <c r="K158" s="1651"/>
      <c r="L158" s="1651"/>
      <c r="N158" s="1170"/>
      <c r="O158" s="1646"/>
      <c r="P158" s="1646"/>
      <c r="Q158" s="1170"/>
      <c r="R158" s="1170"/>
      <c r="S158" s="1170"/>
      <c r="T158" s="1170"/>
      <c r="U158" s="1646"/>
      <c r="V158" s="1170"/>
      <c r="W158" s="1170"/>
      <c r="X158" s="554"/>
      <c r="Y158" s="1170"/>
      <c r="Z158" s="1170"/>
      <c r="AA158" s="1170"/>
      <c r="AB158" s="1170"/>
      <c r="AC158" s="1170"/>
      <c r="AD158" s="1642"/>
      <c r="AE158" s="576"/>
      <c r="AF158" s="576"/>
      <c r="AG158" s="576"/>
      <c r="AH158" s="576"/>
      <c r="AI158" s="1651">
        <v>11</v>
      </c>
    </row>
    <row s="1651" customFormat="1" customHeight="1" ht="11.549999999999999">
      <c r="A159" s="997"/>
      <c r="B159" s="1646"/>
      <c r="C159" s="1646"/>
      <c r="D159" s="361"/>
      <c r="J159" s="1651"/>
      <c r="K159" s="1651"/>
      <c r="L159" s="1651"/>
      <c r="N159" s="1170"/>
      <c r="O159" s="1646"/>
      <c r="P159" s="1646"/>
      <c r="Q159" s="1170"/>
      <c r="R159" s="1170"/>
      <c r="S159" s="1170"/>
      <c r="T159" s="1170"/>
      <c r="U159" s="1646"/>
      <c r="V159" s="1170"/>
      <c r="W159" s="1170"/>
      <c r="X159" s="554"/>
      <c r="Y159" s="1170"/>
      <c r="Z159" s="1170"/>
      <c r="AA159" s="1170"/>
      <c r="AB159" s="1170"/>
      <c r="AC159" s="1170"/>
      <c r="AD159" s="1642"/>
      <c r="AE159" s="576"/>
      <c r="AF159" s="576"/>
      <c r="AG159" s="576"/>
      <c r="AH159" s="576"/>
      <c r="AI159" s="1651">
        <v>11</v>
      </c>
    </row>
    <row s="1651" customFormat="1" customHeight="1" ht="11.549999999999999">
      <c r="A160" s="997"/>
      <c r="B160" s="1646"/>
      <c r="C160" s="1646"/>
      <c r="D160" s="361"/>
      <c r="J160" s="1651"/>
      <c r="K160" s="1651"/>
      <c r="L160" s="1651"/>
      <c r="N160" s="1170"/>
      <c r="O160" s="1646"/>
      <c r="P160" s="1646"/>
      <c r="Q160" s="1170"/>
      <c r="R160" s="1170"/>
      <c r="S160" s="1170"/>
      <c r="T160" s="1170"/>
      <c r="U160" s="1646"/>
      <c r="V160" s="1170"/>
      <c r="W160" s="1170"/>
      <c r="X160" s="554"/>
      <c r="Y160" s="1170"/>
      <c r="Z160" s="1170"/>
      <c r="AA160" s="1170"/>
      <c r="AB160" s="1170"/>
      <c r="AC160" s="1170"/>
      <c r="AD160" s="1642"/>
      <c r="AE160" s="576"/>
      <c r="AF160" s="576"/>
      <c r="AG160" s="576"/>
      <c r="AH160" s="576"/>
      <c r="AI160" s="1651">
        <v>11</v>
      </c>
    </row>
    <row s="1651" customFormat="1" customHeight="1" ht="11.549999999999999">
      <c r="A161" s="997"/>
      <c r="B161" s="1646"/>
      <c r="C161" s="1646"/>
      <c r="D161" s="361"/>
      <c r="J161" s="1651"/>
      <c r="K161" s="1651"/>
      <c r="L161" s="1651"/>
      <c r="N161" s="1170"/>
      <c r="O161" s="1646"/>
      <c r="P161" s="1646"/>
      <c r="Q161" s="1170"/>
      <c r="R161" s="1170"/>
      <c r="S161" s="1170"/>
      <c r="T161" s="1170"/>
      <c r="U161" s="1646"/>
      <c r="V161" s="1170"/>
      <c r="W161" s="1170"/>
      <c r="X161" s="554"/>
      <c r="Y161" s="1170"/>
      <c r="Z161" s="1170"/>
      <c r="AA161" s="1170"/>
      <c r="AB161" s="1170"/>
      <c r="AC161" s="1170"/>
      <c r="AD161" s="1642"/>
      <c r="AE161" s="576"/>
      <c r="AF161" s="576"/>
      <c r="AG161" s="576"/>
      <c r="AH161" s="576"/>
      <c r="AI161" s="1651">
        <v>11</v>
      </c>
    </row>
    <row s="1651" customFormat="1" customHeight="1" ht="11.549999999999999">
      <c r="A162" s="997"/>
      <c r="B162" s="1646"/>
      <c r="C162" s="1646"/>
      <c r="D162" s="361"/>
      <c r="J162" s="1651"/>
      <c r="K162" s="1651"/>
      <c r="L162" s="1651"/>
      <c r="N162" s="1170"/>
      <c r="O162" s="1646"/>
      <c r="P162" s="1646"/>
      <c r="Q162" s="1170"/>
      <c r="R162" s="1170"/>
      <c r="S162" s="1170"/>
      <c r="T162" s="1170"/>
      <c r="U162" s="1646"/>
      <c r="V162" s="1170"/>
      <c r="W162" s="1170"/>
      <c r="X162" s="554"/>
      <c r="Y162" s="1170"/>
      <c r="Z162" s="1170"/>
      <c r="AA162" s="1170"/>
      <c r="AB162" s="1170"/>
      <c r="AC162" s="1170"/>
      <c r="AD162" s="1642"/>
      <c r="AE162" s="576"/>
      <c r="AF162" s="576"/>
      <c r="AG162" s="576"/>
      <c r="AH162" s="576"/>
      <c r="AI162" s="1651">
        <v>11</v>
      </c>
    </row>
    <row s="1651" customFormat="1" customHeight="1" ht="11.549999999999999">
      <c r="A163" s="997"/>
      <c r="B163" s="1646"/>
      <c r="C163" s="1646"/>
      <c r="D163" s="361"/>
      <c r="J163" s="1651"/>
      <c r="K163" s="1651"/>
      <c r="L163" s="1651"/>
      <c r="N163" s="1170"/>
      <c r="O163" s="1646"/>
      <c r="P163" s="1646"/>
      <c r="Q163" s="1170"/>
      <c r="R163" s="1170"/>
      <c r="S163" s="1170"/>
      <c r="T163" s="1170"/>
      <c r="U163" s="1646"/>
      <c r="V163" s="1170"/>
      <c r="W163" s="1170"/>
      <c r="X163" s="554"/>
      <c r="Y163" s="1170"/>
      <c r="Z163" s="1170"/>
      <c r="AA163" s="1170"/>
      <c r="AB163" s="1170"/>
      <c r="AC163" s="1170"/>
      <c r="AD163" s="1642"/>
      <c r="AE163" s="576"/>
      <c r="AF163" s="576"/>
      <c r="AG163" s="576"/>
      <c r="AH163" s="576"/>
      <c r="AI163" s="1651">
        <v>11</v>
      </c>
    </row>
    <row s="1651" customFormat="1" customHeight="1" ht="11.549999999999999">
      <c r="A164" s="997"/>
      <c r="B164" s="1646"/>
      <c r="C164" s="1646"/>
      <c r="D164" s="361"/>
      <c r="J164" s="1651"/>
      <c r="K164" s="1651"/>
      <c r="L164" s="1651"/>
      <c r="N164" s="1170"/>
      <c r="O164" s="1646"/>
      <c r="P164" s="1646"/>
      <c r="Q164" s="1170"/>
      <c r="R164" s="1170"/>
      <c r="S164" s="1170"/>
      <c r="T164" s="1170"/>
      <c r="U164" s="1646"/>
      <c r="V164" s="1170"/>
      <c r="W164" s="1170"/>
      <c r="X164" s="554"/>
      <c r="Y164" s="1170"/>
      <c r="Z164" s="1170"/>
      <c r="AA164" s="1170"/>
      <c r="AB164" s="1170"/>
      <c r="AC164" s="1170"/>
      <c r="AD164" s="1642"/>
      <c r="AE164" s="576"/>
      <c r="AF164" s="576"/>
      <c r="AG164" s="576"/>
      <c r="AH164" s="576"/>
      <c r="AI164" s="1651">
        <v>11</v>
      </c>
    </row>
    <row s="1651" customFormat="1" customHeight="1" ht="11.549999999999999">
      <c r="A165" s="997"/>
      <c r="B165" s="1646"/>
      <c r="C165" s="1646"/>
      <c r="D165" s="361"/>
      <c r="J165" s="1651"/>
      <c r="K165" s="1651"/>
      <c r="L165" s="1651"/>
      <c r="N165" s="1170"/>
      <c r="O165" s="1646"/>
      <c r="P165" s="1646"/>
      <c r="Q165" s="1170"/>
      <c r="R165" s="1170"/>
      <c r="S165" s="1170"/>
      <c r="T165" s="1170"/>
      <c r="U165" s="1646"/>
      <c r="V165" s="1170"/>
      <c r="W165" s="1170"/>
      <c r="X165" s="554"/>
      <c r="Y165" s="1170"/>
      <c r="Z165" s="1170"/>
      <c r="AA165" s="1170"/>
      <c r="AB165" s="1170"/>
      <c r="AC165" s="1170"/>
      <c r="AD165" s="1642"/>
      <c r="AE165" s="576"/>
      <c r="AF165" s="576"/>
      <c r="AG165" s="576"/>
      <c r="AH165" s="576"/>
      <c r="AI165" s="1651">
        <v>11</v>
      </c>
    </row>
    <row s="1651" customFormat="1" customHeight="1" ht="11.549999999999999">
      <c r="A166" s="997"/>
      <c r="B166" s="1646"/>
      <c r="C166" s="1646"/>
      <c r="D166" s="361"/>
      <c r="J166" s="1651"/>
      <c r="K166" s="1651"/>
      <c r="L166" s="1651"/>
      <c r="N166" s="1170"/>
      <c r="O166" s="1646"/>
      <c r="P166" s="1646"/>
      <c r="Q166" s="1170"/>
      <c r="R166" s="1170"/>
      <c r="S166" s="1170"/>
      <c r="T166" s="1170"/>
      <c r="U166" s="1646"/>
      <c r="V166" s="1170"/>
      <c r="W166" s="1170"/>
      <c r="X166" s="554"/>
      <c r="Y166" s="1170"/>
      <c r="Z166" s="1170"/>
      <c r="AA166" s="1170"/>
      <c r="AB166" s="1170"/>
      <c r="AC166" s="1170"/>
      <c r="AD166" s="1642"/>
      <c r="AE166" s="576"/>
      <c r="AF166" s="576"/>
      <c r="AG166" s="576"/>
      <c r="AH166" s="576"/>
      <c r="AI166" s="1651">
        <v>11</v>
      </c>
    </row>
    <row s="1651" customFormat="1" customHeight="1" ht="11.549999999999999">
      <c r="A167" s="997"/>
      <c r="B167" s="1646"/>
      <c r="C167" s="1646"/>
      <c r="D167" s="361"/>
      <c r="J167" s="1651"/>
      <c r="K167" s="1651"/>
      <c r="L167" s="1651"/>
      <c r="N167" s="1170"/>
      <c r="O167" s="1646"/>
      <c r="P167" s="1646"/>
      <c r="Q167" s="1170"/>
      <c r="R167" s="1170"/>
      <c r="S167" s="1170"/>
      <c r="T167" s="1170"/>
      <c r="U167" s="1646"/>
      <c r="V167" s="1170"/>
      <c r="W167" s="1170"/>
      <c r="X167" s="554"/>
      <c r="Y167" s="1170"/>
      <c r="Z167" s="1170"/>
      <c r="AA167" s="1170"/>
      <c r="AB167" s="1170"/>
      <c r="AC167" s="1170"/>
      <c r="AD167" s="1642"/>
      <c r="AE167" s="576"/>
      <c r="AF167" s="576"/>
      <c r="AG167" s="576"/>
      <c r="AH167" s="576"/>
      <c r="AI167" s="1651">
        <v>11</v>
      </c>
    </row>
    <row s="1651" customFormat="1" customHeight="1" ht="11.549999999999999">
      <c r="A168" s="997"/>
      <c r="B168" s="1646"/>
      <c r="C168" s="1646"/>
      <c r="D168" s="361"/>
      <c r="J168" s="1651"/>
      <c r="K168" s="1651"/>
      <c r="L168" s="1651"/>
      <c r="N168" s="1170"/>
      <c r="O168" s="1646"/>
      <c r="P168" s="1646"/>
      <c r="Q168" s="1170"/>
      <c r="R168" s="1170"/>
      <c r="S168" s="1170"/>
      <c r="T168" s="1170"/>
      <c r="U168" s="1646"/>
      <c r="V168" s="1170"/>
      <c r="W168" s="1170"/>
      <c r="X168" s="554"/>
      <c r="Y168" s="1170"/>
      <c r="Z168" s="1170"/>
      <c r="AA168" s="1170"/>
      <c r="AB168" s="1170"/>
      <c r="AC168" s="1170"/>
      <c r="AD168" s="1642"/>
      <c r="AE168" s="576"/>
      <c r="AF168" s="576"/>
      <c r="AG168" s="576"/>
      <c r="AH168" s="576"/>
      <c r="AI168" s="1651">
        <v>11</v>
      </c>
    </row>
    <row s="1651" customFormat="1" customHeight="1" ht="11.549999999999999">
      <c r="A169" s="997"/>
      <c r="B169" s="1646"/>
      <c r="C169" s="1646"/>
      <c r="D169" s="361"/>
      <c r="J169" s="1651"/>
      <c r="K169" s="1651"/>
      <c r="L169" s="1651"/>
      <c r="N169" s="1170"/>
      <c r="O169" s="1646"/>
      <c r="P169" s="1646"/>
      <c r="Q169" s="1170"/>
      <c r="R169" s="1170"/>
      <c r="S169" s="1170"/>
      <c r="T169" s="1170"/>
      <c r="U169" s="1646"/>
      <c r="V169" s="1170"/>
      <c r="W169" s="1170"/>
      <c r="X169" s="554"/>
      <c r="Y169" s="1170"/>
      <c r="Z169" s="1170"/>
      <c r="AA169" s="1170"/>
      <c r="AB169" s="1170"/>
      <c r="AC169" s="1170"/>
      <c r="AD169" s="1642"/>
      <c r="AE169" s="576"/>
      <c r="AF169" s="576"/>
      <c r="AG169" s="576"/>
      <c r="AH169" s="576"/>
      <c r="AI169" s="1651">
        <v>11</v>
      </c>
    </row>
    <row s="1651" customFormat="1" customHeight="1" ht="11.549999999999999">
      <c r="A170" s="997"/>
      <c r="B170" s="1646"/>
      <c r="C170" s="1646"/>
      <c r="D170" s="361"/>
      <c r="J170" s="1651"/>
      <c r="K170" s="1651"/>
      <c r="L170" s="1651"/>
      <c r="N170" s="1170"/>
      <c r="O170" s="1646"/>
      <c r="P170" s="1646"/>
      <c r="Q170" s="1170"/>
      <c r="R170" s="1170"/>
      <c r="S170" s="1170"/>
      <c r="T170" s="1170"/>
      <c r="U170" s="1646"/>
      <c r="V170" s="1170"/>
      <c r="W170" s="1170"/>
      <c r="X170" s="554"/>
      <c r="Y170" s="1170"/>
      <c r="Z170" s="1170"/>
      <c r="AA170" s="1170"/>
      <c r="AB170" s="1170"/>
      <c r="AC170" s="1170"/>
      <c r="AD170" s="1642"/>
      <c r="AE170" s="576"/>
      <c r="AF170" s="576"/>
      <c r="AG170" s="576"/>
      <c r="AH170" s="576"/>
      <c r="AI170" s="1651">
        <v>11</v>
      </c>
    </row>
    <row s="1651" customFormat="1" customHeight="1" ht="11.549999999999999">
      <c r="A171" s="997"/>
      <c r="B171" s="1646"/>
      <c r="C171" s="1646"/>
      <c r="D171" s="361"/>
      <c r="J171" s="1651"/>
      <c r="K171" s="1651"/>
      <c r="L171" s="1651"/>
      <c r="N171" s="1170"/>
      <c r="O171" s="1646"/>
      <c r="P171" s="1646"/>
      <c r="Q171" s="1170"/>
      <c r="R171" s="1170"/>
      <c r="S171" s="1170"/>
      <c r="T171" s="1170"/>
      <c r="U171" s="1646"/>
      <c r="V171" s="1170"/>
      <c r="W171" s="1170"/>
      <c r="X171" s="554"/>
      <c r="Y171" s="1170"/>
      <c r="Z171" s="1170"/>
      <c r="AA171" s="1170"/>
      <c r="AB171" s="1170"/>
      <c r="AC171" s="1170"/>
      <c r="AD171" s="1642"/>
      <c r="AE171" s="576"/>
      <c r="AF171" s="576"/>
      <c r="AG171" s="576"/>
      <c r="AH171" s="576"/>
      <c r="AI171" s="1651">
        <v>11</v>
      </c>
    </row>
    <row s="1651" customFormat="1" customHeight="1" ht="11.549999999999999">
      <c r="A172" s="997"/>
      <c r="B172" s="1646"/>
      <c r="C172" s="1646"/>
      <c r="D172" s="361"/>
      <c r="J172" s="1651"/>
      <c r="K172" s="1651"/>
      <c r="L172" s="1651"/>
      <c r="N172" s="1170"/>
      <c r="O172" s="1646"/>
      <c r="P172" s="1646"/>
      <c r="Q172" s="1170"/>
      <c r="R172" s="1170"/>
      <c r="S172" s="1170"/>
      <c r="T172" s="1170"/>
      <c r="U172" s="1646"/>
      <c r="V172" s="1170"/>
      <c r="W172" s="1170"/>
      <c r="X172" s="554"/>
      <c r="Y172" s="1170"/>
      <c r="Z172" s="1170"/>
      <c r="AA172" s="1170"/>
      <c r="AB172" s="1170"/>
      <c r="AC172" s="1170"/>
      <c r="AD172" s="1642"/>
      <c r="AE172" s="576"/>
      <c r="AF172" s="576"/>
      <c r="AG172" s="576"/>
      <c r="AH172" s="576"/>
      <c r="AI172" s="1651">
        <v>11</v>
      </c>
    </row>
    <row s="1651" customFormat="1" customHeight="1" ht="11.549999999999999">
      <c r="A173" s="997"/>
      <c r="B173" s="1646"/>
      <c r="C173" s="1646"/>
      <c r="D173" s="361"/>
      <c r="J173" s="1651"/>
      <c r="K173" s="1651"/>
      <c r="L173" s="1651"/>
      <c r="N173" s="1170"/>
      <c r="O173" s="1646"/>
      <c r="P173" s="1646"/>
      <c r="Q173" s="1170"/>
      <c r="R173" s="1170"/>
      <c r="S173" s="1170"/>
      <c r="T173" s="1170"/>
      <c r="U173" s="1646"/>
      <c r="V173" s="1170"/>
      <c r="W173" s="1170"/>
      <c r="X173" s="554"/>
      <c r="Y173" s="1170"/>
      <c r="Z173" s="1170"/>
      <c r="AA173" s="1170"/>
      <c r="AB173" s="1170"/>
      <c r="AC173" s="1170"/>
      <c r="AD173" s="1642"/>
      <c r="AE173" s="576"/>
      <c r="AF173" s="576"/>
      <c r="AG173" s="576"/>
      <c r="AH173" s="576"/>
      <c r="AI173" s="1651">
        <v>11</v>
      </c>
    </row>
    <row s="1651" customFormat="1" customHeight="1" ht="11.549999999999999">
      <c r="A174" s="997"/>
      <c r="B174" s="1646"/>
      <c r="C174" s="1646"/>
      <c r="D174" s="361"/>
      <c r="J174" s="1651"/>
      <c r="K174" s="1651"/>
      <c r="L174" s="1651"/>
      <c r="N174" s="1170"/>
      <c r="O174" s="1646"/>
      <c r="P174" s="1646"/>
      <c r="Q174" s="1170"/>
      <c r="R174" s="1170"/>
      <c r="S174" s="1170"/>
      <c r="T174" s="1170"/>
      <c r="U174" s="1646"/>
      <c r="V174" s="1170"/>
      <c r="W174" s="1170"/>
      <c r="X174" s="554"/>
      <c r="Y174" s="1170"/>
      <c r="Z174" s="1170"/>
      <c r="AA174" s="1170"/>
      <c r="AB174" s="1170"/>
      <c r="AC174" s="1170"/>
      <c r="AD174" s="1642"/>
      <c r="AE174" s="576"/>
      <c r="AF174" s="576"/>
      <c r="AG174" s="576"/>
      <c r="AH174" s="576"/>
      <c r="AI174" s="1651">
        <v>11</v>
      </c>
    </row>
    <row s="1651" customFormat="1" customHeight="1" ht="11.549999999999999">
      <c r="A175" s="997"/>
      <c r="B175" s="1646"/>
      <c r="C175" s="1646"/>
      <c r="D175" s="361"/>
      <c r="J175" s="1651"/>
      <c r="K175" s="1651"/>
      <c r="L175" s="1651"/>
      <c r="N175" s="1170"/>
      <c r="O175" s="1646"/>
      <c r="P175" s="1646"/>
      <c r="Q175" s="1170"/>
      <c r="R175" s="1170"/>
      <c r="S175" s="1170"/>
      <c r="T175" s="1170"/>
      <c r="U175" s="1646"/>
      <c r="V175" s="1170"/>
      <c r="W175" s="1170"/>
      <c r="X175" s="554"/>
      <c r="Y175" s="1170"/>
      <c r="Z175" s="1170"/>
      <c r="AA175" s="1170"/>
      <c r="AB175" s="1170"/>
      <c r="AC175" s="1170"/>
      <c r="AD175" s="1642"/>
      <c r="AE175" s="576"/>
      <c r="AF175" s="576"/>
      <c r="AG175" s="576"/>
      <c r="AH175" s="576"/>
      <c r="AI175" s="1651">
        <v>11</v>
      </c>
    </row>
    <row s="1651" customFormat="1" customHeight="1" ht="11.549999999999999">
      <c r="A176" s="997"/>
      <c r="B176" s="1646"/>
      <c r="C176" s="1646"/>
      <c r="D176" s="361"/>
      <c r="J176" s="1651"/>
      <c r="K176" s="1651"/>
      <c r="L176" s="1651"/>
      <c r="N176" s="1170"/>
      <c r="O176" s="1646"/>
      <c r="P176" s="1646"/>
      <c r="Q176" s="1170"/>
      <c r="R176" s="1170"/>
      <c r="S176" s="1170"/>
      <c r="T176" s="1170"/>
      <c r="U176" s="1646"/>
      <c r="V176" s="1170"/>
      <c r="W176" s="1170"/>
      <c r="X176" s="554"/>
      <c r="Y176" s="1170"/>
      <c r="Z176" s="1170"/>
      <c r="AA176" s="1170"/>
      <c r="AB176" s="1170"/>
      <c r="AC176" s="1170"/>
      <c r="AD176" s="1642"/>
      <c r="AE176" s="576"/>
      <c r="AF176" s="576"/>
      <c r="AG176" s="576"/>
      <c r="AH176" s="576"/>
      <c r="AI176" s="1651">
        <v>11</v>
      </c>
    </row>
    <row s="1651" customFormat="1" customHeight="1" ht="11.549999999999999">
      <c r="A177" s="997"/>
      <c r="B177" s="1646"/>
      <c r="C177" s="1646"/>
      <c r="D177" s="361"/>
      <c r="J177" s="1651"/>
      <c r="K177" s="1651"/>
      <c r="L177" s="1651"/>
      <c r="N177" s="1170"/>
      <c r="O177" s="1646"/>
      <c r="P177" s="1646"/>
      <c r="Q177" s="1170"/>
      <c r="R177" s="1170"/>
      <c r="S177" s="1170"/>
      <c r="T177" s="1170"/>
      <c r="U177" s="1646"/>
      <c r="V177" s="1170"/>
      <c r="W177" s="1170"/>
      <c r="X177" s="554"/>
      <c r="Y177" s="1170"/>
      <c r="Z177" s="1170"/>
      <c r="AA177" s="1170"/>
      <c r="AB177" s="1170"/>
      <c r="AC177" s="1170"/>
      <c r="AD177" s="1642"/>
      <c r="AE177" s="576"/>
      <c r="AF177" s="576"/>
      <c r="AG177" s="576"/>
      <c r="AH177" s="576"/>
      <c r="AI177" s="1651">
        <v>11</v>
      </c>
    </row>
    <row s="1651" customFormat="1" customHeight="1" ht="11.549999999999999">
      <c r="A178" s="997"/>
      <c r="B178" s="1646"/>
      <c r="C178" s="1646"/>
      <c r="D178" s="361"/>
      <c r="J178" s="1651"/>
      <c r="K178" s="1651"/>
      <c r="L178" s="1651"/>
      <c r="N178" s="1170"/>
      <c r="O178" s="1646"/>
      <c r="P178" s="1646"/>
      <c r="Q178" s="1170"/>
      <c r="R178" s="1170"/>
      <c r="S178" s="1170"/>
      <c r="T178" s="1170"/>
      <c r="U178" s="1646"/>
      <c r="V178" s="1170"/>
      <c r="W178" s="1170"/>
      <c r="X178" s="554"/>
      <c r="Y178" s="1170"/>
      <c r="Z178" s="1170"/>
      <c r="AA178" s="1170"/>
      <c r="AB178" s="1170"/>
      <c r="AC178" s="1170"/>
      <c r="AD178" s="1642"/>
      <c r="AE178" s="576"/>
      <c r="AF178" s="576"/>
      <c r="AG178" s="576"/>
      <c r="AH178" s="576"/>
      <c r="AI178" s="1651">
        <v>11</v>
      </c>
    </row>
    <row s="1651" customFormat="1" customHeight="1" ht="11.549999999999999">
      <c r="A179" s="997"/>
      <c r="B179" s="1646"/>
      <c r="C179" s="1646"/>
      <c r="D179" s="361"/>
      <c r="J179" s="1651"/>
      <c r="K179" s="1651"/>
      <c r="L179" s="1651"/>
      <c r="N179" s="1170"/>
      <c r="O179" s="1646"/>
      <c r="P179" s="1646"/>
      <c r="Q179" s="1170"/>
      <c r="R179" s="1170"/>
      <c r="S179" s="1170"/>
      <c r="T179" s="1170"/>
      <c r="U179" s="1646"/>
      <c r="V179" s="1170"/>
      <c r="W179" s="1170"/>
      <c r="X179" s="554"/>
      <c r="Y179" s="1170"/>
      <c r="Z179" s="1170"/>
      <c r="AA179" s="1170"/>
      <c r="AB179" s="1170"/>
      <c r="AC179" s="1170"/>
      <c r="AD179" s="1642"/>
      <c r="AE179" s="576"/>
      <c r="AF179" s="576"/>
      <c r="AG179" s="576"/>
      <c r="AH179" s="576"/>
      <c r="AI179" s="1651">
        <v>11</v>
      </c>
    </row>
    <row s="1651" customFormat="1" customHeight="1" ht="11.549999999999999">
      <c r="A180" s="997"/>
      <c r="B180" s="1646"/>
      <c r="C180" s="1646"/>
      <c r="D180" s="361"/>
      <c r="J180" s="1651"/>
      <c r="K180" s="1651"/>
      <c r="L180" s="1651"/>
      <c r="N180" s="1170"/>
      <c r="O180" s="1646"/>
      <c r="P180" s="1646"/>
      <c r="Q180" s="1170"/>
      <c r="R180" s="1170"/>
      <c r="S180" s="1170"/>
      <c r="T180" s="1170"/>
      <c r="U180" s="1646"/>
      <c r="V180" s="1170"/>
      <c r="W180" s="1170"/>
      <c r="X180" s="554"/>
      <c r="Y180" s="1170"/>
      <c r="Z180" s="1170"/>
      <c r="AA180" s="1170"/>
      <c r="AB180" s="1170"/>
      <c r="AC180" s="1170"/>
      <c r="AD180" s="1642"/>
      <c r="AE180" s="576"/>
      <c r="AF180" s="576"/>
      <c r="AG180" s="576"/>
      <c r="AH180" s="576"/>
      <c r="AI180" s="1651">
        <v>11</v>
      </c>
    </row>
    <row s="1651" customFormat="1" customHeight="1" ht="11.549999999999999">
      <c r="A181" s="997"/>
      <c r="B181" s="1646"/>
      <c r="C181" s="1646"/>
      <c r="D181" s="361"/>
      <c r="J181" s="1651"/>
      <c r="K181" s="1651"/>
      <c r="L181" s="1651"/>
      <c r="N181" s="1170"/>
      <c r="O181" s="1646"/>
      <c r="P181" s="1646"/>
      <c r="Q181" s="1170"/>
      <c r="R181" s="1170"/>
      <c r="S181" s="1170"/>
      <c r="T181" s="1170"/>
      <c r="U181" s="1646"/>
      <c r="V181" s="1170"/>
      <c r="W181" s="1170"/>
      <c r="X181" s="554"/>
      <c r="Y181" s="1170"/>
      <c r="Z181" s="1170"/>
      <c r="AA181" s="1170"/>
      <c r="AB181" s="1170"/>
      <c r="AC181" s="1170"/>
      <c r="AD181" s="1642"/>
      <c r="AE181" s="576"/>
      <c r="AF181" s="576"/>
      <c r="AG181" s="576"/>
      <c r="AH181" s="576"/>
      <c r="AI181" s="1651">
        <v>11</v>
      </c>
    </row>
    <row s="1651" customFormat="1" customHeight="1" ht="11.549999999999999">
      <c r="A182" s="997"/>
      <c r="B182" s="1646"/>
      <c r="C182" s="1646"/>
      <c r="D182" s="361"/>
      <c r="J182" s="1651"/>
      <c r="K182" s="1651"/>
      <c r="L182" s="1651"/>
      <c r="N182" s="1170"/>
      <c r="O182" s="1646"/>
      <c r="P182" s="1646"/>
      <c r="Q182" s="1170"/>
      <c r="R182" s="1170"/>
      <c r="S182" s="1170"/>
      <c r="T182" s="1170"/>
      <c r="U182" s="1646"/>
      <c r="V182" s="1170"/>
      <c r="W182" s="1170"/>
      <c r="X182" s="554"/>
      <c r="Y182" s="1170"/>
      <c r="Z182" s="1170"/>
      <c r="AA182" s="1170"/>
      <c r="AB182" s="1170"/>
      <c r="AC182" s="1170"/>
      <c r="AD182" s="1642"/>
      <c r="AE182" s="576"/>
      <c r="AF182" s="576"/>
      <c r="AG182" s="576"/>
      <c r="AH182" s="576"/>
      <c r="AI182" s="1651">
        <v>11</v>
      </c>
    </row>
    <row s="1651" customFormat="1" customHeight="1" ht="11.549999999999999">
      <c r="A183" s="997"/>
      <c r="B183" s="1646"/>
      <c r="C183" s="1646"/>
      <c r="D183" s="361"/>
      <c r="J183" s="1651"/>
      <c r="K183" s="1651"/>
      <c r="L183" s="1651"/>
      <c r="N183" s="1170"/>
      <c r="O183" s="1646"/>
      <c r="P183" s="1646"/>
      <c r="Q183" s="1170"/>
      <c r="R183" s="1170"/>
      <c r="S183" s="1170"/>
      <c r="T183" s="1170"/>
      <c r="U183" s="1646"/>
      <c r="V183" s="1170"/>
      <c r="W183" s="1170"/>
      <c r="X183" s="554"/>
      <c r="Y183" s="1170"/>
      <c r="Z183" s="1170"/>
      <c r="AA183" s="1170"/>
      <c r="AB183" s="1170"/>
      <c r="AC183" s="1170"/>
      <c r="AD183" s="1642"/>
      <c r="AE183" s="576"/>
      <c r="AF183" s="576"/>
      <c r="AG183" s="576"/>
      <c r="AH183" s="576"/>
      <c r="AI183" s="1651">
        <v>11</v>
      </c>
    </row>
    <row s="1651" customFormat="1" customHeight="1" ht="11.549999999999999">
      <c r="A184" s="997"/>
      <c r="B184" s="1646"/>
      <c r="C184" s="1646"/>
      <c r="D184" s="361"/>
      <c r="J184" s="1651"/>
      <c r="K184" s="1651"/>
      <c r="L184" s="1651"/>
      <c r="N184" s="1170"/>
      <c r="O184" s="1646"/>
      <c r="P184" s="1646"/>
      <c r="Q184" s="1170"/>
      <c r="R184" s="1170"/>
      <c r="S184" s="1170"/>
      <c r="T184" s="1170"/>
      <c r="U184" s="1646"/>
      <c r="V184" s="1170"/>
      <c r="W184" s="1170"/>
      <c r="X184" s="554"/>
      <c r="Y184" s="1170"/>
      <c r="Z184" s="1170"/>
      <c r="AA184" s="1170"/>
      <c r="AB184" s="1170"/>
      <c r="AC184" s="1170"/>
      <c r="AD184" s="1642"/>
      <c r="AE184" s="576"/>
      <c r="AF184" s="576"/>
      <c r="AG184" s="576"/>
      <c r="AH184" s="576"/>
      <c r="AI184" s="1651">
        <v>11</v>
      </c>
    </row>
    <row s="1651" customFormat="1" customHeight="1" ht="11.549999999999999">
      <c r="A185" s="997"/>
      <c r="B185" s="1646"/>
      <c r="C185" s="1646"/>
      <c r="D185" s="361"/>
      <c r="J185" s="1651"/>
      <c r="K185" s="1651"/>
      <c r="L185" s="1651"/>
      <c r="N185" s="1170"/>
      <c r="O185" s="1646"/>
      <c r="P185" s="1646"/>
      <c r="Q185" s="1170"/>
      <c r="R185" s="1170"/>
      <c r="S185" s="1170"/>
      <c r="T185" s="1170"/>
      <c r="U185" s="1646"/>
      <c r="V185" s="1170"/>
      <c r="W185" s="1170"/>
      <c r="X185" s="554"/>
      <c r="Y185" s="1170"/>
      <c r="Z185" s="1170"/>
      <c r="AA185" s="1170"/>
      <c r="AB185" s="1170"/>
      <c r="AC185" s="1170"/>
      <c r="AD185" s="1642"/>
      <c r="AE185" s="576"/>
      <c r="AF185" s="576"/>
      <c r="AG185" s="576"/>
      <c r="AH185" s="576"/>
      <c r="AI185" s="1651">
        <v>11</v>
      </c>
    </row>
    <row s="1651" customFormat="1" customHeight="1" ht="11.549999999999999">
      <c r="A186" s="997"/>
      <c r="B186" s="1646"/>
      <c r="C186" s="1646"/>
      <c r="D186" s="361"/>
      <c r="J186" s="1651"/>
      <c r="K186" s="1651"/>
      <c r="L186" s="1651"/>
      <c r="N186" s="1170"/>
      <c r="O186" s="1646"/>
      <c r="P186" s="1646"/>
      <c r="Q186" s="1170"/>
      <c r="R186" s="1170"/>
      <c r="S186" s="1170"/>
      <c r="T186" s="1170"/>
      <c r="U186" s="1646"/>
      <c r="V186" s="1170"/>
      <c r="W186" s="1170"/>
      <c r="X186" s="554"/>
      <c r="Y186" s="1170"/>
      <c r="Z186" s="1170"/>
      <c r="AA186" s="1170"/>
      <c r="AB186" s="1170"/>
      <c r="AC186" s="1170"/>
      <c r="AD186" s="1642"/>
      <c r="AE186" s="576"/>
      <c r="AF186" s="576"/>
      <c r="AG186" s="576"/>
      <c r="AH186" s="576"/>
      <c r="AI186" s="1651">
        <v>11</v>
      </c>
    </row>
    <row s="1651" customFormat="1" customHeight="1" ht="11.549999999999999">
      <c r="A187" s="997"/>
      <c r="B187" s="1646"/>
      <c r="C187" s="1646"/>
      <c r="D187" s="361"/>
      <c r="J187" s="1651"/>
      <c r="K187" s="1651"/>
      <c r="L187" s="1651"/>
      <c r="N187" s="1170"/>
      <c r="O187" s="1646"/>
      <c r="P187" s="1646"/>
      <c r="Q187" s="1170"/>
      <c r="R187" s="1170"/>
      <c r="S187" s="1170"/>
      <c r="T187" s="1170"/>
      <c r="U187" s="1646"/>
      <c r="V187" s="1170"/>
      <c r="W187" s="1170"/>
      <c r="X187" s="554"/>
      <c r="Y187" s="1170"/>
      <c r="Z187" s="1170"/>
      <c r="AA187" s="1170"/>
      <c r="AB187" s="1170"/>
      <c r="AC187" s="1170"/>
      <c r="AD187" s="1642"/>
      <c r="AE187" s="576"/>
      <c r="AF187" s="576"/>
      <c r="AG187" s="576"/>
      <c r="AH187" s="576"/>
      <c r="AI187" s="1651">
        <v>11</v>
      </c>
    </row>
    <row s="1651" customFormat="1" customHeight="1" ht="11.549999999999999">
      <c r="A188" s="997"/>
      <c r="B188" s="1646"/>
      <c r="C188" s="1646"/>
      <c r="D188" s="361"/>
      <c r="J188" s="1651"/>
      <c r="K188" s="1651"/>
      <c r="L188" s="1651"/>
      <c r="N188" s="1170"/>
      <c r="O188" s="1646"/>
      <c r="P188" s="1646"/>
      <c r="Q188" s="1170"/>
      <c r="R188" s="1170"/>
      <c r="S188" s="1170"/>
      <c r="T188" s="1170"/>
      <c r="U188" s="1646"/>
      <c r="V188" s="1170"/>
      <c r="W188" s="1170"/>
      <c r="X188" s="554"/>
      <c r="Y188" s="1170"/>
      <c r="Z188" s="1170"/>
      <c r="AA188" s="1170"/>
      <c r="AB188" s="1170"/>
      <c r="AC188" s="1170"/>
      <c r="AD188" s="1642"/>
      <c r="AE188" s="576"/>
      <c r="AF188" s="576"/>
      <c r="AG188" s="576"/>
      <c r="AH188" s="576"/>
      <c r="AI188" s="1651">
        <v>11</v>
      </c>
    </row>
    <row s="1651" customFormat="1" customHeight="1" ht="11.549999999999999">
      <c r="A189" s="997"/>
      <c r="B189" s="1646"/>
      <c r="C189" s="1646"/>
      <c r="D189" s="361"/>
      <c r="J189" s="1651"/>
      <c r="K189" s="1651"/>
      <c r="L189" s="1651"/>
      <c r="N189" s="1170"/>
      <c r="O189" s="1646"/>
      <c r="P189" s="1646"/>
      <c r="Q189" s="1170"/>
      <c r="R189" s="1170"/>
      <c r="S189" s="1170"/>
      <c r="T189" s="1170"/>
      <c r="U189" s="1646"/>
      <c r="V189" s="1170"/>
      <c r="W189" s="1170"/>
      <c r="X189" s="554"/>
      <c r="Y189" s="1170"/>
      <c r="Z189" s="1170"/>
      <c r="AA189" s="1170"/>
      <c r="AB189" s="1170"/>
      <c r="AC189" s="1170"/>
      <c r="AD189" s="1642"/>
      <c r="AE189" s="576"/>
      <c r="AF189" s="576"/>
      <c r="AG189" s="576"/>
      <c r="AH189" s="576"/>
      <c r="AI189" s="1651">
        <v>11</v>
      </c>
    </row>
    <row s="1651" customFormat="1" customHeight="1" ht="11.549999999999999">
      <c r="A190" s="997"/>
      <c r="B190" s="1646"/>
      <c r="C190" s="1646"/>
      <c r="D190" s="361"/>
      <c r="J190" s="1651"/>
      <c r="K190" s="1651"/>
      <c r="L190" s="1651"/>
      <c r="N190" s="1170"/>
      <c r="O190" s="1646"/>
      <c r="P190" s="1646"/>
      <c r="Q190" s="1170"/>
      <c r="R190" s="1170"/>
      <c r="S190" s="1170"/>
      <c r="T190" s="1170"/>
      <c r="U190" s="1646"/>
      <c r="V190" s="1170"/>
      <c r="W190" s="1170"/>
      <c r="X190" s="554"/>
      <c r="Y190" s="1170"/>
      <c r="Z190" s="1170"/>
      <c r="AA190" s="1170"/>
      <c r="AB190" s="1170"/>
      <c r="AC190" s="1170"/>
      <c r="AD190" s="1642"/>
      <c r="AE190" s="576"/>
      <c r="AF190" s="576"/>
      <c r="AG190" s="576"/>
      <c r="AH190" s="576"/>
      <c r="AI190" s="1651">
        <v>11</v>
      </c>
    </row>
    <row s="1651" customFormat="1" customHeight="1" ht="11.549999999999999">
      <c r="A191" s="997"/>
      <c r="B191" s="1646"/>
      <c r="C191" s="1646"/>
      <c r="D191" s="361"/>
      <c r="J191" s="1651"/>
      <c r="K191" s="1651"/>
      <c r="L191" s="1651"/>
      <c r="N191" s="1170"/>
      <c r="O191" s="1646"/>
      <c r="P191" s="1646"/>
      <c r="Q191" s="1170"/>
      <c r="R191" s="1170"/>
      <c r="S191" s="1170"/>
      <c r="T191" s="1170"/>
      <c r="U191" s="1646"/>
      <c r="V191" s="1170"/>
      <c r="W191" s="1170"/>
      <c r="X191" s="554"/>
      <c r="Y191" s="1170"/>
      <c r="Z191" s="1170"/>
      <c r="AA191" s="1170"/>
      <c r="AB191" s="1170"/>
      <c r="AC191" s="1170"/>
      <c r="AD191" s="1642"/>
      <c r="AE191" s="576"/>
      <c r="AF191" s="576"/>
      <c r="AG191" s="576"/>
      <c r="AH191" s="576"/>
      <c r="AI191" s="1651">
        <v>11</v>
      </c>
    </row>
    <row s="1651" customFormat="1" customHeight="1" ht="11.549999999999999">
      <c r="A192" s="997"/>
      <c r="B192" s="1646"/>
      <c r="C192" s="1646"/>
      <c r="D192" s="361"/>
      <c r="J192" s="1651"/>
      <c r="K192" s="1651"/>
      <c r="L192" s="1651"/>
      <c r="N192" s="1170"/>
      <c r="O192" s="1646"/>
      <c r="P192" s="1646"/>
      <c r="Q192" s="1170"/>
      <c r="R192" s="1170"/>
      <c r="S192" s="1170"/>
      <c r="T192" s="1170"/>
      <c r="U192" s="1646"/>
      <c r="V192" s="1170"/>
      <c r="W192" s="1170"/>
      <c r="X192" s="554"/>
      <c r="Y192" s="1170"/>
      <c r="Z192" s="1170"/>
      <c r="AA192" s="1170"/>
      <c r="AB192" s="1170"/>
      <c r="AC192" s="1170"/>
      <c r="AD192" s="1642"/>
      <c r="AE192" s="576"/>
      <c r="AF192" s="576"/>
      <c r="AG192" s="576"/>
      <c r="AH192" s="576"/>
      <c r="AI192" s="1651">
        <v>11</v>
      </c>
    </row>
    <row s="1651" customFormat="1" customHeight="1" ht="11.549999999999999">
      <c r="A193" s="997"/>
      <c r="B193" s="1646"/>
      <c r="C193" s="1646"/>
      <c r="D193" s="361"/>
      <c r="J193" s="1651"/>
      <c r="K193" s="1651"/>
      <c r="L193" s="1651"/>
      <c r="N193" s="1170"/>
      <c r="O193" s="1646"/>
      <c r="P193" s="1646"/>
      <c r="Q193" s="1170"/>
      <c r="R193" s="1170"/>
      <c r="S193" s="1170"/>
      <c r="T193" s="1170"/>
      <c r="U193" s="1646"/>
      <c r="V193" s="1170"/>
      <c r="W193" s="1170"/>
      <c r="X193" s="554"/>
      <c r="Y193" s="1170"/>
      <c r="Z193" s="1170"/>
      <c r="AA193" s="1170"/>
      <c r="AB193" s="1170"/>
      <c r="AC193" s="1170"/>
      <c r="AD193" s="1642"/>
      <c r="AE193" s="576"/>
      <c r="AF193" s="576"/>
      <c r="AG193" s="576"/>
      <c r="AH193" s="576"/>
      <c r="AI193" s="1651">
        <v>11</v>
      </c>
    </row>
    <row s="1651" customFormat="1" customHeight="1" ht="11.549999999999999">
      <c r="A194" s="997"/>
      <c r="B194" s="1646"/>
      <c r="C194" s="1646"/>
      <c r="D194" s="361"/>
      <c r="J194" s="1651"/>
      <c r="K194" s="1651"/>
      <c r="L194" s="1651"/>
      <c r="N194" s="1170"/>
      <c r="O194" s="1646"/>
      <c r="P194" s="1646"/>
      <c r="Q194" s="1170"/>
      <c r="R194" s="1170"/>
      <c r="S194" s="1170"/>
      <c r="T194" s="1170"/>
      <c r="U194" s="1646"/>
      <c r="V194" s="1170"/>
      <c r="W194" s="1170"/>
      <c r="X194" s="554"/>
      <c r="Y194" s="1170"/>
      <c r="Z194" s="1170"/>
      <c r="AA194" s="1170"/>
      <c r="AB194" s="1170"/>
      <c r="AC194" s="1170"/>
      <c r="AD194" s="1642"/>
      <c r="AE194" s="576"/>
      <c r="AF194" s="576"/>
      <c r="AG194" s="576"/>
      <c r="AH194" s="576"/>
      <c r="AI194" s="1651">
        <v>11</v>
      </c>
    </row>
    <row s="1651" customFormat="1" customHeight="1" ht="11.549999999999999">
      <c r="A195" s="997"/>
      <c r="B195" s="1646"/>
      <c r="C195" s="1646"/>
      <c r="D195" s="361"/>
      <c r="J195" s="1651"/>
      <c r="K195" s="1651"/>
      <c r="L195" s="1651"/>
      <c r="N195" s="1170"/>
      <c r="O195" s="1646"/>
      <c r="P195" s="1646"/>
      <c r="Q195" s="1170"/>
      <c r="R195" s="1170"/>
      <c r="S195" s="1170"/>
      <c r="T195" s="1170"/>
      <c r="U195" s="1646"/>
      <c r="V195" s="1170"/>
      <c r="W195" s="1170"/>
      <c r="X195" s="554"/>
      <c r="Y195" s="1170"/>
      <c r="Z195" s="1170"/>
      <c r="AA195" s="1170"/>
      <c r="AB195" s="1170"/>
      <c r="AC195" s="1170"/>
      <c r="AD195" s="1642"/>
      <c r="AE195" s="576"/>
      <c r="AF195" s="576"/>
      <c r="AG195" s="576"/>
      <c r="AH195" s="576"/>
      <c r="AI195" s="1651">
        <v>11</v>
      </c>
    </row>
    <row s="1651" customFormat="1" customHeight="1" ht="11.549999999999999">
      <c r="A196" s="997"/>
      <c r="B196" s="1646"/>
      <c r="C196" s="1646"/>
      <c r="D196" s="361"/>
      <c r="J196" s="1651"/>
      <c r="K196" s="1651"/>
      <c r="L196" s="1651"/>
      <c r="N196" s="1170"/>
      <c r="O196" s="1646"/>
      <c r="P196" s="1646"/>
      <c r="Q196" s="1170"/>
      <c r="R196" s="1170"/>
      <c r="S196" s="1170"/>
      <c r="T196" s="1170"/>
      <c r="U196" s="1646"/>
      <c r="V196" s="1170"/>
      <c r="W196" s="1170"/>
      <c r="X196" s="554"/>
      <c r="Y196" s="1170"/>
      <c r="Z196" s="1170"/>
      <c r="AA196" s="1170"/>
      <c r="AB196" s="1170"/>
      <c r="AC196" s="1170"/>
      <c r="AD196" s="1642"/>
      <c r="AE196" s="576"/>
      <c r="AF196" s="576"/>
      <c r="AG196" s="576"/>
      <c r="AH196" s="576"/>
      <c r="AI196" s="1651">
        <v>11</v>
      </c>
    </row>
    <row s="1651" customFormat="1" customHeight="1" ht="11.549999999999999">
      <c r="A197" s="997"/>
      <c r="B197" s="1646"/>
      <c r="C197" s="1646"/>
      <c r="D197" s="361"/>
      <c r="J197" s="1651"/>
      <c r="K197" s="1651"/>
      <c r="L197" s="1651"/>
      <c r="N197" s="1170"/>
      <c r="O197" s="1646"/>
      <c r="P197" s="1646"/>
      <c r="Q197" s="1170"/>
      <c r="R197" s="1170"/>
      <c r="S197" s="1170"/>
      <c r="T197" s="1170"/>
      <c r="U197" s="1646"/>
      <c r="V197" s="1170"/>
      <c r="W197" s="1170"/>
      <c r="X197" s="554"/>
      <c r="Y197" s="1170"/>
      <c r="Z197" s="1170"/>
      <c r="AA197" s="1170"/>
      <c r="AB197" s="1170"/>
      <c r="AC197" s="1170"/>
      <c r="AD197" s="1642"/>
      <c r="AE197" s="576"/>
      <c r="AF197" s="576"/>
      <c r="AG197" s="576"/>
      <c r="AH197" s="576"/>
      <c r="AI197" s="1651">
        <v>11</v>
      </c>
    </row>
    <row s="1651" customFormat="1" customHeight="1" ht="11.549999999999999">
      <c r="A198" s="997"/>
      <c r="B198" s="1646"/>
      <c r="C198" s="1646"/>
      <c r="D198" s="361"/>
      <c r="J198" s="1651"/>
      <c r="K198" s="1651"/>
      <c r="L198" s="1651"/>
      <c r="N198" s="1170"/>
      <c r="O198" s="1646"/>
      <c r="P198" s="1646"/>
      <c r="Q198" s="1170"/>
      <c r="R198" s="1170"/>
      <c r="S198" s="1170"/>
      <c r="T198" s="1170"/>
      <c r="U198" s="1646"/>
      <c r="V198" s="1170"/>
      <c r="W198" s="1170"/>
      <c r="X198" s="554"/>
      <c r="Y198" s="1170"/>
      <c r="Z198" s="1170"/>
      <c r="AA198" s="1170"/>
      <c r="AB198" s="1170"/>
      <c r="AC198" s="1170"/>
      <c r="AD198" s="1642"/>
      <c r="AE198" s="576"/>
      <c r="AF198" s="576"/>
      <c r="AG198" s="576"/>
      <c r="AH198" s="576"/>
      <c r="AI198" s="1651">
        <v>11</v>
      </c>
    </row>
    <row s="1651" customFormat="1" customHeight="1" ht="11.549999999999999">
      <c r="A199" s="997"/>
      <c r="B199" s="1646"/>
      <c r="C199" s="1646"/>
      <c r="D199" s="361"/>
      <c r="J199" s="1651"/>
      <c r="K199" s="1651"/>
      <c r="L199" s="1651"/>
      <c r="N199" s="1170"/>
      <c r="O199" s="1646"/>
      <c r="P199" s="1646"/>
      <c r="Q199" s="1170"/>
      <c r="R199" s="1170"/>
      <c r="S199" s="1170"/>
      <c r="T199" s="1170"/>
      <c r="U199" s="1646"/>
      <c r="V199" s="1170"/>
      <c r="W199" s="1170"/>
      <c r="X199" s="554"/>
      <c r="Y199" s="1170"/>
      <c r="Z199" s="1170"/>
      <c r="AA199" s="1170"/>
      <c r="AB199" s="1170"/>
      <c r="AC199" s="1170"/>
      <c r="AD199" s="1642"/>
      <c r="AE199" s="576"/>
      <c r="AF199" s="576"/>
      <c r="AG199" s="576"/>
      <c r="AH199" s="576"/>
      <c r="AI199" s="1651">
        <v>11</v>
      </c>
    </row>
    <row s="1651" customFormat="1" customHeight="1" ht="11.549999999999999">
      <c r="A200" s="997"/>
      <c r="B200" s="1646"/>
      <c r="C200" s="1646"/>
      <c r="D200" s="361"/>
      <c r="J200" s="1651"/>
      <c r="K200" s="1651"/>
      <c r="L200" s="1651"/>
      <c r="N200" s="1170"/>
      <c r="O200" s="1646"/>
      <c r="P200" s="1646"/>
      <c r="Q200" s="1170"/>
      <c r="R200" s="1170"/>
      <c r="S200" s="1170"/>
      <c r="T200" s="1170"/>
      <c r="U200" s="1646"/>
      <c r="V200" s="1170"/>
      <c r="W200" s="1170"/>
      <c r="X200" s="554"/>
      <c r="Y200" s="1170"/>
      <c r="Z200" s="1170"/>
      <c r="AA200" s="1170"/>
      <c r="AB200" s="1170"/>
      <c r="AC200" s="1170"/>
      <c r="AD200" s="1642"/>
      <c r="AE200" s="576"/>
      <c r="AF200" s="576"/>
      <c r="AG200" s="576"/>
      <c r="AH200" s="576"/>
      <c r="AI200" s="1651">
        <v>11</v>
      </c>
    </row>
    <row s="1651" customFormat="1" customHeight="1" ht="11.549999999999999">
      <c r="A201" s="997"/>
      <c r="B201" s="1646"/>
      <c r="C201" s="1646"/>
      <c r="D201" s="361"/>
      <c r="J201" s="1651"/>
      <c r="K201" s="1651"/>
      <c r="L201" s="1651"/>
      <c r="N201" s="1170"/>
      <c r="O201" s="1646"/>
      <c r="P201" s="1646"/>
      <c r="Q201" s="1170"/>
      <c r="R201" s="1170"/>
      <c r="S201" s="1170"/>
      <c r="T201" s="1170"/>
      <c r="U201" s="1646"/>
      <c r="V201" s="1170"/>
      <c r="W201" s="1170"/>
      <c r="X201" s="554"/>
      <c r="Y201" s="1170"/>
      <c r="Z201" s="1170"/>
      <c r="AA201" s="1170"/>
      <c r="AB201" s="1170"/>
      <c r="AC201" s="1170"/>
      <c r="AD201" s="1642"/>
      <c r="AE201" s="576"/>
      <c r="AF201" s="576"/>
      <c r="AG201" s="576"/>
      <c r="AH201" s="576"/>
      <c r="AI201" s="1651">
        <v>11</v>
      </c>
    </row>
    <row s="1651" customFormat="1" customHeight="1" ht="11.549999999999999">
      <c r="A202" s="997"/>
      <c r="B202" s="1646"/>
      <c r="C202" s="1646"/>
      <c r="D202" s="361"/>
      <c r="J202" s="1651"/>
      <c r="K202" s="1651"/>
      <c r="L202" s="1651"/>
      <c r="N202" s="1170"/>
      <c r="O202" s="1646"/>
      <c r="P202" s="1646"/>
      <c r="Q202" s="1170"/>
      <c r="R202" s="1170"/>
      <c r="S202" s="1170"/>
      <c r="T202" s="1170"/>
      <c r="U202" s="1646"/>
      <c r="V202" s="1170"/>
      <c r="W202" s="1170"/>
      <c r="X202" s="554"/>
      <c r="Y202" s="1170"/>
      <c r="Z202" s="1170"/>
      <c r="AA202" s="1170"/>
      <c r="AB202" s="1170"/>
      <c r="AC202" s="1170"/>
      <c r="AD202" s="1642"/>
      <c r="AE202" s="576"/>
      <c r="AF202" s="576"/>
      <c r="AG202" s="576"/>
      <c r="AH202" s="576"/>
      <c r="AI202" s="1651">
        <v>11</v>
      </c>
    </row>
    <row s="1651" customFormat="1" customHeight="1" ht="11.549999999999999">
      <c r="A203" s="997"/>
      <c r="B203" s="1646"/>
      <c r="C203" s="1646"/>
      <c r="D203" s="361"/>
      <c r="J203" s="1651"/>
      <c r="K203" s="1651"/>
      <c r="L203" s="1651"/>
      <c r="N203" s="1170"/>
      <c r="O203" s="1646"/>
      <c r="P203" s="1646"/>
      <c r="Q203" s="1170"/>
      <c r="R203" s="1170"/>
      <c r="S203" s="1170"/>
      <c r="T203" s="1170"/>
      <c r="U203" s="1646"/>
      <c r="V203" s="1170"/>
      <c r="W203" s="1170"/>
      <c r="X203" s="554"/>
      <c r="Y203" s="1170"/>
      <c r="Z203" s="1170"/>
      <c r="AA203" s="1170"/>
      <c r="AB203" s="1170"/>
      <c r="AC203" s="1170"/>
      <c r="AD203" s="1642"/>
      <c r="AE203" s="576"/>
      <c r="AF203" s="576"/>
      <c r="AG203" s="576"/>
      <c r="AH203" s="576"/>
      <c r="AI203" s="1651">
        <v>11</v>
      </c>
    </row>
    <row s="1651" customFormat="1" customHeight="1" ht="11.549999999999999">
      <c r="A204" s="997"/>
      <c r="B204" s="1646"/>
      <c r="C204" s="1646"/>
      <c r="D204" s="361"/>
      <c r="J204" s="1651"/>
      <c r="K204" s="1651"/>
      <c r="L204" s="1651"/>
      <c r="N204" s="1170"/>
      <c r="O204" s="1646"/>
      <c r="P204" s="1646"/>
      <c r="Q204" s="1170"/>
      <c r="R204" s="1170"/>
      <c r="S204" s="1170"/>
      <c r="T204" s="1170"/>
      <c r="U204" s="1646"/>
      <c r="V204" s="1170"/>
      <c r="W204" s="1170"/>
      <c r="X204" s="554"/>
      <c r="Y204" s="1170"/>
      <c r="Z204" s="1170"/>
      <c r="AA204" s="1170"/>
      <c r="AB204" s="1170"/>
      <c r="AC204" s="1170"/>
      <c r="AD204" s="1642"/>
      <c r="AE204" s="576"/>
      <c r="AF204" s="576"/>
      <c r="AG204" s="576"/>
      <c r="AH204" s="576"/>
      <c r="AI204" s="1651">
        <v>11</v>
      </c>
    </row>
    <row s="1651" customFormat="1" customHeight="1" ht="11.549999999999999">
      <c r="A205" s="997"/>
      <c r="B205" s="1646"/>
      <c r="C205" s="1646"/>
      <c r="D205" s="361"/>
      <c r="J205" s="1651"/>
      <c r="K205" s="1651"/>
      <c r="L205" s="1651"/>
      <c r="N205" s="1170"/>
      <c r="O205" s="1646"/>
      <c r="P205" s="1646"/>
      <c r="Q205" s="1170"/>
      <c r="R205" s="1170"/>
      <c r="S205" s="1170"/>
      <c r="T205" s="1170"/>
      <c r="U205" s="1646"/>
      <c r="V205" s="1170"/>
      <c r="W205" s="1170"/>
      <c r="X205" s="554"/>
      <c r="Y205" s="1170"/>
      <c r="Z205" s="1170"/>
      <c r="AA205" s="1170"/>
      <c r="AB205" s="1170"/>
      <c r="AC205" s="1170"/>
      <c r="AD205" s="1642"/>
      <c r="AE205" s="576"/>
      <c r="AF205" s="576"/>
      <c r="AG205" s="576"/>
      <c r="AH205" s="576"/>
      <c r="AI205" s="1651">
        <v>11</v>
      </c>
    </row>
    <row s="1651" customFormat="1" customHeight="1" ht="11.549999999999999">
      <c r="A206" s="997"/>
      <c r="B206" s="1646"/>
      <c r="C206" s="1646"/>
      <c r="D206" s="361"/>
      <c r="J206" s="1651"/>
      <c r="K206" s="1651"/>
      <c r="L206" s="1651"/>
      <c r="N206" s="1170"/>
      <c r="O206" s="1646"/>
      <c r="P206" s="1646"/>
      <c r="Q206" s="1170"/>
      <c r="R206" s="1170"/>
      <c r="S206" s="1170"/>
      <c r="T206" s="1170"/>
      <c r="U206" s="1646"/>
      <c r="V206" s="1170"/>
      <c r="W206" s="1170"/>
      <c r="X206" s="554"/>
      <c r="Y206" s="1170"/>
      <c r="Z206" s="1170"/>
      <c r="AA206" s="1170"/>
      <c r="AB206" s="1170"/>
      <c r="AC206" s="1170"/>
      <c r="AD206" s="1642"/>
      <c r="AE206" s="576"/>
      <c r="AF206" s="576"/>
      <c r="AG206" s="576"/>
      <c r="AH206" s="576"/>
      <c r="AI206" s="1651">
        <v>11</v>
      </c>
    </row>
    <row s="1651" customFormat="1" customHeight="1" ht="11.549999999999999">
      <c r="A207" s="997"/>
      <c r="B207" s="1646"/>
      <c r="C207" s="1646"/>
      <c r="D207" s="361"/>
      <c r="J207" s="1651"/>
      <c r="K207" s="1651"/>
      <c r="L207" s="1651"/>
      <c r="N207" s="1170"/>
      <c r="O207" s="1646"/>
      <c r="P207" s="1646"/>
      <c r="Q207" s="1170"/>
      <c r="R207" s="1170"/>
      <c r="S207" s="1170"/>
      <c r="T207" s="1170"/>
      <c r="U207" s="1646"/>
      <c r="V207" s="1170"/>
      <c r="W207" s="1170"/>
      <c r="X207" s="554"/>
      <c r="Y207" s="1170"/>
      <c r="Z207" s="1170"/>
      <c r="AA207" s="1170"/>
      <c r="AB207" s="1170"/>
      <c r="AC207" s="1170"/>
      <c r="AD207" s="1642"/>
      <c r="AE207" s="576"/>
      <c r="AF207" s="576"/>
      <c r="AG207" s="576"/>
      <c r="AH207" s="576"/>
      <c r="AI207" s="1651">
        <v>11</v>
      </c>
    </row>
    <row s="1651" customFormat="1" customHeight="1" ht="11.549999999999999">
      <c r="A208" s="997"/>
      <c r="B208" s="1646"/>
      <c r="C208" s="1646"/>
      <c r="D208" s="361"/>
      <c r="J208" s="1651"/>
      <c r="K208" s="1651"/>
      <c r="L208" s="1651"/>
      <c r="N208" s="1170"/>
      <c r="O208" s="1646"/>
      <c r="P208" s="1646"/>
      <c r="Q208" s="1170"/>
      <c r="R208" s="1170"/>
      <c r="S208" s="1170"/>
      <c r="T208" s="1170"/>
      <c r="U208" s="1646"/>
      <c r="V208" s="1170"/>
      <c r="W208" s="1170"/>
      <c r="X208" s="554"/>
      <c r="Y208" s="1170"/>
      <c r="Z208" s="1170"/>
      <c r="AA208" s="1170"/>
      <c r="AB208" s="1170"/>
      <c r="AC208" s="1170"/>
      <c r="AD208" s="1642"/>
      <c r="AE208" s="576"/>
      <c r="AF208" s="576"/>
      <c r="AG208" s="576"/>
      <c r="AH208" s="576"/>
      <c r="AI208" s="1651">
        <v>11</v>
      </c>
    </row>
    <row s="1651" customFormat="1" customHeight="1" ht="11.549999999999999">
      <c r="A209" s="997"/>
      <c r="B209" s="1646"/>
      <c r="C209" s="1646"/>
      <c r="D209" s="361"/>
      <c r="J209" s="1651"/>
      <c r="K209" s="1651"/>
      <c r="L209" s="1651"/>
      <c r="N209" s="1170"/>
      <c r="O209" s="1646"/>
      <c r="P209" s="1646"/>
      <c r="Q209" s="1170"/>
      <c r="R209" s="1170"/>
      <c r="S209" s="1170"/>
      <c r="T209" s="1170"/>
      <c r="U209" s="1646"/>
      <c r="V209" s="1170"/>
      <c r="W209" s="1170"/>
      <c r="X209" s="554"/>
      <c r="Y209" s="1170"/>
      <c r="Z209" s="1170"/>
      <c r="AA209" s="1170"/>
      <c r="AB209" s="1170"/>
      <c r="AC209" s="1170"/>
      <c r="AD209" s="1642"/>
      <c r="AE209" s="576"/>
      <c r="AF209" s="576"/>
      <c r="AG209" s="576"/>
      <c r="AH209" s="576"/>
      <c r="AI209" s="1651">
        <v>11</v>
      </c>
    </row>
    <row s="1651" customFormat="1" customHeight="1" ht="11.549999999999999">
      <c r="A210" s="997"/>
      <c r="B210" s="1646"/>
      <c r="C210" s="1646"/>
      <c r="D210" s="361"/>
      <c r="J210" s="1651"/>
      <c r="K210" s="1651"/>
      <c r="L210" s="1651"/>
      <c r="N210" s="1170"/>
      <c r="O210" s="1646"/>
      <c r="P210" s="1646"/>
      <c r="Q210" s="1170"/>
      <c r="R210" s="1170"/>
      <c r="S210" s="1170"/>
      <c r="T210" s="1170"/>
      <c r="U210" s="1646"/>
      <c r="V210" s="1170"/>
      <c r="W210" s="1170"/>
      <c r="X210" s="554"/>
      <c r="Y210" s="1170"/>
      <c r="Z210" s="1170"/>
      <c r="AA210" s="1170"/>
      <c r="AB210" s="1170"/>
      <c r="AC210" s="1170"/>
      <c r="AD210" s="1642"/>
      <c r="AE210" s="576"/>
      <c r="AF210" s="576"/>
      <c r="AG210" s="576"/>
      <c r="AH210" s="576"/>
      <c r="AI210" s="1651">
        <v>11</v>
      </c>
    </row>
    <row s="1651" customFormat="1" customHeight="1" ht="11.549999999999999">
      <c r="A211" s="997"/>
      <c r="B211" s="1646"/>
      <c r="C211" s="1646"/>
      <c r="D211" s="361"/>
      <c r="J211" s="1651"/>
      <c r="K211" s="1651"/>
      <c r="L211" s="1651"/>
      <c r="N211" s="1170"/>
      <c r="O211" s="1646"/>
      <c r="P211" s="1646"/>
      <c r="Q211" s="1170"/>
      <c r="R211" s="1170"/>
      <c r="S211" s="1170"/>
      <c r="T211" s="1170"/>
      <c r="U211" s="1646"/>
      <c r="V211" s="1170"/>
      <c r="W211" s="1170"/>
      <c r="X211" s="554"/>
      <c r="Y211" s="1170"/>
      <c r="Z211" s="1170"/>
      <c r="AA211" s="1170"/>
      <c r="AB211" s="1170"/>
      <c r="AC211" s="1170"/>
      <c r="AD211" s="1642"/>
      <c r="AE211" s="576"/>
      <c r="AF211" s="576"/>
      <c r="AG211" s="576"/>
      <c r="AH211" s="576"/>
      <c r="AI211" s="1651">
        <v>11</v>
      </c>
    </row>
    <row s="1651" customFormat="1" customHeight="1" ht="11.549999999999999">
      <c r="A212" s="997"/>
      <c r="B212" s="1646"/>
      <c r="C212" s="1646"/>
      <c r="D212" s="361"/>
      <c r="J212" s="1651"/>
      <c r="K212" s="1651"/>
      <c r="L212" s="1651"/>
      <c r="N212" s="1170"/>
      <c r="O212" s="1646"/>
      <c r="P212" s="1646"/>
      <c r="Q212" s="1170"/>
      <c r="R212" s="1170"/>
      <c r="S212" s="1170"/>
      <c r="T212" s="1170"/>
      <c r="U212" s="1646"/>
      <c r="V212" s="1170"/>
      <c r="W212" s="1170"/>
      <c r="X212" s="554"/>
      <c r="Y212" s="1170"/>
      <c r="Z212" s="1170"/>
      <c r="AA212" s="1170"/>
      <c r="AB212" s="1170"/>
      <c r="AC212" s="1170"/>
      <c r="AD212" s="1642"/>
      <c r="AE212" s="576"/>
      <c r="AF212" s="576"/>
      <c r="AG212" s="576"/>
      <c r="AH212" s="576"/>
      <c r="AI212" s="1651">
        <v>11</v>
      </c>
    </row>
    <row s="1651" customFormat="1" customHeight="1" ht="11.549999999999999">
      <c r="A213" s="997"/>
      <c r="B213" s="1646"/>
      <c r="C213" s="1646"/>
      <c r="D213" s="361"/>
      <c r="J213" s="1651"/>
      <c r="K213" s="1651"/>
      <c r="L213" s="1651"/>
      <c r="N213" s="1170"/>
      <c r="O213" s="1646"/>
      <c r="P213" s="1646"/>
      <c r="Q213" s="1170"/>
      <c r="R213" s="1170"/>
      <c r="S213" s="1170"/>
      <c r="T213" s="1170"/>
      <c r="U213" s="1646"/>
      <c r="V213" s="1170"/>
      <c r="W213" s="1170"/>
      <c r="X213" s="554"/>
      <c r="Y213" s="1170"/>
      <c r="Z213" s="1170"/>
      <c r="AA213" s="1170"/>
      <c r="AB213" s="1170"/>
      <c r="AC213" s="1170"/>
      <c r="AD213" s="1642"/>
      <c r="AE213" s="576"/>
      <c r="AF213" s="576"/>
      <c r="AG213" s="576"/>
      <c r="AH213" s="576"/>
      <c r="AI213" s="1651">
        <v>11</v>
      </c>
    </row>
    <row s="1651" customFormat="1" customHeight="1" ht="11.549999999999999">
      <c r="A214" s="997"/>
      <c r="B214" s="1646"/>
      <c r="C214" s="1646"/>
      <c r="D214" s="361"/>
      <c r="J214" s="1651"/>
      <c r="K214" s="1651"/>
      <c r="L214" s="1651"/>
      <c r="N214" s="1170"/>
      <c r="O214" s="1646"/>
      <c r="P214" s="1646"/>
      <c r="Q214" s="1170"/>
      <c r="R214" s="1170"/>
      <c r="S214" s="1170"/>
      <c r="T214" s="1170"/>
      <c r="U214" s="1646"/>
      <c r="V214" s="1170"/>
      <c r="W214" s="1170"/>
      <c r="X214" s="554"/>
      <c r="Y214" s="1170"/>
      <c r="Z214" s="1170"/>
      <c r="AA214" s="1170"/>
      <c r="AB214" s="1170"/>
      <c r="AC214" s="1170"/>
      <c r="AD214" s="1642"/>
      <c r="AE214" s="576"/>
      <c r="AF214" s="576"/>
      <c r="AG214" s="576"/>
      <c r="AH214" s="576"/>
      <c r="AI214" s="1651">
        <v>11</v>
      </c>
    </row>
    <row s="1651" customFormat="1" customHeight="1" ht="11.549999999999999">
      <c r="A215" s="997"/>
      <c r="B215" s="1646"/>
      <c r="C215" s="1646"/>
      <c r="D215" s="361"/>
      <c r="J215" s="1651"/>
      <c r="K215" s="1651"/>
      <c r="L215" s="1651"/>
      <c r="N215" s="1170"/>
      <c r="O215" s="1646"/>
      <c r="P215" s="1646"/>
      <c r="Q215" s="1170"/>
      <c r="R215" s="1170"/>
      <c r="S215" s="1170"/>
      <c r="T215" s="1170"/>
      <c r="U215" s="1646"/>
      <c r="V215" s="1170"/>
      <c r="W215" s="1170"/>
      <c r="X215" s="554"/>
      <c r="Y215" s="1170"/>
      <c r="Z215" s="1170"/>
      <c r="AA215" s="1170"/>
      <c r="AB215" s="1170"/>
      <c r="AC215" s="1170"/>
      <c r="AD215" s="1642"/>
      <c r="AE215" s="576"/>
      <c r="AF215" s="576"/>
      <c r="AG215" s="576"/>
      <c r="AH215" s="576"/>
      <c r="AI215" s="1651">
        <v>11</v>
      </c>
    </row>
    <row s="1651" customFormat="1" customHeight="1" ht="11.549999999999999">
      <c r="A216" s="997"/>
      <c r="B216" s="1646"/>
      <c r="C216" s="1646"/>
      <c r="D216" s="361"/>
      <c r="J216" s="1651"/>
      <c r="K216" s="1651"/>
      <c r="L216" s="1651"/>
      <c r="N216" s="1170"/>
      <c r="O216" s="1646"/>
      <c r="P216" s="1646"/>
      <c r="Q216" s="1170"/>
      <c r="R216" s="1170"/>
      <c r="S216" s="1170"/>
      <c r="T216" s="1170"/>
      <c r="U216" s="1646"/>
      <c r="V216" s="1170"/>
      <c r="W216" s="1170"/>
      <c r="X216" s="554"/>
      <c r="Y216" s="1170"/>
      <c r="Z216" s="1170"/>
      <c r="AA216" s="1170"/>
      <c r="AB216" s="1170"/>
      <c r="AC216" s="1170"/>
      <c r="AD216" s="1642"/>
      <c r="AE216" s="576"/>
      <c r="AF216" s="576"/>
      <c r="AG216" s="576"/>
      <c r="AH216" s="576"/>
      <c r="AI216" s="1651">
        <v>11</v>
      </c>
    </row>
    <row s="1651" customFormat="1" customHeight="1" ht="11.549999999999999">
      <c r="A217" s="997"/>
      <c r="B217" s="1646"/>
      <c r="C217" s="1646"/>
      <c r="D217" s="361"/>
      <c r="J217" s="1651"/>
      <c r="K217" s="1651"/>
      <c r="L217" s="1651"/>
      <c r="N217" s="1170"/>
      <c r="O217" s="1646"/>
      <c r="P217" s="1646"/>
      <c r="Q217" s="1170"/>
      <c r="R217" s="1170"/>
      <c r="S217" s="1170"/>
      <c r="T217" s="1170"/>
      <c r="U217" s="1646"/>
      <c r="V217" s="1170"/>
      <c r="W217" s="1170"/>
      <c r="X217" s="554"/>
      <c r="Y217" s="1170"/>
      <c r="Z217" s="1170"/>
      <c r="AA217" s="1170"/>
      <c r="AB217" s="1170"/>
      <c r="AC217" s="1170"/>
      <c r="AD217" s="1642"/>
      <c r="AE217" s="576"/>
      <c r="AF217" s="576"/>
      <c r="AG217" s="576"/>
      <c r="AH217" s="576"/>
      <c r="AI217" s="1651">
        <v>11</v>
      </c>
    </row>
    <row s="1651" customFormat="1" customHeight="1" ht="11.549999999999999">
      <c r="A218" s="997"/>
      <c r="B218" s="1646"/>
      <c r="C218" s="1646"/>
      <c r="D218" s="361"/>
      <c r="J218" s="1651"/>
      <c r="K218" s="1651"/>
      <c r="L218" s="1651"/>
      <c r="N218" s="1170"/>
      <c r="O218" s="1646"/>
      <c r="P218" s="1646"/>
      <c r="Q218" s="1170"/>
      <c r="R218" s="1170"/>
      <c r="S218" s="1170"/>
      <c r="T218" s="1170"/>
      <c r="U218" s="1646"/>
      <c r="V218" s="1170"/>
      <c r="W218" s="1170"/>
      <c r="X218" s="554"/>
      <c r="Y218" s="1170"/>
      <c r="Z218" s="1170"/>
      <c r="AA218" s="1170"/>
      <c r="AB218" s="1170"/>
      <c r="AC218" s="1170"/>
      <c r="AD218" s="1642"/>
      <c r="AE218" s="576"/>
      <c r="AF218" s="576"/>
      <c r="AG218" s="576"/>
      <c r="AH218" s="576"/>
      <c r="AI218" s="1651">
        <v>11</v>
      </c>
    </row>
    <row s="1651" customFormat="1" customHeight="1" ht="11.549999999999999">
      <c r="A219" s="997"/>
      <c r="B219" s="1646"/>
      <c r="C219" s="1646"/>
      <c r="D219" s="361"/>
      <c r="J219" s="1651"/>
      <c r="K219" s="1651"/>
      <c r="L219" s="1651"/>
      <c r="N219" s="1170"/>
      <c r="O219" s="1646"/>
      <c r="P219" s="1646"/>
      <c r="Q219" s="1170"/>
      <c r="R219" s="1170"/>
      <c r="S219" s="1170"/>
      <c r="T219" s="1170"/>
      <c r="U219" s="1646"/>
      <c r="V219" s="1170"/>
      <c r="W219" s="1170"/>
      <c r="X219" s="554"/>
      <c r="Y219" s="1170"/>
      <c r="Z219" s="1170"/>
      <c r="AA219" s="1170"/>
      <c r="AB219" s="1170"/>
      <c r="AC219" s="1170"/>
      <c r="AD219" s="1642"/>
      <c r="AE219" s="576"/>
      <c r="AF219" s="576"/>
      <c r="AG219" s="576"/>
      <c r="AH219" s="576"/>
      <c r="AI219" s="1651">
        <v>11</v>
      </c>
    </row>
    <row s="1651" customFormat="1" customHeight="1" ht="11.549999999999999">
      <c r="A220" s="997"/>
      <c r="B220" s="1646"/>
      <c r="C220" s="1646"/>
      <c r="D220" s="361"/>
      <c r="J220" s="1651"/>
      <c r="K220" s="1651"/>
      <c r="L220" s="1651"/>
      <c r="N220" s="1170"/>
      <c r="O220" s="1646"/>
      <c r="P220" s="1646"/>
      <c r="Q220" s="1170"/>
      <c r="R220" s="1170"/>
      <c r="S220" s="1170"/>
      <c r="T220" s="1170"/>
      <c r="U220" s="1646"/>
      <c r="V220" s="1170"/>
      <c r="W220" s="1170"/>
      <c r="X220" s="554"/>
      <c r="Y220" s="1170"/>
      <c r="Z220" s="1170"/>
      <c r="AA220" s="1170"/>
      <c r="AB220" s="1170"/>
      <c r="AC220" s="1170"/>
      <c r="AD220" s="1642"/>
      <c r="AE220" s="576"/>
      <c r="AF220" s="576"/>
      <c r="AG220" s="576"/>
      <c r="AH220" s="576"/>
      <c r="AI220" s="1651">
        <v>11</v>
      </c>
    </row>
    <row s="1651" customFormat="1" customHeight="1" ht="11.549999999999999">
      <c r="A221" s="997"/>
      <c r="B221" s="1646"/>
      <c r="C221" s="1646"/>
      <c r="D221" s="361"/>
      <c r="J221" s="1651"/>
      <c r="K221" s="1651"/>
      <c r="L221" s="1651"/>
      <c r="N221" s="1170"/>
      <c r="O221" s="1646"/>
      <c r="P221" s="1646"/>
      <c r="Q221" s="1170"/>
      <c r="R221" s="1170"/>
      <c r="S221" s="1170"/>
      <c r="T221" s="1170"/>
      <c r="U221" s="1646"/>
      <c r="V221" s="1170"/>
      <c r="W221" s="1170"/>
      <c r="X221" s="554"/>
      <c r="Y221" s="1170"/>
      <c r="Z221" s="1170"/>
      <c r="AA221" s="1170"/>
      <c r="AB221" s="1170"/>
      <c r="AC221" s="1170"/>
      <c r="AD221" s="1642"/>
      <c r="AE221" s="576"/>
      <c r="AF221" s="576"/>
      <c r="AG221" s="576"/>
      <c r="AH221" s="576"/>
      <c r="AI221" s="1651">
        <v>11</v>
      </c>
    </row>
    <row s="1651" customFormat="1" customHeight="1" ht="11.549999999999999">
      <c r="A222" s="997"/>
      <c r="B222" s="1646"/>
      <c r="C222" s="1646"/>
      <c r="D222" s="361"/>
      <c r="J222" s="1651"/>
      <c r="K222" s="1651"/>
      <c r="L222" s="1651"/>
      <c r="N222" s="1170"/>
      <c r="O222" s="1646"/>
      <c r="P222" s="1646"/>
      <c r="Q222" s="1170"/>
      <c r="R222" s="1170"/>
      <c r="S222" s="1170"/>
      <c r="T222" s="1170"/>
      <c r="U222" s="1646"/>
      <c r="V222" s="1170"/>
      <c r="W222" s="1170"/>
      <c r="X222" s="554"/>
      <c r="Y222" s="1170"/>
      <c r="Z222" s="1170"/>
      <c r="AA222" s="1170"/>
      <c r="AB222" s="1170"/>
      <c r="AC222" s="1170"/>
      <c r="AD222" s="1642"/>
      <c r="AE222" s="576"/>
      <c r="AF222" s="576"/>
      <c r="AG222" s="576"/>
      <c r="AH222" s="576"/>
      <c r="AI222" s="1651">
        <v>11</v>
      </c>
    </row>
    <row s="1651" customFormat="1" customHeight="1" ht="11.549999999999999">
      <c r="A223" s="997"/>
      <c r="B223" s="1646"/>
      <c r="C223" s="1646"/>
      <c r="D223" s="361"/>
      <c r="J223" s="1651"/>
      <c r="K223" s="1651"/>
      <c r="L223" s="1651"/>
      <c r="N223" s="1170"/>
      <c r="O223" s="1646"/>
      <c r="P223" s="1646"/>
      <c r="Q223" s="1170"/>
      <c r="R223" s="1170"/>
      <c r="S223" s="1170"/>
      <c r="T223" s="1170"/>
      <c r="U223" s="1646"/>
      <c r="V223" s="1170"/>
      <c r="W223" s="1170"/>
      <c r="X223" s="554"/>
      <c r="Y223" s="1170"/>
      <c r="Z223" s="1170"/>
      <c r="AA223" s="1170"/>
      <c r="AB223" s="1170"/>
      <c r="AC223" s="1170"/>
      <c r="AD223" s="1642"/>
      <c r="AE223" s="576"/>
      <c r="AF223" s="576"/>
      <c r="AG223" s="576"/>
      <c r="AH223" s="576"/>
      <c r="AI223" s="1651">
        <v>11</v>
      </c>
    </row>
    <row s="1651" customFormat="1" customHeight="1" ht="11.549999999999999">
      <c r="A224" s="997"/>
      <c r="B224" s="1646"/>
      <c r="C224" s="1646"/>
      <c r="D224" s="361"/>
      <c r="J224" s="1651"/>
      <c r="K224" s="1651"/>
      <c r="L224" s="1651"/>
      <c r="N224" s="1170"/>
      <c r="O224" s="1646"/>
      <c r="P224" s="1646"/>
      <c r="Q224" s="1170"/>
      <c r="R224" s="1170"/>
      <c r="S224" s="1170"/>
      <c r="T224" s="1170"/>
      <c r="U224" s="1646"/>
      <c r="V224" s="1170"/>
      <c r="W224" s="1170"/>
      <c r="X224" s="554"/>
      <c r="Y224" s="1170"/>
      <c r="Z224" s="1170"/>
      <c r="AA224" s="1170"/>
      <c r="AB224" s="1170"/>
      <c r="AC224" s="1170"/>
      <c r="AD224" s="1642"/>
      <c r="AE224" s="576"/>
      <c r="AF224" s="576"/>
      <c r="AG224" s="576"/>
      <c r="AH224" s="576"/>
      <c r="AI224" s="1651">
        <v>11</v>
      </c>
    </row>
    <row s="1651" customFormat="1" customHeight="1" ht="11.549999999999999">
      <c r="A225" s="997"/>
      <c r="B225" s="1646"/>
      <c r="C225" s="1646"/>
      <c r="D225" s="361"/>
      <c r="J225" s="1651"/>
      <c r="K225" s="1651"/>
      <c r="L225" s="1651"/>
      <c r="N225" s="1170"/>
      <c r="O225" s="1646"/>
      <c r="P225" s="1646"/>
      <c r="Q225" s="1170"/>
      <c r="R225" s="1170"/>
      <c r="S225" s="1170"/>
      <c r="T225" s="1170"/>
      <c r="U225" s="1646"/>
      <c r="V225" s="1170"/>
      <c r="W225" s="1170"/>
      <c r="X225" s="554"/>
      <c r="Y225" s="1170"/>
      <c r="Z225" s="1170"/>
      <c r="AA225" s="1170"/>
      <c r="AB225" s="1170"/>
      <c r="AC225" s="1170"/>
      <c r="AD225" s="1642"/>
      <c r="AE225" s="576"/>
      <c r="AF225" s="576"/>
      <c r="AG225" s="576"/>
      <c r="AH225" s="576"/>
      <c r="AI225" s="1651">
        <v>11</v>
      </c>
    </row>
    <row s="1651" customFormat="1" customHeight="1" ht="11.549999999999999">
      <c r="A226" s="997"/>
      <c r="B226" s="1646"/>
      <c r="C226" s="1646"/>
      <c r="D226" s="361"/>
      <c r="J226" s="1651"/>
      <c r="K226" s="1651"/>
      <c r="L226" s="1651"/>
      <c r="N226" s="1170"/>
      <c r="O226" s="1646"/>
      <c r="P226" s="1646"/>
      <c r="Q226" s="1170"/>
      <c r="R226" s="1170"/>
      <c r="S226" s="1170"/>
      <c r="T226" s="1170"/>
      <c r="U226" s="1646"/>
      <c r="V226" s="1170"/>
      <c r="W226" s="1170"/>
      <c r="X226" s="554"/>
      <c r="Y226" s="1170"/>
      <c r="Z226" s="1170"/>
      <c r="AA226" s="1170"/>
      <c r="AB226" s="1170"/>
      <c r="AC226" s="1170"/>
      <c r="AD226" s="1642"/>
      <c r="AE226" s="576"/>
      <c r="AF226" s="576"/>
      <c r="AG226" s="576"/>
      <c r="AH226" s="576"/>
      <c r="AI226" s="1651">
        <v>11</v>
      </c>
    </row>
    <row s="1651" customFormat="1" customHeight="1" ht="11.549999999999999">
      <c r="A227" s="997"/>
      <c r="B227" s="1646"/>
      <c r="C227" s="1646"/>
      <c r="D227" s="361"/>
      <c r="J227" s="1651"/>
      <c r="K227" s="1651"/>
      <c r="L227" s="1651"/>
      <c r="N227" s="1170"/>
      <c r="O227" s="1646"/>
      <c r="P227" s="1646"/>
      <c r="Q227" s="1170"/>
      <c r="R227" s="1170"/>
      <c r="S227" s="1170"/>
      <c r="T227" s="1170"/>
      <c r="U227" s="1646"/>
      <c r="V227" s="1170"/>
      <c r="W227" s="1170"/>
      <c r="X227" s="554"/>
      <c r="Y227" s="1170"/>
      <c r="Z227" s="1170"/>
      <c r="AA227" s="1170"/>
      <c r="AB227" s="1170"/>
      <c r="AC227" s="1170"/>
      <c r="AD227" s="1642"/>
      <c r="AE227" s="576"/>
      <c r="AF227" s="576"/>
      <c r="AG227" s="576"/>
      <c r="AH227" s="576"/>
      <c r="AI227" s="1651">
        <v>11</v>
      </c>
    </row>
    <row s="1651" customFormat="1" customHeight="1" ht="11.549999999999999">
      <c r="A228" s="997"/>
      <c r="B228" s="1646"/>
      <c r="C228" s="1646"/>
      <c r="D228" s="361"/>
      <c r="J228" s="1651"/>
      <c r="K228" s="1651"/>
      <c r="L228" s="1651"/>
      <c r="N228" s="1170"/>
      <c r="O228" s="1646"/>
      <c r="P228" s="1646"/>
      <c r="Q228" s="1170"/>
      <c r="R228" s="1170"/>
      <c r="S228" s="1170"/>
      <c r="T228" s="1170"/>
      <c r="U228" s="1646"/>
      <c r="V228" s="1170"/>
      <c r="W228" s="1170"/>
      <c r="X228" s="554"/>
      <c r="Y228" s="1170"/>
      <c r="Z228" s="1170"/>
      <c r="AA228" s="1170"/>
      <c r="AB228" s="1170"/>
      <c r="AC228" s="1170"/>
      <c r="AD228" s="1642"/>
      <c r="AE228" s="576"/>
      <c r="AF228" s="576"/>
      <c r="AG228" s="576"/>
      <c r="AH228" s="576"/>
      <c r="AI228" s="1651">
        <v>11</v>
      </c>
    </row>
    <row s="1651" customFormat="1" customHeight="1" ht="11.549999999999999">
      <c r="A229" s="997"/>
      <c r="B229" s="1646"/>
      <c r="C229" s="1646"/>
      <c r="D229" s="361"/>
      <c r="J229" s="1651"/>
      <c r="K229" s="1651"/>
      <c r="L229" s="1651"/>
      <c r="N229" s="1170"/>
      <c r="O229" s="1646"/>
      <c r="P229" s="1646"/>
      <c r="Q229" s="1170"/>
      <c r="R229" s="1170"/>
      <c r="S229" s="1170"/>
      <c r="T229" s="1170"/>
      <c r="U229" s="1646"/>
      <c r="V229" s="1170"/>
      <c r="W229" s="1170"/>
      <c r="X229" s="554"/>
      <c r="Y229" s="1170"/>
      <c r="Z229" s="1170"/>
      <c r="AA229" s="1170"/>
      <c r="AB229" s="1170"/>
      <c r="AC229" s="1170"/>
      <c r="AD229" s="1642"/>
      <c r="AE229" s="576"/>
      <c r="AF229" s="576"/>
      <c r="AG229" s="576"/>
      <c r="AH229" s="576"/>
      <c r="AI229" s="1651">
        <v>11</v>
      </c>
    </row>
    <row s="1651" customFormat="1" customHeight="1" ht="11.549999999999999">
      <c r="A230" s="997"/>
      <c r="B230" s="1646"/>
      <c r="C230" s="1646"/>
      <c r="D230" s="361"/>
      <c r="J230" s="1651"/>
      <c r="K230" s="1651"/>
      <c r="L230" s="1651"/>
      <c r="N230" s="1170"/>
      <c r="O230" s="1646"/>
      <c r="P230" s="1646"/>
      <c r="Q230" s="1170"/>
      <c r="R230" s="1170"/>
      <c r="S230" s="1170"/>
      <c r="T230" s="1170"/>
      <c r="U230" s="1646"/>
      <c r="V230" s="1170"/>
      <c r="W230" s="1170"/>
      <c r="X230" s="554"/>
      <c r="Y230" s="1170"/>
      <c r="Z230" s="1170"/>
      <c r="AA230" s="1170"/>
      <c r="AB230" s="1170"/>
      <c r="AC230" s="1170"/>
      <c r="AD230" s="1642"/>
      <c r="AE230" s="576"/>
      <c r="AF230" s="576"/>
      <c r="AG230" s="576"/>
      <c r="AH230" s="576"/>
      <c r="AI230" s="1651">
        <v>11</v>
      </c>
    </row>
    <row s="1651" customFormat="1" customHeight="1" ht="11.549999999999999">
      <c r="A231" s="997"/>
      <c r="B231" s="1646"/>
      <c r="C231" s="1646"/>
      <c r="D231" s="361"/>
      <c r="J231" s="1651"/>
      <c r="K231" s="1651"/>
      <c r="L231" s="1651"/>
      <c r="N231" s="1170"/>
      <c r="O231" s="1646"/>
      <c r="P231" s="1646"/>
      <c r="Q231" s="1170"/>
      <c r="R231" s="1170"/>
      <c r="S231" s="1170"/>
      <c r="T231" s="1170"/>
      <c r="U231" s="1646"/>
      <c r="V231" s="1170"/>
      <c r="W231" s="1170"/>
      <c r="X231" s="554"/>
      <c r="Y231" s="1170"/>
      <c r="Z231" s="1170"/>
      <c r="AA231" s="1170"/>
      <c r="AB231" s="1170"/>
      <c r="AC231" s="1170"/>
      <c r="AD231" s="1642"/>
      <c r="AE231" s="576"/>
      <c r="AF231" s="576"/>
      <c r="AG231" s="576"/>
      <c r="AH231" s="576"/>
      <c r="AI231" s="1651">
        <v>11</v>
      </c>
    </row>
    <row s="1651" customFormat="1" customHeight="1" ht="11.549999999999999">
      <c r="A232" s="997"/>
      <c r="B232" s="1646"/>
      <c r="C232" s="1646"/>
      <c r="D232" s="361"/>
      <c r="J232" s="1651"/>
      <c r="K232" s="1651"/>
      <c r="L232" s="1651"/>
      <c r="N232" s="1170"/>
      <c r="O232" s="1646"/>
      <c r="P232" s="1646"/>
      <c r="Q232" s="1170"/>
      <c r="R232" s="1170"/>
      <c r="S232" s="1170"/>
      <c r="T232" s="1170"/>
      <c r="U232" s="1646"/>
      <c r="V232" s="1170"/>
      <c r="W232" s="1170"/>
      <c r="X232" s="554"/>
      <c r="Y232" s="1170"/>
      <c r="Z232" s="1170"/>
      <c r="AA232" s="1170"/>
      <c r="AB232" s="1170"/>
      <c r="AC232" s="1170"/>
      <c r="AD232" s="1642"/>
      <c r="AE232" s="576"/>
      <c r="AF232" s="576"/>
      <c r="AG232" s="576"/>
      <c r="AH232" s="576"/>
      <c r="AI232" s="1651">
        <v>11</v>
      </c>
    </row>
    <row s="1651" customFormat="1" customHeight="1" ht="11.549999999999999">
      <c r="A233" s="997"/>
      <c r="B233" s="1646"/>
      <c r="C233" s="1646"/>
      <c r="D233" s="361"/>
      <c r="J233" s="1651"/>
      <c r="K233" s="1651"/>
      <c r="L233" s="1651"/>
      <c r="N233" s="1170"/>
      <c r="O233" s="1646"/>
      <c r="P233" s="1646"/>
      <c r="Q233" s="1170"/>
      <c r="R233" s="1170"/>
      <c r="S233" s="1170"/>
      <c r="T233" s="1170"/>
      <c r="U233" s="1646"/>
      <c r="V233" s="1170"/>
      <c r="W233" s="1170"/>
      <c r="X233" s="554"/>
      <c r="Y233" s="1170"/>
      <c r="Z233" s="1170"/>
      <c r="AA233" s="1170"/>
      <c r="AB233" s="1170"/>
      <c r="AC233" s="1170"/>
      <c r="AD233" s="1642"/>
      <c r="AE233" s="576"/>
      <c r="AF233" s="576"/>
      <c r="AG233" s="576"/>
      <c r="AH233" s="576"/>
      <c r="AI233" s="1651">
        <v>11</v>
      </c>
    </row>
    <row s="1651" customFormat="1" customHeight="1" ht="11.549999999999999">
      <c r="A234" s="997"/>
      <c r="B234" s="1646"/>
      <c r="C234" s="1646"/>
      <c r="D234" s="361"/>
      <c r="J234" s="1651"/>
      <c r="K234" s="1651"/>
      <c r="L234" s="1651"/>
      <c r="N234" s="1170"/>
      <c r="O234" s="1646"/>
      <c r="P234" s="1646"/>
      <c r="Q234" s="1170"/>
      <c r="R234" s="1170"/>
      <c r="S234" s="1170"/>
      <c r="T234" s="1170"/>
      <c r="U234" s="1646"/>
      <c r="V234" s="1170"/>
      <c r="W234" s="1170"/>
      <c r="X234" s="554"/>
      <c r="Y234" s="1170"/>
      <c r="Z234" s="1170"/>
      <c r="AA234" s="1170"/>
      <c r="AB234" s="1170"/>
      <c r="AC234" s="1170"/>
      <c r="AD234" s="1642"/>
      <c r="AE234" s="576"/>
      <c r="AF234" s="576"/>
      <c r="AG234" s="576"/>
      <c r="AH234" s="576"/>
      <c r="AI234" s="1651">
        <v>11</v>
      </c>
    </row>
    <row s="1651" customFormat="1" customHeight="1" ht="11.549999999999999">
      <c r="A235" s="997"/>
      <c r="B235" s="1646"/>
      <c r="C235" s="1646"/>
      <c r="D235" s="361"/>
      <c r="J235" s="1651"/>
      <c r="K235" s="1651"/>
      <c r="L235" s="1651"/>
      <c r="N235" s="1170"/>
      <c r="O235" s="1646"/>
      <c r="P235" s="1646"/>
      <c r="Q235" s="1170"/>
      <c r="R235" s="1170"/>
      <c r="S235" s="1170"/>
      <c r="T235" s="1170"/>
      <c r="U235" s="1646"/>
      <c r="V235" s="1170"/>
      <c r="W235" s="1170"/>
      <c r="X235" s="554"/>
      <c r="Y235" s="1170"/>
      <c r="Z235" s="1170"/>
      <c r="AA235" s="1170"/>
      <c r="AB235" s="1170"/>
      <c r="AC235" s="1170"/>
      <c r="AD235" s="1642"/>
      <c r="AE235" s="576"/>
      <c r="AF235" s="576"/>
      <c r="AG235" s="576"/>
      <c r="AH235" s="576"/>
      <c r="AI235" s="1651">
        <v>11</v>
      </c>
    </row>
    <row s="1651" customFormat="1" customHeight="1" ht="11.549999999999999">
      <c r="A236" s="997"/>
      <c r="B236" s="1646"/>
      <c r="C236" s="1646"/>
      <c r="D236" s="361"/>
      <c r="J236" s="1651"/>
      <c r="K236" s="1651"/>
      <c r="L236" s="1651"/>
      <c r="N236" s="1170"/>
      <c r="O236" s="1646"/>
      <c r="P236" s="1646"/>
      <c r="Q236" s="1170"/>
      <c r="R236" s="1170"/>
      <c r="S236" s="1170"/>
      <c r="T236" s="1170"/>
      <c r="U236" s="1646"/>
      <c r="V236" s="1170"/>
      <c r="W236" s="1170"/>
      <c r="X236" s="554"/>
      <c r="Y236" s="1170"/>
      <c r="Z236" s="1170"/>
      <c r="AA236" s="1170"/>
      <c r="AB236" s="1170"/>
      <c r="AC236" s="1170"/>
      <c r="AD236" s="1642"/>
      <c r="AE236" s="576"/>
      <c r="AF236" s="576"/>
      <c r="AG236" s="576"/>
      <c r="AH236" s="576"/>
      <c r="AI236" s="1651">
        <v>11</v>
      </c>
    </row>
    <row s="1651" customFormat="1" customHeight="1" ht="11.549999999999999">
      <c r="A237" s="997"/>
      <c r="B237" s="1646"/>
      <c r="C237" s="1646"/>
      <c r="D237" s="361"/>
      <c r="J237" s="1651"/>
      <c r="K237" s="1651"/>
      <c r="L237" s="1651"/>
      <c r="N237" s="1170"/>
      <c r="O237" s="1646"/>
      <c r="P237" s="1646"/>
      <c r="Q237" s="1170"/>
      <c r="R237" s="1170"/>
      <c r="S237" s="1170"/>
      <c r="T237" s="1170"/>
      <c r="U237" s="1646"/>
      <c r="V237" s="1170"/>
      <c r="W237" s="1170"/>
      <c r="X237" s="554"/>
      <c r="Y237" s="1170"/>
      <c r="Z237" s="1170"/>
      <c r="AA237" s="1170"/>
      <c r="AB237" s="1170"/>
      <c r="AC237" s="1170"/>
      <c r="AD237" s="1642"/>
      <c r="AE237" s="576"/>
      <c r="AF237" s="576"/>
      <c r="AG237" s="576"/>
      <c r="AH237" s="576"/>
      <c r="AI237" s="1651">
        <v>11</v>
      </c>
    </row>
    <row s="1651" customFormat="1" customHeight="1" ht="11.549999999999999">
      <c r="A238" s="997"/>
      <c r="B238" s="1646"/>
      <c r="C238" s="1646"/>
      <c r="D238" s="361"/>
      <c r="J238" s="1651"/>
      <c r="K238" s="1651"/>
      <c r="L238" s="1651"/>
      <c r="N238" s="1170"/>
      <c r="O238" s="1646"/>
      <c r="P238" s="1646"/>
      <c r="Q238" s="1170"/>
      <c r="R238" s="1170"/>
      <c r="S238" s="1170"/>
      <c r="T238" s="1170"/>
      <c r="U238" s="1646"/>
      <c r="V238" s="1170"/>
      <c r="W238" s="1170"/>
      <c r="X238" s="554"/>
      <c r="Y238" s="1170"/>
      <c r="Z238" s="1170"/>
      <c r="AA238" s="1170"/>
      <c r="AB238" s="1170"/>
      <c r="AC238" s="1170"/>
      <c r="AD238" s="1642"/>
      <c r="AE238" s="576"/>
      <c r="AF238" s="576"/>
      <c r="AG238" s="576"/>
      <c r="AH238" s="576"/>
      <c r="AI238" s="1651">
        <v>11</v>
      </c>
    </row>
    <row s="1651" customFormat="1" customHeight="1" ht="11.549999999999999">
      <c r="A239" s="997"/>
      <c r="B239" s="1646"/>
      <c r="C239" s="1646"/>
      <c r="D239" s="361"/>
      <c r="J239" s="1651"/>
      <c r="K239" s="1651"/>
      <c r="L239" s="1651"/>
      <c r="N239" s="1170"/>
      <c r="O239" s="1646"/>
      <c r="P239" s="1646"/>
      <c r="Q239" s="1170"/>
      <c r="R239" s="1170"/>
      <c r="S239" s="1170"/>
      <c r="T239" s="1170"/>
      <c r="U239" s="1646"/>
      <c r="V239" s="1170"/>
      <c r="W239" s="1170"/>
      <c r="X239" s="554"/>
      <c r="Y239" s="1170"/>
      <c r="Z239" s="1170"/>
      <c r="AA239" s="1170"/>
      <c r="AB239" s="1170"/>
      <c r="AC239" s="1170"/>
      <c r="AD239" s="1642"/>
      <c r="AE239" s="576"/>
      <c r="AF239" s="576"/>
      <c r="AG239" s="576"/>
      <c r="AH239" s="576"/>
      <c r="AI239" s="1651">
        <v>11</v>
      </c>
    </row>
    <row s="1651" customFormat="1" customHeight="1" ht="11.549999999999999">
      <c r="A240" s="997"/>
      <c r="B240" s="1646"/>
      <c r="C240" s="1646"/>
      <c r="D240" s="361"/>
      <c r="J240" s="1651"/>
      <c r="K240" s="1651"/>
      <c r="L240" s="1651"/>
      <c r="N240" s="1170"/>
      <c r="O240" s="1646"/>
      <c r="P240" s="1646"/>
      <c r="Q240" s="1170"/>
      <c r="R240" s="1170"/>
      <c r="S240" s="1170"/>
      <c r="T240" s="1170"/>
      <c r="U240" s="1646"/>
      <c r="V240" s="1170"/>
      <c r="W240" s="1170"/>
      <c r="X240" s="554"/>
      <c r="Y240" s="1170"/>
      <c r="Z240" s="1170"/>
      <c r="AA240" s="1170"/>
      <c r="AB240" s="1170"/>
      <c r="AC240" s="1170"/>
      <c r="AD240" s="1642"/>
      <c r="AE240" s="576"/>
      <c r="AF240" s="576"/>
      <c r="AG240" s="576"/>
      <c r="AH240" s="576"/>
      <c r="AI240" s="1651">
        <v>11</v>
      </c>
    </row>
    <row s="1651" customFormat="1" customHeight="1" ht="11.549999999999999">
      <c r="A241" s="997"/>
      <c r="B241" s="1646"/>
      <c r="C241" s="1646"/>
      <c r="D241" s="361"/>
      <c r="J241" s="1651"/>
      <c r="K241" s="1651"/>
      <c r="L241" s="1651"/>
      <c r="N241" s="1170"/>
      <c r="O241" s="1646"/>
      <c r="P241" s="1646"/>
      <c r="Q241" s="1170"/>
      <c r="R241" s="1170"/>
      <c r="S241" s="1170"/>
      <c r="T241" s="1170"/>
      <c r="U241" s="1646"/>
      <c r="V241" s="1170"/>
      <c r="W241" s="1170"/>
      <c r="X241" s="554"/>
      <c r="Y241" s="1170"/>
      <c r="Z241" s="1170"/>
      <c r="AA241" s="1170"/>
      <c r="AB241" s="1170"/>
      <c r="AC241" s="1170"/>
      <c r="AD241" s="1642"/>
      <c r="AE241" s="576"/>
      <c r="AF241" s="576"/>
      <c r="AG241" s="576"/>
      <c r="AH241" s="576"/>
      <c r="AI241" s="1651">
        <v>11</v>
      </c>
    </row>
    <row s="1651" customFormat="1" customHeight="1" ht="11.549999999999999">
      <c r="A242" s="997"/>
      <c r="B242" s="1646"/>
      <c r="C242" s="1646"/>
      <c r="D242" s="361"/>
      <c r="J242" s="1651"/>
      <c r="K242" s="1651"/>
      <c r="L242" s="1651"/>
      <c r="N242" s="1170"/>
      <c r="O242" s="1646"/>
      <c r="P242" s="1646"/>
      <c r="Q242" s="1170"/>
      <c r="R242" s="1170"/>
      <c r="S242" s="1170"/>
      <c r="T242" s="1170"/>
      <c r="U242" s="1646"/>
      <c r="V242" s="1170"/>
      <c r="W242" s="1170"/>
      <c r="X242" s="554"/>
      <c r="Y242" s="1170"/>
      <c r="Z242" s="1170"/>
      <c r="AA242" s="1170"/>
      <c r="AB242" s="1170"/>
      <c r="AC242" s="1170"/>
      <c r="AD242" s="1642"/>
      <c r="AE242" s="576"/>
      <c r="AF242" s="576"/>
      <c r="AG242" s="576"/>
      <c r="AH242" s="576"/>
      <c r="AI242" s="1651">
        <v>11</v>
      </c>
    </row>
    <row s="1651" customFormat="1" customHeight="1" ht="11.549999999999999">
      <c r="A243" s="997"/>
      <c r="B243" s="1646"/>
      <c r="C243" s="1646"/>
      <c r="D243" s="361"/>
      <c r="J243" s="1651"/>
      <c r="K243" s="1651"/>
      <c r="L243" s="1651"/>
      <c r="N243" s="1170"/>
      <c r="O243" s="1646"/>
      <c r="P243" s="1646"/>
      <c r="Q243" s="1170"/>
      <c r="R243" s="1170"/>
      <c r="S243" s="1170"/>
      <c r="T243" s="1170"/>
      <c r="U243" s="1646"/>
      <c r="V243" s="1170"/>
      <c r="W243" s="1170"/>
      <c r="X243" s="554"/>
      <c r="Y243" s="1170"/>
      <c r="Z243" s="1170"/>
      <c r="AA243" s="1170"/>
      <c r="AB243" s="1170"/>
      <c r="AC243" s="1170"/>
      <c r="AD243" s="1642"/>
      <c r="AE243" s="576"/>
      <c r="AF243" s="576"/>
      <c r="AG243" s="576"/>
      <c r="AH243" s="576"/>
      <c r="AI243" s="1651">
        <v>11</v>
      </c>
    </row>
    <row s="1651" customFormat="1" customHeight="1" ht="11.549999999999999">
      <c r="A244" s="997"/>
      <c r="B244" s="1646"/>
      <c r="C244" s="1646"/>
      <c r="D244" s="361"/>
      <c r="J244" s="1651"/>
      <c r="K244" s="1651"/>
      <c r="L244" s="1651"/>
      <c r="N244" s="1170"/>
      <c r="O244" s="1646"/>
      <c r="P244" s="1646"/>
      <c r="Q244" s="1170"/>
      <c r="R244" s="1170"/>
      <c r="S244" s="1170"/>
      <c r="T244" s="1170"/>
      <c r="U244" s="1646"/>
      <c r="V244" s="1170"/>
      <c r="W244" s="1170"/>
      <c r="X244" s="554"/>
      <c r="Y244" s="1170"/>
      <c r="Z244" s="1170"/>
      <c r="AA244" s="1170"/>
      <c r="AB244" s="1170"/>
      <c r="AC244" s="1170"/>
      <c r="AD244" s="1642"/>
      <c r="AE244" s="576"/>
      <c r="AF244" s="576"/>
      <c r="AG244" s="576"/>
      <c r="AH244" s="576"/>
      <c r="AI244" s="1651">
        <v>11</v>
      </c>
    </row>
    <row s="1651" customFormat="1" customHeight="1" ht="11.549999999999999">
      <c r="A245" s="997"/>
      <c r="B245" s="1646"/>
      <c r="C245" s="1646"/>
      <c r="D245" s="361"/>
      <c r="J245" s="1651"/>
      <c r="K245" s="1651"/>
      <c r="L245" s="1651"/>
      <c r="N245" s="1170"/>
      <c r="O245" s="1646"/>
      <c r="P245" s="1646"/>
      <c r="Q245" s="1170"/>
      <c r="R245" s="1170"/>
      <c r="S245" s="1170"/>
      <c r="T245" s="1170"/>
      <c r="U245" s="1646"/>
      <c r="V245" s="1170"/>
      <c r="W245" s="1170"/>
      <c r="X245" s="554"/>
      <c r="Y245" s="1170"/>
      <c r="Z245" s="1170"/>
      <c r="AA245" s="1170"/>
      <c r="AB245" s="1170"/>
      <c r="AC245" s="1170"/>
      <c r="AD245" s="1642"/>
      <c r="AE245" s="576"/>
      <c r="AF245" s="576"/>
      <c r="AG245" s="576"/>
      <c r="AH245" s="576"/>
      <c r="AI245" s="1651">
        <v>11</v>
      </c>
    </row>
    <row s="1651" customFormat="1" customHeight="1" ht="11.549999999999999">
      <c r="A246" s="997"/>
      <c r="B246" s="1646"/>
      <c r="C246" s="1646"/>
      <c r="D246" s="361"/>
      <c r="J246" s="1651"/>
      <c r="K246" s="1651"/>
      <c r="L246" s="1651"/>
      <c r="N246" s="1170"/>
      <c r="O246" s="1646"/>
      <c r="P246" s="1646"/>
      <c r="Q246" s="1170"/>
      <c r="R246" s="1170"/>
      <c r="S246" s="1170"/>
      <c r="T246" s="1170"/>
      <c r="U246" s="1646"/>
      <c r="V246" s="1170"/>
      <c r="W246" s="1170"/>
      <c r="X246" s="554"/>
      <c r="Y246" s="1170"/>
      <c r="Z246" s="1170"/>
      <c r="AA246" s="1170"/>
      <c r="AB246" s="1170"/>
      <c r="AC246" s="1170"/>
      <c r="AD246" s="1642"/>
      <c r="AE246" s="576"/>
      <c r="AF246" s="576"/>
      <c r="AG246" s="576"/>
      <c r="AH246" s="576"/>
      <c r="AI246" s="1651">
        <v>11</v>
      </c>
    </row>
    <row s="1651" customFormat="1" customHeight="1" ht="11.549999999999999">
      <c r="A247" s="997"/>
      <c r="B247" s="1646"/>
      <c r="C247" s="1646"/>
      <c r="D247" s="361"/>
      <c r="J247" s="1651"/>
      <c r="K247" s="1651"/>
      <c r="L247" s="1651"/>
      <c r="N247" s="1170"/>
      <c r="O247" s="1646"/>
      <c r="P247" s="1646"/>
      <c r="Q247" s="1170"/>
      <c r="R247" s="1170"/>
      <c r="S247" s="1170"/>
      <c r="T247" s="1170"/>
      <c r="U247" s="1646"/>
      <c r="V247" s="1170"/>
      <c r="W247" s="1170"/>
      <c r="X247" s="554"/>
      <c r="Y247" s="1170"/>
      <c r="Z247" s="1170"/>
      <c r="AA247" s="1170"/>
      <c r="AB247" s="1170"/>
      <c r="AC247" s="1170"/>
      <c r="AD247" s="1642"/>
      <c r="AE247" s="576"/>
      <c r="AF247" s="576"/>
      <c r="AG247" s="576"/>
      <c r="AH247" s="576"/>
      <c r="AI247" s="1651">
        <v>11</v>
      </c>
    </row>
    <row s="1651" customFormat="1" customHeight="1" ht="11.549999999999999">
      <c r="A248" s="997"/>
      <c r="B248" s="1646"/>
      <c r="C248" s="1646"/>
      <c r="D248" s="361"/>
      <c r="J248" s="1651"/>
      <c r="K248" s="1651"/>
      <c r="L248" s="1651"/>
      <c r="N248" s="1170"/>
      <c r="O248" s="1646"/>
      <c r="P248" s="1646"/>
      <c r="Q248" s="1170"/>
      <c r="R248" s="1170"/>
      <c r="S248" s="1170"/>
      <c r="T248" s="1170"/>
      <c r="U248" s="1646"/>
      <c r="V248" s="1170"/>
      <c r="W248" s="1170"/>
      <c r="X248" s="554"/>
      <c r="Y248" s="1170"/>
      <c r="Z248" s="1170"/>
      <c r="AA248" s="1170"/>
      <c r="AB248" s="1170"/>
      <c r="AC248" s="1170"/>
      <c r="AD248" s="1642"/>
      <c r="AE248" s="576"/>
      <c r="AF248" s="576"/>
      <c r="AG248" s="576"/>
      <c r="AH248" s="576"/>
      <c r="AI248" s="1651">
        <v>11</v>
      </c>
    </row>
    <row s="1651" customFormat="1" customHeight="1" ht="11.549999999999999">
      <c r="A249" s="997"/>
      <c r="B249" s="1646"/>
      <c r="C249" s="1646"/>
      <c r="D249" s="361"/>
      <c r="J249" s="1651"/>
      <c r="K249" s="1651"/>
      <c r="L249" s="1651"/>
      <c r="N249" s="1170"/>
      <c r="O249" s="1646"/>
      <c r="P249" s="1646"/>
      <c r="Q249" s="1170"/>
      <c r="R249" s="1170"/>
      <c r="S249" s="1170"/>
      <c r="T249" s="1170"/>
      <c r="U249" s="1646"/>
      <c r="V249" s="1170"/>
      <c r="W249" s="1170"/>
      <c r="X249" s="554"/>
      <c r="Y249" s="1170"/>
      <c r="Z249" s="1170"/>
      <c r="AA249" s="1170"/>
      <c r="AB249" s="1170"/>
      <c r="AC249" s="1170"/>
      <c r="AD249" s="1642"/>
      <c r="AE249" s="576"/>
      <c r="AF249" s="576"/>
      <c r="AG249" s="576"/>
      <c r="AH249" s="576"/>
      <c r="AI249" s="1651">
        <v>11</v>
      </c>
    </row>
    <row s="1651" customFormat="1" customHeight="1" ht="11.549999999999999">
      <c r="A250" s="997"/>
      <c r="B250" s="1646"/>
      <c r="C250" s="1646"/>
      <c r="D250" s="361"/>
      <c r="J250" s="1651"/>
      <c r="K250" s="1651"/>
      <c r="L250" s="1651"/>
      <c r="N250" s="1170"/>
      <c r="O250" s="1646"/>
      <c r="P250" s="1646"/>
      <c r="Q250" s="1170"/>
      <c r="R250" s="1170"/>
      <c r="S250" s="1170"/>
      <c r="T250" s="1170"/>
      <c r="U250" s="1646"/>
      <c r="V250" s="1170"/>
      <c r="W250" s="1170"/>
      <c r="X250" s="554"/>
      <c r="Y250" s="1170"/>
      <c r="Z250" s="1170"/>
      <c r="AA250" s="1170"/>
      <c r="AB250" s="1170"/>
      <c r="AC250" s="1170"/>
      <c r="AD250" s="1642"/>
      <c r="AE250" s="576"/>
      <c r="AF250" s="576"/>
      <c r="AG250" s="576"/>
      <c r="AH250" s="576"/>
      <c r="AI250" s="1651">
        <v>11</v>
      </c>
    </row>
    <row s="1651" customFormat="1" customHeight="1" ht="11.549999999999999">
      <c r="A251" s="997"/>
      <c r="B251" s="1646"/>
      <c r="C251" s="1646"/>
      <c r="D251" s="361"/>
      <c r="J251" s="1651"/>
      <c r="K251" s="1651"/>
      <c r="L251" s="1651"/>
      <c r="N251" s="1170"/>
      <c r="O251" s="1646"/>
      <c r="P251" s="1646"/>
      <c r="Q251" s="1170"/>
      <c r="R251" s="1170"/>
      <c r="S251" s="1170"/>
      <c r="T251" s="1170"/>
      <c r="U251" s="1646"/>
      <c r="V251" s="1170"/>
      <c r="W251" s="1170"/>
      <c r="X251" s="554"/>
      <c r="Y251" s="1170"/>
      <c r="Z251" s="1170"/>
      <c r="AA251" s="1170"/>
      <c r="AB251" s="1170"/>
      <c r="AC251" s="1170"/>
      <c r="AD251" s="1642"/>
      <c r="AE251" s="576"/>
      <c r="AF251" s="576"/>
      <c r="AG251" s="576"/>
      <c r="AH251" s="576"/>
      <c r="AI251" s="1651">
        <v>11</v>
      </c>
    </row>
    <row s="1651" customFormat="1" customHeight="1" ht="11.549999999999999">
      <c r="A252" s="997"/>
      <c r="B252" s="1646"/>
      <c r="C252" s="1646"/>
      <c r="D252" s="361"/>
      <c r="J252" s="1651"/>
      <c r="K252" s="1651"/>
      <c r="L252" s="1651"/>
      <c r="N252" s="1170"/>
      <c r="O252" s="1646"/>
      <c r="P252" s="1646"/>
      <c r="Q252" s="1170"/>
      <c r="R252" s="1170"/>
      <c r="S252" s="1170"/>
      <c r="T252" s="1170"/>
      <c r="U252" s="1646"/>
      <c r="V252" s="1170"/>
      <c r="W252" s="1170"/>
      <c r="X252" s="554"/>
      <c r="Y252" s="1170"/>
      <c r="Z252" s="1170"/>
      <c r="AA252" s="1170"/>
      <c r="AB252" s="1170"/>
      <c r="AC252" s="1170"/>
      <c r="AD252" s="1642"/>
      <c r="AE252" s="576"/>
      <c r="AF252" s="576"/>
      <c r="AG252" s="576"/>
      <c r="AH252" s="576"/>
      <c r="AI252" s="1651">
        <v>11</v>
      </c>
    </row>
    <row s="1651" customFormat="1" customHeight="1" ht="11.549999999999999">
      <c r="A253" s="997"/>
      <c r="B253" s="1646"/>
      <c r="C253" s="1646"/>
      <c r="D253" s="361"/>
      <c r="J253" s="1651"/>
      <c r="K253" s="1651"/>
      <c r="L253" s="1651"/>
      <c r="N253" s="1170"/>
      <c r="O253" s="1646"/>
      <c r="P253" s="1646"/>
      <c r="Q253" s="1170"/>
      <c r="R253" s="1170"/>
      <c r="S253" s="1170"/>
      <c r="T253" s="1170"/>
      <c r="U253" s="1646"/>
      <c r="V253" s="1170"/>
      <c r="W253" s="1170"/>
      <c r="X253" s="554"/>
      <c r="Y253" s="1170"/>
      <c r="Z253" s="1170"/>
      <c r="AA253" s="1170"/>
      <c r="AB253" s="1170"/>
      <c r="AC253" s="1170"/>
      <c r="AD253" s="1642"/>
      <c r="AE253" s="576"/>
      <c r="AF253" s="576"/>
      <c r="AG253" s="576"/>
      <c r="AH253" s="576"/>
      <c r="AI253" s="1651">
        <v>11</v>
      </c>
    </row>
    <row s="1651" customFormat="1" customHeight="1" ht="11.549999999999999">
      <c r="A254" s="997"/>
      <c r="B254" s="1646"/>
      <c r="C254" s="1646"/>
      <c r="D254" s="361"/>
      <c r="J254" s="1651"/>
      <c r="K254" s="1651"/>
      <c r="L254" s="1651"/>
      <c r="N254" s="1170"/>
      <c r="O254" s="1646"/>
      <c r="P254" s="1646"/>
      <c r="Q254" s="1170"/>
      <c r="R254" s="1170"/>
      <c r="S254" s="1170"/>
      <c r="T254" s="1170"/>
      <c r="U254" s="1646"/>
      <c r="V254" s="1170"/>
      <c r="W254" s="1170"/>
      <c r="X254" s="554"/>
      <c r="Y254" s="1170"/>
      <c r="Z254" s="1170"/>
      <c r="AA254" s="1170"/>
      <c r="AB254" s="1170"/>
      <c r="AC254" s="1170"/>
      <c r="AD254" s="1642"/>
      <c r="AE254" s="576"/>
      <c r="AF254" s="576"/>
      <c r="AG254" s="576"/>
      <c r="AH254" s="576"/>
      <c r="AI254" s="1651">
        <v>11</v>
      </c>
    </row>
    <row s="1651" customFormat="1" customHeight="1" ht="11.549999999999999">
      <c r="A255" s="997"/>
      <c r="B255" s="1646"/>
      <c r="C255" s="1646"/>
      <c r="D255" s="361"/>
      <c r="J255" s="1651"/>
      <c r="K255" s="1651"/>
      <c r="L255" s="1651"/>
      <c r="N255" s="1170"/>
      <c r="O255" s="1646"/>
      <c r="P255" s="1646"/>
      <c r="Q255" s="1170"/>
      <c r="R255" s="1170"/>
      <c r="S255" s="1170"/>
      <c r="T255" s="1170"/>
      <c r="U255" s="1646"/>
      <c r="V255" s="1170"/>
      <c r="W255" s="1170"/>
      <c r="X255" s="554"/>
      <c r="Y255" s="1170"/>
      <c r="Z255" s="1170"/>
      <c r="AA255" s="1170"/>
      <c r="AB255" s="1170"/>
      <c r="AC255" s="1170"/>
      <c r="AD255" s="1642"/>
      <c r="AE255" s="576"/>
      <c r="AF255" s="576"/>
      <c r="AG255" s="576"/>
      <c r="AH255" s="576"/>
      <c r="AI255" s="1651">
        <v>11</v>
      </c>
    </row>
    <row s="1651" customFormat="1" customHeight="1" ht="11.549999999999999">
      <c r="A256" s="997"/>
      <c r="B256" s="1646"/>
      <c r="C256" s="1646"/>
      <c r="D256" s="361"/>
      <c r="J256" s="1651"/>
      <c r="K256" s="1651"/>
      <c r="L256" s="1651"/>
      <c r="N256" s="1170"/>
      <c r="O256" s="1646"/>
      <c r="P256" s="1646"/>
      <c r="Q256" s="1170"/>
      <c r="R256" s="1170"/>
      <c r="S256" s="1170"/>
      <c r="T256" s="1170"/>
      <c r="U256" s="1646"/>
      <c r="V256" s="1170"/>
      <c r="W256" s="1170"/>
      <c r="X256" s="554"/>
      <c r="Y256" s="1170"/>
      <c r="Z256" s="1170"/>
      <c r="AA256" s="1170"/>
      <c r="AB256" s="1170"/>
      <c r="AC256" s="1170"/>
      <c r="AD256" s="1642"/>
      <c r="AE256" s="576"/>
      <c r="AF256" s="576"/>
      <c r="AG256" s="576"/>
      <c r="AH256" s="576"/>
      <c r="AI256" s="1651">
        <v>11</v>
      </c>
    </row>
    <row s="1651" customFormat="1" customHeight="1" ht="11.549999999999999">
      <c r="A257" s="997"/>
      <c r="B257" s="1646"/>
      <c r="C257" s="1646"/>
      <c r="D257" s="361"/>
      <c r="J257" s="1651"/>
      <c r="K257" s="1651"/>
      <c r="L257" s="1651"/>
      <c r="N257" s="1170"/>
      <c r="O257" s="1646"/>
      <c r="P257" s="1646"/>
      <c r="Q257" s="1170"/>
      <c r="R257" s="1170"/>
      <c r="S257" s="1170"/>
      <c r="T257" s="1170"/>
      <c r="U257" s="1646"/>
      <c r="V257" s="1170"/>
      <c r="W257" s="1170"/>
      <c r="X257" s="554"/>
      <c r="Y257" s="1170"/>
      <c r="Z257" s="1170"/>
      <c r="AA257" s="1170"/>
      <c r="AB257" s="1170"/>
      <c r="AC257" s="1170"/>
      <c r="AD257" s="1642"/>
      <c r="AE257" s="576"/>
      <c r="AF257" s="576"/>
      <c r="AG257" s="576"/>
      <c r="AH257" s="576"/>
      <c r="AI257" s="1651">
        <v>11</v>
      </c>
    </row>
    <row s="1651" customFormat="1" customHeight="1" ht="11.549999999999999">
      <c r="A258" s="997"/>
      <c r="B258" s="1646"/>
      <c r="C258" s="1646"/>
      <c r="D258" s="361"/>
      <c r="J258" s="1651"/>
      <c r="K258" s="1651"/>
      <c r="L258" s="1651"/>
      <c r="N258" s="1170"/>
      <c r="O258" s="1646"/>
      <c r="P258" s="1646"/>
      <c r="Q258" s="1170"/>
      <c r="R258" s="1170"/>
      <c r="S258" s="1170"/>
      <c r="T258" s="1170"/>
      <c r="U258" s="1646"/>
      <c r="V258" s="1170"/>
      <c r="W258" s="1170"/>
      <c r="X258" s="554"/>
      <c r="Y258" s="1170"/>
      <c r="Z258" s="1170"/>
      <c r="AA258" s="1170"/>
      <c r="AB258" s="1170"/>
      <c r="AC258" s="1170"/>
      <c r="AD258" s="1642"/>
      <c r="AE258" s="576"/>
      <c r="AF258" s="576"/>
      <c r="AG258" s="576"/>
      <c r="AH258" s="576"/>
      <c r="AI258" s="1651">
        <v>11</v>
      </c>
    </row>
    <row s="1651" customFormat="1" customHeight="1" ht="11.549999999999999">
      <c r="A259" s="997"/>
      <c r="B259" s="1646"/>
      <c r="C259" s="1646"/>
      <c r="D259" s="361"/>
      <c r="J259" s="1651"/>
      <c r="K259" s="1651"/>
      <c r="L259" s="1651"/>
      <c r="N259" s="1170"/>
      <c r="O259" s="1646"/>
      <c r="P259" s="1646"/>
      <c r="Q259" s="1170"/>
      <c r="R259" s="1170"/>
      <c r="S259" s="1170"/>
      <c r="T259" s="1170"/>
      <c r="U259" s="1646"/>
      <c r="V259" s="1170"/>
      <c r="W259" s="1170"/>
      <c r="X259" s="554"/>
      <c r="Y259" s="1170"/>
      <c r="Z259" s="1170"/>
      <c r="AA259" s="1170"/>
      <c r="AB259" s="1170"/>
      <c r="AC259" s="1170"/>
      <c r="AD259" s="1642"/>
      <c r="AE259" s="576"/>
      <c r="AF259" s="576"/>
      <c r="AG259" s="576"/>
      <c r="AH259" s="576"/>
      <c r="AI259" s="1651">
        <v>11</v>
      </c>
    </row>
    <row s="1651" customFormat="1" customHeight="1" ht="11.549999999999999">
      <c r="A260" s="997"/>
      <c r="B260" s="1646"/>
      <c r="C260" s="1646"/>
      <c r="D260" s="361"/>
      <c r="J260" s="1651"/>
      <c r="K260" s="1651"/>
      <c r="L260" s="1651"/>
      <c r="N260" s="1170"/>
      <c r="O260" s="1646"/>
      <c r="P260" s="1646"/>
      <c r="Q260" s="1170"/>
      <c r="R260" s="1170"/>
      <c r="S260" s="1170"/>
      <c r="T260" s="1170"/>
      <c r="U260" s="1646"/>
      <c r="V260" s="1170"/>
      <c r="W260" s="1170"/>
      <c r="X260" s="554"/>
      <c r="Y260" s="1170"/>
      <c r="Z260" s="1170"/>
      <c r="AA260" s="1170"/>
      <c r="AB260" s="1170"/>
      <c r="AC260" s="1170"/>
      <c r="AD260" s="1642"/>
      <c r="AE260" s="576"/>
      <c r="AF260" s="576"/>
      <c r="AG260" s="576"/>
      <c r="AH260" s="576"/>
      <c r="AI260" s="1651">
        <v>11</v>
      </c>
    </row>
    <row s="1651" customFormat="1" customHeight="1" ht="11.549999999999999">
      <c r="A261" s="997"/>
      <c r="B261" s="1646"/>
      <c r="C261" s="1646"/>
      <c r="D261" s="361"/>
      <c r="J261" s="1651"/>
      <c r="K261" s="1651"/>
      <c r="L261" s="1651"/>
      <c r="N261" s="1170"/>
      <c r="O261" s="1646"/>
      <c r="P261" s="1646"/>
      <c r="Q261" s="1170"/>
      <c r="R261" s="1170"/>
      <c r="S261" s="1170"/>
      <c r="T261" s="1170"/>
      <c r="U261" s="1646"/>
      <c r="V261" s="1170"/>
      <c r="W261" s="1170"/>
      <c r="X261" s="554"/>
      <c r="Y261" s="1170"/>
      <c r="Z261" s="1170"/>
      <c r="AA261" s="1170"/>
      <c r="AB261" s="1170"/>
      <c r="AC261" s="1170"/>
      <c r="AD261" s="1642"/>
      <c r="AE261" s="576"/>
      <c r="AF261" s="576"/>
      <c r="AG261" s="576"/>
      <c r="AH261" s="576"/>
      <c r="AI261" s="1651">
        <v>11</v>
      </c>
    </row>
    <row s="1651" customFormat="1" customHeight="1" ht="11.549999999999999">
      <c r="A262" s="997"/>
      <c r="B262" s="1646"/>
      <c r="C262" s="1646"/>
      <c r="D262" s="361"/>
      <c r="J262" s="1651"/>
      <c r="K262" s="1651"/>
      <c r="L262" s="1651"/>
      <c r="N262" s="1170"/>
      <c r="O262" s="1646"/>
      <c r="P262" s="1646"/>
      <c r="Q262" s="1170"/>
      <c r="R262" s="1170"/>
      <c r="S262" s="1170"/>
      <c r="T262" s="1170"/>
      <c r="U262" s="1646"/>
      <c r="V262" s="1170"/>
      <c r="W262" s="1170"/>
      <c r="X262" s="554"/>
      <c r="Y262" s="1170"/>
      <c r="Z262" s="1170"/>
      <c r="AA262" s="1170"/>
      <c r="AB262" s="1170"/>
      <c r="AC262" s="1170"/>
      <c r="AD262" s="1642"/>
      <c r="AE262" s="576"/>
      <c r="AF262" s="576"/>
      <c r="AG262" s="576"/>
      <c r="AH262" s="576"/>
      <c r="AI262" s="1651">
        <v>11</v>
      </c>
    </row>
    <row s="1651" customFormat="1" customHeight="1" ht="11.549999999999999">
      <c r="A263" s="997"/>
      <c r="B263" s="1646"/>
      <c r="C263" s="1646"/>
      <c r="D263" s="361"/>
      <c r="J263" s="1651"/>
      <c r="K263" s="1651"/>
      <c r="L263" s="1651"/>
      <c r="N263" s="1170"/>
      <c r="O263" s="1646"/>
      <c r="P263" s="1646"/>
      <c r="Q263" s="1170"/>
      <c r="R263" s="1170"/>
      <c r="S263" s="1170"/>
      <c r="T263" s="1170"/>
      <c r="U263" s="1646"/>
      <c r="V263" s="1170"/>
      <c r="W263" s="1170"/>
      <c r="X263" s="554"/>
      <c r="Y263" s="1170"/>
      <c r="Z263" s="1170"/>
      <c r="AA263" s="1170"/>
      <c r="AB263" s="1170"/>
      <c r="AC263" s="1170"/>
      <c r="AD263" s="1642"/>
      <c r="AE263" s="576"/>
      <c r="AF263" s="576"/>
      <c r="AG263" s="576"/>
      <c r="AH263" s="576"/>
      <c r="AI263" s="1651">
        <v>11</v>
      </c>
    </row>
    <row s="1651" customFormat="1" customHeight="1" ht="11.549999999999999">
      <c r="A264" s="997"/>
      <c r="B264" s="1646"/>
      <c r="C264" s="1646"/>
      <c r="D264" s="361"/>
      <c r="J264" s="1651"/>
      <c r="K264" s="1651"/>
      <c r="L264" s="1651"/>
      <c r="N264" s="1170"/>
      <c r="O264" s="1646"/>
      <c r="P264" s="1646"/>
      <c r="Q264" s="1170"/>
      <c r="R264" s="1170"/>
      <c r="S264" s="1170"/>
      <c r="T264" s="1170"/>
      <c r="U264" s="1646"/>
      <c r="V264" s="1170"/>
      <c r="W264" s="1170"/>
      <c r="X264" s="554"/>
      <c r="Y264" s="1170"/>
      <c r="Z264" s="1170"/>
      <c r="AA264" s="1170"/>
      <c r="AB264" s="1170"/>
      <c r="AC264" s="1170"/>
      <c r="AD264" s="1642"/>
      <c r="AE264" s="576"/>
      <c r="AF264" s="576"/>
      <c r="AG264" s="576"/>
      <c r="AH264" s="576"/>
      <c r="AI264" s="1651">
        <v>11</v>
      </c>
    </row>
    <row s="1651" customFormat="1" customHeight="1" ht="11.549999999999999">
      <c r="A265" s="997"/>
      <c r="B265" s="1646"/>
      <c r="C265" s="1646"/>
      <c r="D265" s="361"/>
      <c r="J265" s="1651"/>
      <c r="K265" s="1651"/>
      <c r="L265" s="1651"/>
      <c r="N265" s="1170"/>
      <c r="O265" s="1646"/>
      <c r="P265" s="1646"/>
      <c r="Q265" s="1170"/>
      <c r="R265" s="1170"/>
      <c r="S265" s="1170"/>
      <c r="T265" s="1170"/>
      <c r="U265" s="1646"/>
      <c r="V265" s="1170"/>
      <c r="W265" s="1170"/>
      <c r="X265" s="554"/>
      <c r="Y265" s="1170"/>
      <c r="Z265" s="1170"/>
      <c r="AA265" s="1170"/>
      <c r="AB265" s="1170"/>
      <c r="AC265" s="1170"/>
      <c r="AD265" s="1642"/>
      <c r="AE265" s="576"/>
      <c r="AF265" s="576"/>
      <c r="AG265" s="576"/>
      <c r="AH265" s="576"/>
      <c r="AI265" s="1651">
        <v>11</v>
      </c>
    </row>
    <row s="1651" customFormat="1" customHeight="1" ht="11.549999999999999">
      <c r="A266" s="997"/>
      <c r="B266" s="1646"/>
      <c r="C266" s="1646"/>
      <c r="D266" s="361"/>
      <c r="J266" s="1651"/>
      <c r="K266" s="1651"/>
      <c r="L266" s="1651"/>
      <c r="N266" s="1170"/>
      <c r="O266" s="1646"/>
      <c r="P266" s="1646"/>
      <c r="Q266" s="1170"/>
      <c r="R266" s="1170"/>
      <c r="S266" s="1170"/>
      <c r="T266" s="1170"/>
      <c r="U266" s="1646"/>
      <c r="V266" s="1170"/>
      <c r="W266" s="1170"/>
      <c r="X266" s="554"/>
      <c r="Y266" s="1170"/>
      <c r="Z266" s="1170"/>
      <c r="AA266" s="1170"/>
      <c r="AB266" s="1170"/>
      <c r="AC266" s="1170"/>
      <c r="AD266" s="1642"/>
      <c r="AE266" s="576"/>
      <c r="AF266" s="576"/>
      <c r="AG266" s="576"/>
      <c r="AH266" s="576"/>
      <c r="AI266" s="1651">
        <v>11</v>
      </c>
    </row>
    <row s="1651" customFormat="1" customHeight="1" ht="11.549999999999999">
      <c r="A267" s="997"/>
      <c r="B267" s="1646"/>
      <c r="C267" s="1646"/>
      <c r="D267" s="361"/>
      <c r="J267" s="1651"/>
      <c r="K267" s="1651"/>
      <c r="L267" s="1651"/>
      <c r="N267" s="1170"/>
      <c r="O267" s="1646"/>
      <c r="P267" s="1646"/>
      <c r="Q267" s="1170"/>
      <c r="R267" s="1170"/>
      <c r="S267" s="1170"/>
      <c r="T267" s="1170"/>
      <c r="U267" s="1646"/>
      <c r="V267" s="1170"/>
      <c r="W267" s="1170"/>
      <c r="X267" s="554"/>
      <c r="Y267" s="1170"/>
      <c r="Z267" s="1170"/>
      <c r="AA267" s="1170"/>
      <c r="AB267" s="1170"/>
      <c r="AC267" s="1170"/>
      <c r="AD267" s="1642"/>
      <c r="AE267" s="576"/>
      <c r="AF267" s="576"/>
      <c r="AG267" s="576"/>
      <c r="AH267" s="576"/>
      <c r="AI267" s="1651">
        <v>11</v>
      </c>
    </row>
    <row s="1651" customFormat="1" customHeight="1" ht="11.549999999999999">
      <c r="A268" s="997"/>
      <c r="B268" s="1646"/>
      <c r="C268" s="1646"/>
      <c r="D268" s="361"/>
      <c r="J268" s="1651"/>
      <c r="K268" s="1651"/>
      <c r="L268" s="1651"/>
      <c r="N268" s="1170"/>
      <c r="O268" s="1646"/>
      <c r="P268" s="1646"/>
      <c r="Q268" s="1170"/>
      <c r="R268" s="1170"/>
      <c r="S268" s="1170"/>
      <c r="T268" s="1170"/>
      <c r="U268" s="1646"/>
      <c r="V268" s="1170"/>
      <c r="W268" s="1170"/>
      <c r="X268" s="554"/>
      <c r="Y268" s="1170"/>
      <c r="Z268" s="1170"/>
      <c r="AA268" s="1170"/>
      <c r="AB268" s="1170"/>
      <c r="AC268" s="1170"/>
      <c r="AD268" s="1642"/>
      <c r="AE268" s="576"/>
      <c r="AF268" s="576"/>
      <c r="AG268" s="576"/>
      <c r="AH268" s="576"/>
      <c r="AI268" s="1651">
        <v>11</v>
      </c>
    </row>
    <row s="1651" customFormat="1" customHeight="1" ht="11.549999999999999">
      <c r="A269" s="997"/>
      <c r="B269" s="1646"/>
      <c r="C269" s="1646"/>
      <c r="D269" s="361"/>
      <c r="J269" s="1651"/>
      <c r="K269" s="1651"/>
      <c r="L269" s="1651"/>
      <c r="N269" s="1170"/>
      <c r="O269" s="1646"/>
      <c r="P269" s="1646"/>
      <c r="Q269" s="1170"/>
      <c r="R269" s="1170"/>
      <c r="S269" s="1170"/>
      <c r="T269" s="1170"/>
      <c r="U269" s="1646"/>
      <c r="V269" s="1170"/>
      <c r="W269" s="1170"/>
      <c r="X269" s="554"/>
      <c r="Y269" s="1170"/>
      <c r="Z269" s="1170"/>
      <c r="AA269" s="1170"/>
      <c r="AB269" s="1170"/>
      <c r="AC269" s="1170"/>
      <c r="AD269" s="1642"/>
      <c r="AE269" s="576"/>
      <c r="AF269" s="576"/>
      <c r="AG269" s="576"/>
      <c r="AH269" s="576"/>
      <c r="AI269" s="1651">
        <v>11</v>
      </c>
    </row>
    <row s="1651" customFormat="1" customHeight="1" ht="11.549999999999999">
      <c r="A270" s="997"/>
      <c r="B270" s="1646"/>
      <c r="C270" s="1646"/>
      <c r="D270" s="361"/>
      <c r="J270" s="1651"/>
      <c r="K270" s="1651"/>
      <c r="L270" s="1651"/>
      <c r="N270" s="1170"/>
      <c r="O270" s="1646"/>
      <c r="P270" s="1646"/>
      <c r="Q270" s="1170"/>
      <c r="R270" s="1170"/>
      <c r="S270" s="1170"/>
      <c r="T270" s="1170"/>
      <c r="U270" s="1646"/>
      <c r="V270" s="1170"/>
      <c r="W270" s="1170"/>
      <c r="X270" s="554"/>
      <c r="Y270" s="1170"/>
      <c r="Z270" s="1170"/>
      <c r="AA270" s="1170"/>
      <c r="AB270" s="1170"/>
      <c r="AC270" s="1170"/>
      <c r="AD270" s="1642"/>
      <c r="AE270" s="576"/>
      <c r="AF270" s="576"/>
      <c r="AG270" s="576"/>
      <c r="AH270" s="576"/>
      <c r="AI270" s="1651">
        <v>11</v>
      </c>
    </row>
    <row s="1651" customFormat="1" customHeight="1" ht="11.549999999999999">
      <c r="A271" s="997"/>
      <c r="B271" s="1646"/>
      <c r="C271" s="1646"/>
      <c r="D271" s="361"/>
      <c r="J271" s="1651"/>
      <c r="K271" s="1651"/>
      <c r="L271" s="1651"/>
      <c r="N271" s="1170"/>
      <c r="O271" s="1646"/>
      <c r="P271" s="1646"/>
      <c r="Q271" s="1170"/>
      <c r="R271" s="1170"/>
      <c r="S271" s="1170"/>
      <c r="T271" s="1170"/>
      <c r="U271" s="1646"/>
      <c r="V271" s="1170"/>
      <c r="W271" s="1170"/>
      <c r="X271" s="554"/>
      <c r="Y271" s="1170"/>
      <c r="Z271" s="1170"/>
      <c r="AA271" s="1170"/>
      <c r="AB271" s="1170"/>
      <c r="AC271" s="1170"/>
      <c r="AD271" s="1642"/>
      <c r="AE271" s="576"/>
      <c r="AF271" s="576"/>
      <c r="AG271" s="576"/>
      <c r="AH271" s="576"/>
      <c r="AI271" s="1651">
        <v>11</v>
      </c>
    </row>
    <row s="1651" customFormat="1" customHeight="1" ht="11.549999999999999">
      <c r="A272" s="997"/>
      <c r="B272" s="1646"/>
      <c r="C272" s="1646"/>
      <c r="D272" s="361"/>
      <c r="J272" s="1651"/>
      <c r="K272" s="1651"/>
      <c r="L272" s="1651"/>
      <c r="N272" s="1170"/>
      <c r="O272" s="1646"/>
      <c r="P272" s="1646"/>
      <c r="Q272" s="1170"/>
      <c r="R272" s="1170"/>
      <c r="S272" s="1170"/>
      <c r="T272" s="1170"/>
      <c r="U272" s="1646"/>
      <c r="V272" s="1170"/>
      <c r="W272" s="1170"/>
      <c r="X272" s="554"/>
      <c r="Y272" s="1170"/>
      <c r="Z272" s="1170"/>
      <c r="AA272" s="1170"/>
      <c r="AB272" s="1170"/>
      <c r="AC272" s="1170"/>
      <c r="AD272" s="1642"/>
      <c r="AE272" s="576"/>
      <c r="AF272" s="576"/>
      <c r="AG272" s="576"/>
      <c r="AH272" s="576"/>
      <c r="AI272" s="1651">
        <v>11</v>
      </c>
    </row>
    <row s="1651" customFormat="1" customHeight="1" ht="11.549999999999999">
      <c r="A273" s="997"/>
      <c r="B273" s="1646"/>
      <c r="C273" s="1646"/>
      <c r="D273" s="361"/>
      <c r="J273" s="1651"/>
      <c r="K273" s="1651"/>
      <c r="L273" s="1651"/>
      <c r="N273" s="1170"/>
      <c r="O273" s="1646"/>
      <c r="P273" s="1646"/>
      <c r="Q273" s="1170"/>
      <c r="R273" s="1170"/>
      <c r="S273" s="1170"/>
      <c r="T273" s="1170"/>
      <c r="U273" s="1646"/>
      <c r="V273" s="1170"/>
      <c r="W273" s="1170"/>
      <c r="X273" s="554"/>
      <c r="Y273" s="1170"/>
      <c r="Z273" s="1170"/>
      <c r="AA273" s="1170"/>
      <c r="AB273" s="1170"/>
      <c r="AC273" s="1170"/>
      <c r="AD273" s="1642"/>
      <c r="AE273" s="576"/>
      <c r="AF273" s="576"/>
      <c r="AG273" s="576"/>
      <c r="AH273" s="576"/>
      <c r="AI273" s="1651">
        <v>11</v>
      </c>
    </row>
    <row s="1651" customFormat="1" customHeight="1" ht="11.549999999999999">
      <c r="A274" s="997"/>
      <c r="B274" s="1646"/>
      <c r="C274" s="1646"/>
      <c r="D274" s="361"/>
      <c r="J274" s="1651"/>
      <c r="K274" s="1651"/>
      <c r="L274" s="1651"/>
      <c r="N274" s="1170"/>
      <c r="O274" s="1646"/>
      <c r="P274" s="1646"/>
      <c r="Q274" s="1170"/>
      <c r="R274" s="1170"/>
      <c r="S274" s="1170"/>
      <c r="T274" s="1170"/>
      <c r="U274" s="1646"/>
      <c r="V274" s="1170"/>
      <c r="W274" s="1170"/>
      <c r="X274" s="554"/>
      <c r="Y274" s="1170"/>
      <c r="Z274" s="1170"/>
      <c r="AA274" s="1170"/>
      <c r="AB274" s="1170"/>
      <c r="AC274" s="1170"/>
      <c r="AD274" s="1642"/>
      <c r="AE274" s="576"/>
      <c r="AF274" s="576"/>
      <c r="AG274" s="576"/>
      <c r="AH274" s="576"/>
      <c r="AI274" s="1651">
        <v>11</v>
      </c>
    </row>
    <row s="1651" customFormat="1" customHeight="1" ht="11.549999999999999">
      <c r="A275" s="997"/>
      <c r="B275" s="1646"/>
      <c r="C275" s="1646"/>
      <c r="D275" s="361"/>
      <c r="J275" s="1651"/>
      <c r="K275" s="1651"/>
      <c r="L275" s="1651"/>
      <c r="N275" s="1170"/>
      <c r="O275" s="1646"/>
      <c r="P275" s="1646"/>
      <c r="Q275" s="1170"/>
      <c r="R275" s="1170"/>
      <c r="S275" s="1170"/>
      <c r="T275" s="1170"/>
      <c r="U275" s="1646"/>
      <c r="V275" s="1170"/>
      <c r="W275" s="1170"/>
      <c r="X275" s="554"/>
      <c r="Y275" s="1170"/>
      <c r="Z275" s="1170"/>
      <c r="AA275" s="1170"/>
      <c r="AB275" s="1170"/>
      <c r="AC275" s="1170"/>
      <c r="AD275" s="1642"/>
      <c r="AE275" s="576"/>
      <c r="AF275" s="576"/>
      <c r="AG275" s="576"/>
      <c r="AH275" s="576"/>
      <c r="AI275" s="1651">
        <v>11</v>
      </c>
    </row>
    <row s="1651" customFormat="1" customHeight="1" ht="11.549999999999999">
      <c r="A276" s="997"/>
      <c r="B276" s="1646"/>
      <c r="C276" s="1646"/>
      <c r="D276" s="361"/>
      <c r="J276" s="1651"/>
      <c r="K276" s="1651"/>
      <c r="L276" s="1651"/>
      <c r="N276" s="1170"/>
      <c r="O276" s="1646"/>
      <c r="P276" s="1646"/>
      <c r="Q276" s="1170"/>
      <c r="R276" s="1170"/>
      <c r="S276" s="1170"/>
      <c r="T276" s="1170"/>
      <c r="U276" s="1646"/>
      <c r="V276" s="1170"/>
      <c r="W276" s="1170"/>
      <c r="X276" s="554"/>
      <c r="Y276" s="1170"/>
      <c r="Z276" s="1170"/>
      <c r="AA276" s="1170"/>
      <c r="AB276" s="1170"/>
      <c r="AC276" s="1170"/>
      <c r="AD276" s="1642"/>
      <c r="AE276" s="576"/>
      <c r="AF276" s="576"/>
      <c r="AG276" s="576"/>
      <c r="AH276" s="576"/>
      <c r="AI276" s="1651">
        <v>11</v>
      </c>
    </row>
    <row s="1651" customFormat="1" customHeight="1" ht="11.549999999999999">
      <c r="A277" s="997"/>
      <c r="B277" s="1646"/>
      <c r="C277" s="1646"/>
      <c r="D277" s="361"/>
      <c r="J277" s="1651"/>
      <c r="K277" s="1651"/>
      <c r="L277" s="1651"/>
      <c r="N277" s="1170"/>
      <c r="O277" s="1646"/>
      <c r="P277" s="1646"/>
      <c r="Q277" s="1170"/>
      <c r="R277" s="1170"/>
      <c r="S277" s="1170"/>
      <c r="T277" s="1170"/>
      <c r="U277" s="1646"/>
      <c r="V277" s="1170"/>
      <c r="W277" s="1170"/>
      <c r="X277" s="554"/>
      <c r="Y277" s="1170"/>
      <c r="Z277" s="1170"/>
      <c r="AA277" s="1170"/>
      <c r="AB277" s="1170"/>
      <c r="AC277" s="1170"/>
      <c r="AD277" s="1642"/>
      <c r="AE277" s="576"/>
      <c r="AF277" s="576"/>
      <c r="AG277" s="576"/>
      <c r="AH277" s="576"/>
      <c r="AI277" s="1651">
        <v>11</v>
      </c>
    </row>
    <row s="1651" customFormat="1" customHeight="1" ht="11.549999999999999">
      <c r="A278" s="997"/>
      <c r="B278" s="1646"/>
      <c r="C278" s="1646"/>
      <c r="D278" s="361"/>
      <c r="J278" s="1651"/>
      <c r="K278" s="1651"/>
      <c r="L278" s="1651"/>
      <c r="N278" s="1170"/>
      <c r="O278" s="1646"/>
      <c r="P278" s="1646"/>
      <c r="Q278" s="1170"/>
      <c r="R278" s="1170"/>
      <c r="S278" s="1170"/>
      <c r="T278" s="1170"/>
      <c r="U278" s="1646"/>
      <c r="V278" s="1170"/>
      <c r="W278" s="1170"/>
      <c r="X278" s="554"/>
      <c r="Y278" s="1170"/>
      <c r="Z278" s="1170"/>
      <c r="AA278" s="1170"/>
      <c r="AB278" s="1170"/>
      <c r="AC278" s="1170"/>
      <c r="AD278" s="1642"/>
      <c r="AE278" s="576"/>
      <c r="AF278" s="576"/>
      <c r="AG278" s="576"/>
      <c r="AH278" s="576"/>
      <c r="AI278" s="1651">
        <v>11</v>
      </c>
    </row>
    <row s="1651" customFormat="1" customHeight="1" ht="11.549999999999999">
      <c r="A279" s="997"/>
      <c r="B279" s="1646"/>
      <c r="C279" s="1646"/>
      <c r="D279" s="361"/>
      <c r="J279" s="1651"/>
      <c r="K279" s="1651"/>
      <c r="L279" s="1651"/>
      <c r="N279" s="1170"/>
      <c r="O279" s="1646"/>
      <c r="P279" s="1646"/>
      <c r="Q279" s="1170"/>
      <c r="R279" s="1170"/>
      <c r="S279" s="1170"/>
      <c r="T279" s="1170"/>
      <c r="U279" s="1646"/>
      <c r="V279" s="1170"/>
      <c r="W279" s="1170"/>
      <c r="X279" s="554"/>
      <c r="Y279" s="1170"/>
      <c r="Z279" s="1170"/>
      <c r="AA279" s="1170"/>
      <c r="AB279" s="1170"/>
      <c r="AC279" s="1170"/>
      <c r="AD279" s="1642"/>
      <c r="AE279" s="576"/>
      <c r="AF279" s="576"/>
      <c r="AG279" s="576"/>
      <c r="AH279" s="576"/>
      <c r="AI279" s="1651">
        <v>11</v>
      </c>
    </row>
    <row s="1651" customFormat="1" customHeight="1" ht="11.549999999999999">
      <c r="A280" s="997"/>
      <c r="B280" s="1646"/>
      <c r="C280" s="1646"/>
      <c r="D280" s="361"/>
      <c r="J280" s="1651"/>
      <c r="K280" s="1651"/>
      <c r="L280" s="1651"/>
      <c r="N280" s="1170"/>
      <c r="O280" s="1646"/>
      <c r="P280" s="1646"/>
      <c r="Q280" s="1170"/>
      <c r="R280" s="1170"/>
      <c r="S280" s="1170"/>
      <c r="T280" s="1170"/>
      <c r="U280" s="1646"/>
      <c r="V280" s="1170"/>
      <c r="W280" s="1170"/>
      <c r="X280" s="554"/>
      <c r="Y280" s="1170"/>
      <c r="Z280" s="1170"/>
      <c r="AA280" s="1170"/>
      <c r="AB280" s="1170"/>
      <c r="AC280" s="1170"/>
      <c r="AD280" s="1642"/>
      <c r="AE280" s="576"/>
      <c r="AF280" s="576"/>
      <c r="AG280" s="576"/>
      <c r="AH280" s="576"/>
      <c r="AI280" s="1651">
        <v>11</v>
      </c>
    </row>
    <row s="1651" customFormat="1" customHeight="1" ht="11.549999999999999">
      <c r="A281" s="997"/>
      <c r="B281" s="1646"/>
      <c r="C281" s="1646"/>
      <c r="D281" s="361"/>
      <c r="J281" s="1651"/>
      <c r="K281" s="1651"/>
      <c r="L281" s="1651"/>
      <c r="N281" s="1170"/>
      <c r="O281" s="1646"/>
      <c r="P281" s="1646"/>
      <c r="Q281" s="1170"/>
      <c r="R281" s="1170"/>
      <c r="S281" s="1170"/>
      <c r="T281" s="1170"/>
      <c r="U281" s="1646"/>
      <c r="V281" s="1170"/>
      <c r="W281" s="1170"/>
      <c r="X281" s="554"/>
      <c r="Y281" s="1170"/>
      <c r="Z281" s="1170"/>
      <c r="AA281" s="1170"/>
      <c r="AB281" s="1170"/>
      <c r="AC281" s="1170"/>
      <c r="AD281" s="1642"/>
      <c r="AE281" s="576"/>
      <c r="AF281" s="576"/>
      <c r="AG281" s="576"/>
      <c r="AH281" s="576"/>
      <c r="AI281" s="1651">
        <v>11</v>
      </c>
    </row>
    <row s="1651" customFormat="1" customHeight="1" ht="11.549999999999999">
      <c r="A282" s="997"/>
      <c r="B282" s="1646"/>
      <c r="C282" s="1646"/>
      <c r="D282" s="361"/>
      <c r="J282" s="1651"/>
      <c r="K282" s="1651"/>
      <c r="L282" s="1651"/>
      <c r="N282" s="1170"/>
      <c r="O282" s="1646"/>
      <c r="P282" s="1646"/>
      <c r="Q282" s="1170"/>
      <c r="R282" s="1170"/>
      <c r="S282" s="1170"/>
      <c r="T282" s="1170"/>
      <c r="U282" s="1646"/>
      <c r="V282" s="1170"/>
      <c r="W282" s="1170"/>
      <c r="X282" s="554"/>
      <c r="Y282" s="1170"/>
      <c r="Z282" s="1170"/>
      <c r="AA282" s="1170"/>
      <c r="AB282" s="1170"/>
      <c r="AC282" s="1170"/>
      <c r="AD282" s="1642"/>
      <c r="AE282" s="576"/>
      <c r="AF282" s="576"/>
      <c r="AG282" s="576"/>
      <c r="AH282" s="576"/>
      <c r="AI282" s="1651">
        <v>11</v>
      </c>
    </row>
    <row s="1651" customFormat="1" customHeight="1" ht="11.549999999999999">
      <c r="A283" s="997"/>
      <c r="B283" s="1646"/>
      <c r="C283" s="1646"/>
      <c r="D283" s="361"/>
      <c r="J283" s="1651"/>
      <c r="K283" s="1651"/>
      <c r="L283" s="1651"/>
      <c r="N283" s="1170"/>
      <c r="O283" s="1646"/>
      <c r="P283" s="1646"/>
      <c r="Q283" s="1170"/>
      <c r="R283" s="1170"/>
      <c r="S283" s="1170"/>
      <c r="T283" s="1170"/>
      <c r="U283" s="1646"/>
      <c r="V283" s="1170"/>
      <c r="W283" s="1170"/>
      <c r="X283" s="554"/>
      <c r="Y283" s="1170"/>
      <c r="Z283" s="1170"/>
      <c r="AA283" s="1170"/>
      <c r="AB283" s="1170"/>
      <c r="AC283" s="1170"/>
      <c r="AD283" s="1642"/>
      <c r="AE283" s="576"/>
      <c r="AF283" s="576"/>
      <c r="AG283" s="576"/>
      <c r="AH283" s="576"/>
      <c r="AI283" s="1651">
        <v>11</v>
      </c>
    </row>
    <row s="1651" customFormat="1" customHeight="1" ht="11.549999999999999">
      <c r="A284" s="997"/>
      <c r="B284" s="1646"/>
      <c r="C284" s="1646"/>
      <c r="D284" s="361"/>
      <c r="J284" s="1651"/>
      <c r="K284" s="1651"/>
      <c r="L284" s="1651"/>
      <c r="N284" s="1170"/>
      <c r="O284" s="1646"/>
      <c r="P284" s="1646"/>
      <c r="Q284" s="1170"/>
      <c r="R284" s="1170"/>
      <c r="S284" s="1170"/>
      <c r="T284" s="1170"/>
      <c r="U284" s="1646"/>
      <c r="V284" s="1170"/>
      <c r="W284" s="1170"/>
      <c r="X284" s="554"/>
      <c r="Y284" s="1170"/>
      <c r="Z284" s="1170"/>
      <c r="AA284" s="1170"/>
      <c r="AB284" s="1170"/>
      <c r="AC284" s="1170"/>
      <c r="AD284" s="1642"/>
      <c r="AE284" s="576"/>
      <c r="AF284" s="576"/>
      <c r="AG284" s="576"/>
      <c r="AH284" s="576"/>
      <c r="AI284" s="1651">
        <v>11</v>
      </c>
    </row>
    <row s="1651" customFormat="1" customHeight="1" ht="11.549999999999999">
      <c r="A285" s="997"/>
      <c r="B285" s="1646"/>
      <c r="C285" s="1646"/>
      <c r="D285" s="361"/>
      <c r="J285" s="1651"/>
      <c r="K285" s="1651"/>
      <c r="L285" s="1651"/>
      <c r="N285" s="1170"/>
      <c r="O285" s="1646"/>
      <c r="P285" s="1646"/>
      <c r="Q285" s="1170"/>
      <c r="R285" s="1170"/>
      <c r="S285" s="1170"/>
      <c r="T285" s="1170"/>
      <c r="U285" s="1646"/>
      <c r="V285" s="1170"/>
      <c r="W285" s="1170"/>
      <c r="X285" s="554"/>
      <c r="Y285" s="1170"/>
      <c r="Z285" s="1170"/>
      <c r="AA285" s="1170"/>
      <c r="AB285" s="1170"/>
      <c r="AC285" s="1170"/>
      <c r="AD285" s="1642"/>
      <c r="AE285" s="576"/>
      <c r="AF285" s="576"/>
      <c r="AG285" s="576"/>
      <c r="AH285" s="576"/>
      <c r="AI285" s="1651">
        <v>11</v>
      </c>
    </row>
    <row s="1651" customFormat="1" customHeight="1" ht="11.549999999999999">
      <c r="A286" s="997"/>
      <c r="B286" s="1646"/>
      <c r="C286" s="1646"/>
      <c r="D286" s="361"/>
      <c r="J286" s="1651"/>
      <c r="K286" s="1651"/>
      <c r="L286" s="1651"/>
      <c r="N286" s="1170"/>
      <c r="O286" s="1646"/>
      <c r="P286" s="1646"/>
      <c r="Q286" s="1170"/>
      <c r="R286" s="1170"/>
      <c r="S286" s="1170"/>
      <c r="T286" s="1170"/>
      <c r="U286" s="1646"/>
      <c r="V286" s="1170"/>
      <c r="W286" s="1170"/>
      <c r="X286" s="554"/>
      <c r="Y286" s="1170"/>
      <c r="Z286" s="1170"/>
      <c r="AA286" s="1170"/>
      <c r="AB286" s="1170"/>
      <c r="AC286" s="1170"/>
      <c r="AD286" s="1642"/>
      <c r="AE286" s="576"/>
      <c r="AF286" s="576"/>
      <c r="AG286" s="576"/>
      <c r="AH286" s="576"/>
      <c r="AI286" s="1651">
        <v>11</v>
      </c>
    </row>
    <row s="1651" customFormat="1" customHeight="1" ht="11.549999999999999">
      <c r="A287" s="997"/>
      <c r="B287" s="1646"/>
      <c r="C287" s="1646"/>
      <c r="D287" s="361"/>
      <c r="J287" s="1651"/>
      <c r="K287" s="1651"/>
      <c r="L287" s="1651"/>
      <c r="N287" s="1170"/>
      <c r="O287" s="1646"/>
      <c r="P287" s="1646"/>
      <c r="Q287" s="1170"/>
      <c r="R287" s="1170"/>
      <c r="S287" s="1170"/>
      <c r="T287" s="1170"/>
      <c r="U287" s="1646"/>
      <c r="V287" s="1170"/>
      <c r="W287" s="1170"/>
      <c r="X287" s="554"/>
      <c r="Y287" s="1170"/>
      <c r="Z287" s="1170"/>
      <c r="AA287" s="1170"/>
      <c r="AB287" s="1170"/>
      <c r="AC287" s="1170"/>
      <c r="AD287" s="1642"/>
      <c r="AE287" s="576"/>
      <c r="AF287" s="576"/>
      <c r="AG287" s="576"/>
      <c r="AH287" s="576"/>
      <c r="AI287" s="1651">
        <v>11</v>
      </c>
    </row>
    <row s="1651" customFormat="1" customHeight="1" ht="11.549999999999999">
      <c r="A288" s="997"/>
      <c r="B288" s="1646"/>
      <c r="C288" s="1646"/>
      <c r="D288" s="361"/>
      <c r="J288" s="1651"/>
      <c r="K288" s="1651"/>
      <c r="L288" s="1651"/>
      <c r="N288" s="1170"/>
      <c r="O288" s="1646"/>
      <c r="P288" s="1646"/>
      <c r="Q288" s="1170"/>
      <c r="R288" s="1170"/>
      <c r="S288" s="1170"/>
      <c r="T288" s="1170"/>
      <c r="U288" s="1646"/>
      <c r="V288" s="1170"/>
      <c r="W288" s="1170"/>
      <c r="X288" s="554"/>
      <c r="Y288" s="1170"/>
      <c r="Z288" s="1170"/>
      <c r="AA288" s="1170"/>
      <c r="AB288" s="1170"/>
      <c r="AC288" s="1170"/>
      <c r="AD288" s="1642"/>
      <c r="AE288" s="576"/>
      <c r="AF288" s="576"/>
      <c r="AG288" s="576"/>
      <c r="AH288" s="576"/>
      <c r="AI288" s="1651">
        <v>11</v>
      </c>
    </row>
    <row customHeight="1" ht="11.549999999999999">
      <c r="J289" s="1645"/>
      <c r="K289" s="1645"/>
      <c r="L289" s="1645"/>
      <c r="AI289" s="1641">
        <v>11</v>
      </c>
    </row>
    <row customHeight="1" ht="11.549999999999999">
      <c r="J290" s="1645"/>
      <c r="K290" s="1645"/>
      <c r="L290" s="1645"/>
      <c r="AI290" s="1641">
        <v>11</v>
      </c>
    </row>
    <row customHeight="1" ht="11.549999999999999">
      <c r="J291" s="1645"/>
      <c r="K291" s="1645"/>
      <c r="L291" s="1645"/>
      <c r="AI291" s="1641">
        <v>11</v>
      </c>
    </row>
    <row customHeight="1" ht="11.549999999999999">
      <c r="A292" s="1000"/>
      <c r="B292" s="1641"/>
      <c r="D292" s="1641"/>
      <c r="J292" s="1645"/>
      <c r="K292" s="1645"/>
      <c r="L292" s="1645"/>
      <c r="N292" s="1641"/>
      <c r="Q292" s="1641"/>
      <c r="R292" s="1641"/>
      <c r="S292" s="1641"/>
      <c r="T292" s="1641"/>
      <c r="V292" s="1641"/>
      <c r="W292" s="1641"/>
      <c r="X292" s="1641"/>
      <c r="Y292" s="1641"/>
      <c r="Z292" s="1641"/>
      <c r="AA292" s="1641"/>
      <c r="AB292" s="1641"/>
      <c r="AC292" s="1641"/>
      <c r="AD292" s="1641"/>
      <c r="AE292" s="1641"/>
      <c r="AF292" s="1641"/>
      <c r="AG292" s="1641"/>
      <c r="AH292" s="1641"/>
      <c r="AI292" s="1641">
        <v>11</v>
      </c>
    </row>
    <row customHeight="1" ht="11.549999999999999">
      <c r="A293" s="1000"/>
      <c r="B293" s="1641"/>
      <c r="D293" s="1641"/>
      <c r="J293" s="1645"/>
      <c r="K293" s="1645"/>
      <c r="L293" s="1645"/>
      <c r="N293" s="1641"/>
      <c r="Q293" s="1641"/>
      <c r="R293" s="1641"/>
      <c r="S293" s="1641"/>
      <c r="T293" s="1641"/>
      <c r="V293" s="1641"/>
      <c r="W293" s="1641"/>
      <c r="X293" s="1641"/>
      <c r="Y293" s="1641"/>
      <c r="Z293" s="1641"/>
      <c r="AA293" s="1641"/>
      <c r="AB293" s="1641"/>
      <c r="AC293" s="1641"/>
      <c r="AD293" s="1641"/>
      <c r="AE293" s="1641"/>
      <c r="AF293" s="1641"/>
      <c r="AG293" s="1641"/>
      <c r="AH293" s="1641"/>
      <c r="AI293" s="1641">
        <v>11</v>
      </c>
    </row>
    <row customHeight="1" ht="11.549999999999999">
      <c r="A294" s="1000"/>
      <c r="B294" s="1641"/>
      <c r="D294" s="1641"/>
      <c r="J294" s="1645"/>
      <c r="K294" s="1645"/>
      <c r="L294" s="1645"/>
      <c r="N294" s="1641"/>
      <c r="Q294" s="1641"/>
      <c r="R294" s="1641"/>
      <c r="S294" s="1641"/>
      <c r="T294" s="1641"/>
      <c r="V294" s="1641"/>
      <c r="W294" s="1641"/>
      <c r="X294" s="1641"/>
      <c r="Y294" s="1641"/>
      <c r="Z294" s="1641"/>
      <c r="AA294" s="1641"/>
      <c r="AB294" s="1641"/>
      <c r="AC294" s="1641"/>
      <c r="AD294" s="1641"/>
      <c r="AE294" s="1641"/>
      <c r="AF294" s="1641"/>
      <c r="AG294" s="1641"/>
      <c r="AH294" s="1641"/>
      <c r="AI294" s="1641">
        <v>11</v>
      </c>
    </row>
    <row customHeight="1" ht="11.549999999999999">
      <c r="A295" s="1000"/>
      <c r="B295" s="1641"/>
      <c r="D295" s="1641"/>
      <c r="J295" s="1645"/>
      <c r="K295" s="1645"/>
      <c r="L295" s="1645"/>
      <c r="N295" s="1641"/>
      <c r="Q295" s="1641"/>
      <c r="R295" s="1641"/>
      <c r="S295" s="1641"/>
      <c r="T295" s="1641"/>
      <c r="V295" s="1641"/>
      <c r="W295" s="1641"/>
      <c r="X295" s="1641"/>
      <c r="Y295" s="1641"/>
      <c r="Z295" s="1641"/>
      <c r="AA295" s="1641"/>
      <c r="AB295" s="1641"/>
      <c r="AC295" s="1641"/>
      <c r="AD295" s="1641"/>
      <c r="AE295" s="1641"/>
      <c r="AF295" s="1641"/>
      <c r="AG295" s="1641"/>
      <c r="AH295" s="1641"/>
      <c r="AI295" s="1641">
        <v>11</v>
      </c>
    </row>
    <row customHeight="1" ht="11.549999999999999">
      <c r="A296" s="1000"/>
      <c r="B296" s="1641"/>
      <c r="D296" s="1641"/>
      <c r="J296" s="1645"/>
      <c r="K296" s="1645"/>
      <c r="L296" s="1645"/>
      <c r="N296" s="1641"/>
      <c r="Q296" s="1641"/>
      <c r="R296" s="1641"/>
      <c r="S296" s="1641"/>
      <c r="T296" s="1641"/>
      <c r="V296" s="1641"/>
      <c r="W296" s="1641"/>
      <c r="X296" s="1641"/>
      <c r="Y296" s="1641"/>
      <c r="Z296" s="1641"/>
      <c r="AA296" s="1641"/>
      <c r="AB296" s="1641"/>
      <c r="AC296" s="1641"/>
      <c r="AD296" s="1641"/>
      <c r="AE296" s="1641"/>
      <c r="AF296" s="1641"/>
      <c r="AG296" s="1641"/>
      <c r="AH296" s="1641"/>
      <c r="AI296" s="1641">
        <v>11</v>
      </c>
    </row>
    <row customHeight="1" ht="11.549999999999999">
      <c r="A297" s="1000"/>
      <c r="B297" s="1641"/>
      <c r="D297" s="1641"/>
      <c r="J297" s="1645"/>
      <c r="K297" s="1645"/>
      <c r="L297" s="1645"/>
      <c r="N297" s="1641"/>
      <c r="Q297" s="1641"/>
      <c r="R297" s="1641"/>
      <c r="S297" s="1641"/>
      <c r="T297" s="1641"/>
      <c r="V297" s="1641"/>
      <c r="W297" s="1641"/>
      <c r="X297" s="1641"/>
      <c r="Y297" s="1641"/>
      <c r="Z297" s="1641"/>
      <c r="AA297" s="1641"/>
      <c r="AB297" s="1641"/>
      <c r="AC297" s="1641"/>
      <c r="AD297" s="1641"/>
      <c r="AE297" s="1641"/>
      <c r="AF297" s="1641"/>
      <c r="AG297" s="1641"/>
      <c r="AH297" s="1641"/>
      <c r="AI297" s="1641">
        <v>11</v>
      </c>
    </row>
    <row customHeight="1" ht="11.549999999999999">
      <c r="A298" s="1000"/>
      <c r="B298" s="1641"/>
      <c r="D298" s="1641"/>
      <c r="J298" s="1645"/>
      <c r="K298" s="1645"/>
      <c r="L298" s="1645"/>
      <c r="N298" s="1641"/>
      <c r="Q298" s="1641"/>
      <c r="R298" s="1641"/>
      <c r="S298" s="1641"/>
      <c r="T298" s="1641"/>
      <c r="V298" s="1641"/>
      <c r="W298" s="1641"/>
      <c r="X298" s="1641"/>
      <c r="Y298" s="1641"/>
      <c r="Z298" s="1641"/>
      <c r="AA298" s="1641"/>
      <c r="AB298" s="1641"/>
      <c r="AC298" s="1641"/>
      <c r="AD298" s="1641"/>
      <c r="AE298" s="1641"/>
      <c r="AF298" s="1641"/>
      <c r="AG298" s="1641"/>
      <c r="AH298" s="1641"/>
      <c r="AI298" s="1641">
        <v>11</v>
      </c>
    </row>
    <row customHeight="1" ht="11.549999999999999">
      <c r="A299" s="1000"/>
      <c r="B299" s="1641"/>
      <c r="D299" s="1641"/>
      <c r="J299" s="1645"/>
      <c r="K299" s="1645"/>
      <c r="L299" s="1645"/>
      <c r="N299" s="1641"/>
      <c r="Q299" s="1641"/>
      <c r="R299" s="1641"/>
      <c r="S299" s="1641"/>
      <c r="T299" s="1641"/>
      <c r="V299" s="1641"/>
      <c r="W299" s="1641"/>
      <c r="X299" s="1641"/>
      <c r="Y299" s="1641"/>
      <c r="Z299" s="1641"/>
      <c r="AA299" s="1641"/>
      <c r="AB299" s="1641"/>
      <c r="AC299" s="1641"/>
      <c r="AD299" s="1641"/>
      <c r="AE299" s="1641"/>
      <c r="AF299" s="1641"/>
      <c r="AG299" s="1641"/>
      <c r="AH299" s="1641"/>
      <c r="AI299" s="1641">
        <v>11</v>
      </c>
    </row>
    <row customHeight="1" ht="11.549999999999999">
      <c r="A300" s="1000"/>
      <c r="B300" s="1641"/>
      <c r="D300" s="1641"/>
      <c r="J300" s="1645"/>
      <c r="K300" s="1645"/>
      <c r="L300" s="1645"/>
      <c r="N300" s="1641"/>
      <c r="Q300" s="1641"/>
      <c r="R300" s="1641"/>
      <c r="S300" s="1641"/>
      <c r="T300" s="1641"/>
      <c r="V300" s="1641"/>
      <c r="W300" s="1641"/>
      <c r="X300" s="1641"/>
      <c r="Y300" s="1641"/>
      <c r="Z300" s="1641"/>
      <c r="AA300" s="1641"/>
      <c r="AB300" s="1641"/>
      <c r="AC300" s="1641"/>
      <c r="AD300" s="1641"/>
      <c r="AE300" s="1641"/>
      <c r="AF300" s="1641"/>
      <c r="AG300" s="1641"/>
      <c r="AH300" s="1641"/>
      <c r="AI300" s="1641">
        <v>11</v>
      </c>
    </row>
    <row customHeight="1" ht="11.549999999999999">
      <c r="A301" s="1000"/>
      <c r="B301" s="1641"/>
      <c r="D301" s="1641"/>
      <c r="J301" s="1645"/>
      <c r="K301" s="1645"/>
      <c r="L301" s="1645"/>
      <c r="N301" s="1641"/>
      <c r="Q301" s="1641"/>
      <c r="R301" s="1641"/>
      <c r="S301" s="1641"/>
      <c r="T301" s="1641"/>
      <c r="V301" s="1641"/>
      <c r="W301" s="1641"/>
      <c r="X301" s="1641"/>
      <c r="Y301" s="1641"/>
      <c r="Z301" s="1641"/>
      <c r="AA301" s="1641"/>
      <c r="AB301" s="1641"/>
      <c r="AC301" s="1641"/>
      <c r="AD301" s="1641"/>
      <c r="AE301" s="1641"/>
      <c r="AF301" s="1641"/>
      <c r="AG301" s="1641"/>
      <c r="AH301" s="1641"/>
      <c r="AI301" s="1641">
        <v>11</v>
      </c>
    </row>
    <row customHeight="1" ht="11.549999999999999">
      <c r="A302" s="1000"/>
      <c r="B302" s="1641"/>
      <c r="D302" s="1641"/>
      <c r="J302" s="1645"/>
      <c r="K302" s="1645"/>
      <c r="L302" s="1645"/>
      <c r="N302" s="1641"/>
      <c r="Q302" s="1641"/>
      <c r="R302" s="1641"/>
      <c r="S302" s="1641"/>
      <c r="T302" s="1641"/>
      <c r="V302" s="1641"/>
      <c r="W302" s="1641"/>
      <c r="X302" s="1641"/>
      <c r="Y302" s="1641"/>
      <c r="Z302" s="1641"/>
      <c r="AA302" s="1641"/>
      <c r="AB302" s="1641"/>
      <c r="AC302" s="1641"/>
      <c r="AD302" s="1641"/>
      <c r="AE302" s="1641"/>
      <c r="AF302" s="1641"/>
      <c r="AG302" s="1641"/>
      <c r="AH302" s="1641"/>
      <c r="AI302" s="1641">
        <v>11</v>
      </c>
    </row>
    <row customHeight="1" ht="11.25" hidden="1">
      <c r="A303" s="997" t="s">
        <v>82</v>
      </c>
      <c r="B303" s="1170">
        <v>0</v>
      </c>
      <c r="C303" s="1646">
        <v>0</v>
      </c>
      <c r="D303" s="1645">
        <v>3</v>
      </c>
      <c r="E303" s="1641">
        <v>7</v>
      </c>
      <c r="F303" s="1641">
        <v>54</v>
      </c>
      <c r="G303" s="1641">
        <v>10</v>
      </c>
      <c r="H303" s="1641">
        <v>0</v>
      </c>
      <c r="I303" s="1641">
        <v>40</v>
      </c>
      <c r="J303" s="1645">
        <v>0</v>
      </c>
      <c r="K303" s="1645">
        <v>0</v>
      </c>
      <c r="L303" s="1645">
        <v>0</v>
      </c>
      <c r="M303" s="1641">
        <v>102</v>
      </c>
      <c r="N303" s="1170">
        <v>9</v>
      </c>
      <c r="O303" s="1646">
        <v>5</v>
      </c>
      <c r="P303" s="1646">
        <v>3</v>
      </c>
      <c r="Q303" s="1170">
        <v>3</v>
      </c>
      <c r="R303" s="1170">
        <v>3</v>
      </c>
      <c r="S303" s="1170">
        <v>3</v>
      </c>
      <c r="T303" s="1170">
        <v>3</v>
      </c>
      <c r="U303" s="1646">
        <v>10</v>
      </c>
      <c r="V303" s="1170">
        <v>34</v>
      </c>
      <c r="W303" s="1170">
        <v>9</v>
      </c>
      <c r="X303" s="554">
        <v>8</v>
      </c>
      <c r="Y303" s="1170">
        <v>8</v>
      </c>
      <c r="Z303" s="1170">
        <v>8</v>
      </c>
      <c r="AA303" s="1170">
        <v>8</v>
      </c>
      <c r="AB303" s="1170">
        <v>8</v>
      </c>
      <c r="AC303" s="1170">
        <v>8</v>
      </c>
      <c r="AD303" s="1642">
        <v>8</v>
      </c>
      <c r="AE303" s="1642">
        <v>8</v>
      </c>
      <c r="AF303" s="1642">
        <v>8</v>
      </c>
      <c r="AG303" s="1642">
        <v>8</v>
      </c>
      <c r="AH303" s="1642">
        <v>8</v>
      </c>
      <c r="AI303" s="1641">
        <v>11</v>
      </c>
    </row>
  </sheetData>
  <sheetProtection sheet="1" formatColumns="0" formatRows="0" autoFilter="0" sort="1" insertRows="1" insertColumns="1" deleteRows="1" deleteColumns="1"/>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M25:M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L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L70">
      <formula1>900</formula1>
    </dataValidation>
    <dataValidation type="textLength" operator="lessThanOrEqual" allowBlank="1" showInputMessage="1" showErrorMessage="1" errorTitle="Ошибка" error="Допускается ввод не более 900 символов!" sqref="G4 H34:L34 H39:L39">
      <formula1>900</formula1>
    </dataValidation>
    <dataValidation type="decimal" allowBlank="1" showErrorMessage="1" errorTitle="Ошибка" error="Допускается ввод только неотрицательных чисел!" sqref="H67:L67 H69:L69 H91:L94 H127:L127 H30:L30 H32:L33 H35:L38 H40:L65 H82:L86 H17:L17 H9:L13 H15:L15 H96:L119 H74:L74 H88:L89 H4:L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L130 H81:L81">
      <formula1>900</formula1>
    </dataValidation>
    <dataValidation type="decimal" allowBlank="1" showErrorMessage="1" errorTitle="Ошибка" error="Допускается ввод только действительных чисел!" sqref="H72:L73">
      <formula1>-9.99999999999999E+23</formula1>
      <formula2>9.99999999999999E+23</formula2>
    </dataValidation>
    <dataValidation type="decimal" allowBlank="1" showErrorMessage="1" errorTitle="Ошибка" error="Допускается ввод только действительных чисел!" sqref="H123:L123 H120:L120 H126:L126 H75:L80">
      <formula1>-9.99999999999999E+37</formula1>
      <formula2>9.99999999999999E+37</formula2>
    </dataValidation>
    <dataValidation type="decimal" allowBlank="1" showErrorMessage="1" errorTitle="Ошибка" error="Введите значение от 0 до 100%" sqref="H90:L90 H95:L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L68 H66:L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6091C2-E5BC-34D2-381A-0.4B0DFB32}" mc:Ignorable="x14ac xr xr2 xr3">
  <sheetPr>
    <tabColor theme="9" tint="-0.25"/>
  </sheetPr>
  <dimension ref="A1:CF56"/>
  <sheetViews>
    <sheetView topLeftCell="A1" showGridLines="0" zoomScale="90" workbookViewId="0">
      <selection activeCell="A41" sqref="A41:CF49"/>
    </sheetView>
  </sheetViews>
  <sheetFormatPr defaultColWidth="9.140625" customHeight="1" defaultRowHeight="11.25"/>
  <cols>
    <col min="1" max="1" style="953" width="14.7109375" hidden="1" customWidth="1"/>
    <col min="2" max="2" style="1642" width="17.00390625" hidden="1" customWidth="1"/>
    <col min="3" max="3" style="1645" width="3.00390625" customWidth="1"/>
    <col min="4" max="4" style="1645" width="1.8515625" hidden="1" customWidth="1"/>
    <col min="5" max="6" style="1645" width="7.00390625" customWidth="1"/>
    <col min="7" max="7" style="1645" width="29.00390625" customWidth="1"/>
    <col min="8" max="8" style="1645" width="3.7109375" customWidth="1"/>
    <col min="9" max="9" style="1645" width="5.00390625" customWidth="1"/>
    <col min="10" max="11" style="1645" width="24.00390625" customWidth="1"/>
    <col min="12" max="12" style="1645" width="3.00390625" customWidth="1"/>
    <col min="13" max="13" style="1645" width="6.00390625" customWidth="1"/>
    <col min="14" max="14" style="1645" width="25.00390625" customWidth="1"/>
    <col min="15" max="18" style="1645" width="18.00390625" customWidth="1"/>
    <col min="19" max="19" style="1645" width="93.00390625" customWidth="1"/>
    <col min="20" max="20" style="1645" width="10.00390625" customWidth="1"/>
    <col min="21" max="21" style="1652" width="10.00390625" customWidth="1"/>
    <col min="22" max="22" style="1652" width="11.00390625" customWidth="1"/>
    <col min="23" max="27" style="1642" width="10.00390625" customWidth="1"/>
    <col min="28" max="83" style="1645" width="8.00390625" customWidth="1"/>
    <col min="84" max="84" style="1645" width="9.140625" hidden="1"/>
  </cols>
  <sheetData>
    <row customHeight="1" ht="22.5" hidden="1">
      <c r="CF1" s="515" t="s">
        <v>14</v>
      </c>
    </row>
    <row customHeight="1" ht="11.25" hidden="1">
      <c r="CF2" s="515">
        <v>0</v>
      </c>
    </row>
    <row customHeight="1" ht="11.25" hidden="1">
      <c r="CF3" s="515">
        <v>0</v>
      </c>
    </row>
    <row customHeight="1" ht="3">
      <c r="C4" s="519"/>
      <c r="D4" s="519"/>
      <c r="E4" s="519"/>
      <c r="F4" s="519"/>
      <c r="G4" s="519"/>
      <c r="H4" s="519"/>
      <c r="I4" s="519"/>
      <c r="J4" s="519"/>
      <c r="K4" s="176"/>
      <c r="L4" s="176"/>
      <c r="M4" s="176"/>
      <c r="CF4" s="515">
        <v>3</v>
      </c>
    </row>
    <row customHeight="1" ht="29.25">
      <c r="C5" s="519"/>
      <c r="D5" s="1067"/>
      <c r="E5" s="2247" t="str">
        <f>FHD20_NAME_FORM</f>
        <v>Форма 11. Информация о расходах на капитальный и текущий ремонт основных средств</v>
      </c>
      <c r="F5" s="2247"/>
      <c r="G5" s="2247"/>
      <c r="H5" s="2247"/>
      <c r="I5" s="2247"/>
      <c r="J5" s="2247"/>
      <c r="K5" s="2247"/>
      <c r="L5" s="623"/>
      <c r="M5" s="623"/>
      <c r="CF5" s="515">
        <v>28</v>
      </c>
    </row>
    <row s="1645" customFormat="1" customHeight="1" ht="16.8">
      <c r="A6" s="620"/>
      <c r="B6" s="769"/>
      <c r="C6" s="519"/>
      <c r="D6" s="1068"/>
      <c r="E6" s="2186" t="str">
        <f>IF(org=0,"Не определено",org)</f>
        <v>АО «ДГК» СП «Нерюнгринская ГРЭС»</v>
      </c>
      <c r="F6" s="2186"/>
      <c r="G6" s="2186"/>
      <c r="H6" s="2186"/>
      <c r="I6" s="2186"/>
      <c r="J6" s="2186"/>
      <c r="K6" s="2186"/>
      <c r="L6" s="623"/>
      <c r="M6" s="623"/>
      <c r="U6" s="621"/>
      <c r="V6" s="621"/>
      <c r="W6" s="622"/>
      <c r="X6" s="769"/>
      <c r="Y6" s="769"/>
      <c r="Z6" s="769"/>
      <c r="AA6" s="769"/>
      <c r="CF6" s="768">
        <v>16</v>
      </c>
    </row>
    <row customHeight="1" ht="11.549999999999999">
      <c r="C7" s="519"/>
      <c r="D7" s="519"/>
      <c r="E7" s="519"/>
      <c r="F7" s="519"/>
      <c r="G7" s="532"/>
      <c r="H7" s="532"/>
      <c r="I7" s="532"/>
      <c r="J7" s="532"/>
      <c r="K7" s="624"/>
      <c r="L7" s="624"/>
      <c r="M7" s="624"/>
      <c r="R7" s="762"/>
      <c r="CF7" s="515">
        <v>11</v>
      </c>
    </row>
    <row s="1651" customFormat="1" customHeight="1" ht="4.2">
      <c r="A8" s="631"/>
      <c r="B8" s="576"/>
      <c r="C8" s="361"/>
      <c r="D8" s="361"/>
      <c r="E8" s="361"/>
      <c r="F8" s="361"/>
      <c r="G8" s="985"/>
      <c r="H8" s="985"/>
      <c r="I8" s="985"/>
      <c r="J8" s="985"/>
      <c r="K8" s="1028"/>
      <c r="L8" s="1028"/>
      <c r="M8" s="1028"/>
      <c r="R8" s="1029"/>
      <c r="U8" s="621"/>
      <c r="V8" s="621"/>
      <c r="W8" s="632"/>
      <c r="X8" s="576"/>
      <c r="Y8" s="576"/>
      <c r="Z8" s="576"/>
      <c r="AA8" s="576"/>
      <c r="CF8" s="506">
        <v>4</v>
      </c>
    </row>
    <row customHeight="1" ht="19.95">
      <c r="D9" s="299"/>
      <c r="E9" s="2111" t="s">
        <v>322</v>
      </c>
      <c r="F9" s="2112"/>
      <c r="G9" s="2112"/>
      <c r="H9" s="2112"/>
      <c r="I9" s="2112"/>
      <c r="J9" s="2112"/>
      <c r="K9" s="2112"/>
      <c r="L9" s="2112"/>
      <c r="M9" s="2112"/>
      <c r="N9" s="2112"/>
      <c r="O9" s="2112"/>
      <c r="P9" s="2112"/>
      <c r="Q9" s="2112"/>
      <c r="R9" s="2113"/>
      <c r="S9" s="2137" t="s">
        <v>323</v>
      </c>
      <c r="T9" s="344"/>
      <c r="CF9" s="515">
        <v>19</v>
      </c>
    </row>
    <row customHeight="1" ht="48.29999999999999">
      <c r="D10" s="561" t="s">
        <v>88</v>
      </c>
      <c r="E10" s="2137" t="s">
        <v>88</v>
      </c>
      <c r="F10" s="2137"/>
      <c r="G10" s="531" t="s">
        <v>324</v>
      </c>
      <c r="H10" s="2137" t="s">
        <v>88</v>
      </c>
      <c r="I10" s="2137"/>
      <c r="J10" s="531" t="s">
        <v>624</v>
      </c>
      <c r="K10" s="531" t="s">
        <v>625</v>
      </c>
      <c r="L10" s="2137" t="s">
        <v>88</v>
      </c>
      <c r="M10" s="2137"/>
      <c r="N10" s="531" t="s">
        <v>626</v>
      </c>
      <c r="O10" s="531" t="s">
        <v>627</v>
      </c>
      <c r="P10" s="531" t="s">
        <v>628</v>
      </c>
      <c r="Q10" s="531" t="s">
        <v>629</v>
      </c>
      <c r="R10" s="531" t="s">
        <v>630</v>
      </c>
      <c r="S10" s="2137"/>
      <c r="T10" s="344"/>
      <c r="CF10" s="515">
        <v>46</v>
      </c>
    </row>
    <row s="1652" customFormat="1" customHeight="1" ht="15" hidden="1">
      <c r="A11" s="1062"/>
      <c r="D11" s="1035" t="s">
        <v>124</v>
      </c>
      <c r="E11" s="1035"/>
      <c r="F11" s="1035" t="s">
        <v>104</v>
      </c>
      <c r="G11" s="1035" t="s">
        <v>90</v>
      </c>
      <c r="H11" s="1035"/>
      <c r="I11" s="1035" t="s">
        <v>91</v>
      </c>
      <c r="J11" s="1035" t="s">
        <v>125</v>
      </c>
      <c r="K11" s="1035" t="s">
        <v>92</v>
      </c>
      <c r="L11" s="1035"/>
      <c r="M11" s="1035" t="s">
        <v>93</v>
      </c>
      <c r="N11" s="1035" t="s">
        <v>126</v>
      </c>
      <c r="O11" s="1035" t="s">
        <v>172</v>
      </c>
      <c r="P11" s="1035" t="s">
        <v>173</v>
      </c>
      <c r="Q11" s="1035" t="s">
        <v>174</v>
      </c>
      <c r="R11" s="1035" t="s">
        <v>175</v>
      </c>
      <c r="S11" s="1035" t="s">
        <v>176</v>
      </c>
      <c r="U11" s="621"/>
      <c r="V11" s="621"/>
      <c r="W11" s="621"/>
      <c r="CF11" s="521">
        <v>0</v>
      </c>
    </row>
    <row s="1645" customFormat="1" customHeight="1" ht="1.05">
      <c r="A12" s="625"/>
      <c r="B12" s="372"/>
      <c r="D12" s="558"/>
      <c r="E12" s="356"/>
      <c r="F12" s="356"/>
      <c r="Q12" s="626"/>
      <c r="R12" s="627"/>
      <c r="T12" s="628"/>
      <c r="U12" s="629"/>
      <c r="V12" s="629"/>
      <c r="W12" s="630"/>
      <c r="X12" s="372"/>
      <c r="Y12" s="372"/>
      <c r="Z12" s="372"/>
      <c r="AA12" s="372"/>
      <c r="CF12" s="519">
        <v>1</v>
      </c>
    </row>
    <row s="1651" customFormat="1" customHeight="1" ht="1.05">
      <c r="A13" s="631"/>
      <c r="B13" s="576"/>
      <c r="D13" s="558" t="s">
        <v>398</v>
      </c>
      <c r="E13" s="570"/>
      <c r="F13" s="570"/>
      <c r="G13" s="570"/>
      <c r="H13" s="570"/>
      <c r="I13" s="570"/>
      <c r="J13" s="570"/>
      <c r="K13" s="570"/>
      <c r="L13" s="570"/>
      <c r="M13" s="570"/>
      <c r="N13" s="570"/>
      <c r="O13" s="570"/>
      <c r="P13" s="570"/>
      <c r="Q13" s="570"/>
      <c r="R13" s="570"/>
      <c r="T13" s="344"/>
      <c r="U13" s="621"/>
      <c r="V13" s="621"/>
      <c r="W13" s="632"/>
      <c r="X13" s="576"/>
      <c r="Y13" s="576"/>
      <c r="Z13" s="576"/>
      <c r="AA13" s="576"/>
      <c r="CF13" s="506">
        <v>1</v>
      </c>
    </row>
    <row s="1860" customFormat="1" customHeight="1" ht="15" hidden="1">
      <c r="A14" s="633" t="s">
        <v>132</v>
      </c>
      <c r="B14" s="634"/>
      <c r="C14" s="634"/>
      <c r="D14" s="2390" t="s">
        <v>124</v>
      </c>
      <c r="E14" s="2387" t="s">
        <v>120</v>
      </c>
      <c r="F14" s="2388"/>
      <c r="G14" s="2389"/>
      <c r="H14" s="2393" t="str">
        <f>IF(A14="","",INDEX(DIFFERENTIATION_UNMERGE_VD,MATCH(A14,DIFFERENTIATION_ID_DIFF,0)))</f>
        <v>Производство тепловой энергии. Некомбинированная выработка</v>
      </c>
      <c r="I14" s="2393"/>
      <c r="J14" s="2393"/>
      <c r="K14" s="2393"/>
      <c r="L14" s="2393"/>
      <c r="M14" s="2393"/>
      <c r="N14" s="2393"/>
      <c r="O14" s="2393"/>
      <c r="P14" s="2393"/>
      <c r="Q14" s="2393"/>
      <c r="R14" s="2393"/>
      <c r="S14" s="729"/>
      <c r="T14" s="726"/>
      <c r="U14" s="635"/>
      <c r="V14" s="635"/>
      <c r="W14" s="636"/>
      <c r="X14" s="636"/>
      <c r="Y14" s="636"/>
      <c r="Z14" s="636"/>
      <c r="AA14" s="637"/>
      <c r="AB14" s="638"/>
      <c r="AC14" s="2385"/>
      <c r="AD14" s="639"/>
      <c r="AE14" s="640" t="s">
        <v>22</v>
      </c>
      <c r="AF14" s="640"/>
      <c r="AG14" s="641" t="s">
        <v>631</v>
      </c>
      <c r="AH14" s="642">
        <v>3</v>
      </c>
      <c r="AI14" s="635"/>
      <c r="AJ14" s="635"/>
      <c r="AK14" s="635"/>
      <c r="AL14" s="635"/>
      <c r="AM14" s="635"/>
      <c r="AN14" s="635"/>
      <c r="AO14" s="635"/>
      <c r="AP14" s="635"/>
      <c r="AQ14" s="635"/>
      <c r="AR14" s="635"/>
      <c r="AS14" s="635"/>
      <c r="AT14" s="635"/>
      <c r="AU14" s="635"/>
      <c r="AV14" s="635"/>
      <c r="AW14" s="635"/>
      <c r="AX14" s="635"/>
      <c r="AY14" s="635"/>
      <c r="AZ14" s="635"/>
      <c r="BA14" s="635"/>
      <c r="BB14" s="635"/>
      <c r="BC14" s="635"/>
      <c r="BD14" s="635"/>
      <c r="BE14" s="635"/>
      <c r="BF14" s="635"/>
      <c r="BG14" s="635"/>
      <c r="BH14" s="635"/>
      <c r="BI14" s="635"/>
      <c r="BJ14" s="635"/>
      <c r="BK14" s="635"/>
      <c r="BL14" s="635"/>
      <c r="BM14" s="635"/>
      <c r="BN14" s="635"/>
      <c r="BO14" s="635"/>
      <c r="BP14" s="635"/>
      <c r="BQ14" s="635"/>
      <c r="BR14" s="635"/>
      <c r="BS14" s="635"/>
      <c r="BT14" s="635"/>
      <c r="BU14" s="635"/>
      <c r="BV14" s="636"/>
      <c r="BW14" s="636"/>
      <c r="BX14" s="636"/>
      <c r="BY14" s="636"/>
      <c r="BZ14" s="636"/>
      <c r="CA14" s="636"/>
      <c r="CB14" s="636"/>
      <c r="CC14" s="636"/>
      <c r="CD14" s="636"/>
      <c r="CE14" s="636"/>
      <c r="CF14" s="303">
        <v>0</v>
      </c>
    </row>
    <row s="1860" customFormat="1" customHeight="1" ht="15" hidden="1">
      <c r="A15" s="633"/>
      <c r="B15" s="634"/>
      <c r="C15" s="634"/>
      <c r="D15" s="2391"/>
      <c r="E15" s="2387" t="s">
        <v>586</v>
      </c>
      <c r="F15" s="2388"/>
      <c r="G15" s="2389"/>
      <c r="H15" s="2393" t="str">
        <f>IF(A14="","",INDEX(DIFFERENTIATION_UNMERGE_AREA,MATCH(A14,DIFFERENTIATION_ID_DIFF,0)))</f>
        <v>Территория 1</v>
      </c>
      <c r="I15" s="2393"/>
      <c r="J15" s="2393"/>
      <c r="K15" s="2393"/>
      <c r="L15" s="2393"/>
      <c r="M15" s="2393"/>
      <c r="N15" s="2393"/>
      <c r="O15" s="2393"/>
      <c r="P15" s="2393"/>
      <c r="Q15" s="2393"/>
      <c r="R15" s="2393"/>
      <c r="S15" s="729"/>
      <c r="T15" s="726"/>
      <c r="U15" s="635"/>
      <c r="V15" s="635"/>
      <c r="W15" s="636"/>
      <c r="X15" s="636"/>
      <c r="Y15" s="636"/>
      <c r="Z15" s="636"/>
      <c r="AA15" s="637"/>
      <c r="AB15" s="638"/>
      <c r="AC15" s="2385"/>
      <c r="AD15" s="639"/>
      <c r="AE15" s="640"/>
      <c r="AF15" s="640"/>
      <c r="AG15" s="641"/>
      <c r="AH15" s="642"/>
      <c r="AI15" s="635"/>
      <c r="AJ15" s="635"/>
      <c r="AK15" s="635"/>
      <c r="AL15" s="635"/>
      <c r="AM15" s="635"/>
      <c r="AN15" s="635"/>
      <c r="AO15" s="635"/>
      <c r="AP15" s="635"/>
      <c r="AQ15" s="635"/>
      <c r="AR15" s="635"/>
      <c r="AS15" s="635"/>
      <c r="AT15" s="635"/>
      <c r="AU15" s="635"/>
      <c r="AV15" s="635"/>
      <c r="AW15" s="635"/>
      <c r="AX15" s="635"/>
      <c r="AY15" s="635"/>
      <c r="AZ15" s="635"/>
      <c r="BA15" s="635"/>
      <c r="BB15" s="635"/>
      <c r="BC15" s="635"/>
      <c r="BD15" s="635"/>
      <c r="BE15" s="635"/>
      <c r="BF15" s="635"/>
      <c r="BG15" s="635"/>
      <c r="BH15" s="635"/>
      <c r="BI15" s="635"/>
      <c r="BJ15" s="635"/>
      <c r="BK15" s="635"/>
      <c r="BL15" s="635"/>
      <c r="BM15" s="635"/>
      <c r="BN15" s="635"/>
      <c r="BO15" s="635"/>
      <c r="BP15" s="635"/>
      <c r="BQ15" s="635"/>
      <c r="BR15" s="635"/>
      <c r="BS15" s="635"/>
      <c r="BT15" s="635"/>
      <c r="BU15" s="635"/>
      <c r="BV15" s="636"/>
      <c r="BW15" s="636"/>
      <c r="BX15" s="636"/>
      <c r="BY15" s="636"/>
      <c r="BZ15" s="636"/>
      <c r="CA15" s="636"/>
      <c r="CB15" s="636"/>
      <c r="CC15" s="636"/>
      <c r="CD15" s="636"/>
      <c r="CE15" s="636"/>
      <c r="CF15" s="303">
        <v>0</v>
      </c>
    </row>
    <row s="1860" customFormat="1" customHeight="1" ht="15" hidden="1">
      <c r="A16" s="633"/>
      <c r="B16" s="634"/>
      <c r="C16" s="634"/>
      <c r="D16" s="2391"/>
      <c r="E16" s="2387" t="s">
        <v>587</v>
      </c>
      <c r="F16" s="2388"/>
      <c r="G16" s="2389"/>
      <c r="H16" s="2393" t="str">
        <f>IF(A14="","",INDEX(DIFFERENTIATION_UNMERGE_SYSTEM,MATCH(A14,DIFFERENTIATION_ID_DIFF,0)))</f>
        <v>Нерюнгринская ГРЭС (г. Нерюнгри)</v>
      </c>
      <c r="I16" s="2393"/>
      <c r="J16" s="2393"/>
      <c r="K16" s="2393"/>
      <c r="L16" s="2393"/>
      <c r="M16" s="2393"/>
      <c r="N16" s="2393"/>
      <c r="O16" s="2393"/>
      <c r="P16" s="2393"/>
      <c r="Q16" s="2393"/>
      <c r="R16" s="2393"/>
      <c r="S16" s="729"/>
      <c r="T16" s="726"/>
      <c r="U16" s="635"/>
      <c r="V16" s="635"/>
      <c r="W16" s="636"/>
      <c r="X16" s="636"/>
      <c r="Y16" s="636"/>
      <c r="Z16" s="636"/>
      <c r="AA16" s="637"/>
      <c r="AB16" s="638"/>
      <c r="AC16" s="2385"/>
      <c r="AD16" s="639"/>
      <c r="AE16" s="640"/>
      <c r="AF16" s="640"/>
      <c r="AG16" s="641"/>
      <c r="AH16" s="642"/>
      <c r="AI16" s="635"/>
      <c r="AJ16" s="635"/>
      <c r="AK16" s="635"/>
      <c r="AL16" s="635"/>
      <c r="AM16" s="635"/>
      <c r="AN16" s="635"/>
      <c r="AO16" s="635"/>
      <c r="AP16" s="635"/>
      <c r="AQ16" s="635"/>
      <c r="AR16" s="635"/>
      <c r="AS16" s="635"/>
      <c r="AT16" s="635"/>
      <c r="AU16" s="635"/>
      <c r="AV16" s="635"/>
      <c r="AW16" s="635"/>
      <c r="AX16" s="635"/>
      <c r="AY16" s="635"/>
      <c r="AZ16" s="635"/>
      <c r="BA16" s="635"/>
      <c r="BB16" s="635"/>
      <c r="BC16" s="635"/>
      <c r="BD16" s="635"/>
      <c r="BE16" s="635"/>
      <c r="BF16" s="635"/>
      <c r="BG16" s="635"/>
      <c r="BH16" s="635"/>
      <c r="BI16" s="635"/>
      <c r="BJ16" s="635"/>
      <c r="BK16" s="635"/>
      <c r="BL16" s="635"/>
      <c r="BM16" s="635"/>
      <c r="BN16" s="635"/>
      <c r="BO16" s="635"/>
      <c r="BP16" s="635"/>
      <c r="BQ16" s="635"/>
      <c r="BR16" s="635"/>
      <c r="BS16" s="635"/>
      <c r="BT16" s="635"/>
      <c r="BU16" s="635"/>
      <c r="BV16" s="636"/>
      <c r="BW16" s="636"/>
      <c r="BX16" s="636"/>
      <c r="BY16" s="636"/>
      <c r="BZ16" s="636"/>
      <c r="CA16" s="636"/>
      <c r="CB16" s="636"/>
      <c r="CC16" s="636"/>
      <c r="CD16" s="636"/>
      <c r="CE16" s="636"/>
      <c r="CF16" s="303">
        <v>0</v>
      </c>
    </row>
    <row s="1860" customFormat="1" customHeight="1" ht="22.5" hidden="1">
      <c r="A17" s="643"/>
      <c r="B17" s="427"/>
      <c r="C17" s="422"/>
      <c r="D17" s="2391"/>
      <c r="E17" s="2386" t="s">
        <v>632</v>
      </c>
      <c r="F17" s="2386"/>
      <c r="G17" s="2386"/>
      <c r="H17" s="2386"/>
      <c r="I17" s="2386"/>
      <c r="J17" s="2386"/>
      <c r="K17" s="2386"/>
      <c r="L17" s="2386"/>
      <c r="M17" s="2386"/>
      <c r="N17" s="2386"/>
      <c r="O17" s="2386"/>
      <c r="P17" s="2386"/>
      <c r="Q17" s="568">
        <f>SUMIF(T18:T19,"i",Q18:Q19)</f>
        <v>0</v>
      </c>
      <c r="R17" s="1027"/>
      <c r="S17" s="907" t="s">
        <v>633</v>
      </c>
      <c r="T17" s="727" t="s">
        <v>634</v>
      </c>
      <c r="U17" s="2384">
        <v>1</v>
      </c>
      <c r="V17" s="2384" t="str">
        <f>INDEX(B_FHD_FLAG_INDEX_1,1,MATCH(A14,B_FHD_FLAG_DIFFERENTIATION,0))</f>
        <v>отсутствует</v>
      </c>
      <c r="W17" s="427"/>
      <c r="X17" s="427"/>
      <c r="Y17" s="427"/>
      <c r="Z17" s="427"/>
      <c r="AA17" s="521"/>
      <c r="AB17" s="427"/>
      <c r="AC17" s="2385"/>
      <c r="AD17" s="639"/>
      <c r="AE17" s="427"/>
      <c r="AF17" s="427"/>
      <c r="AG17" s="521"/>
      <c r="AH17" s="521"/>
      <c r="AI17" s="521"/>
      <c r="AJ17" s="521"/>
      <c r="AK17" s="521"/>
      <c r="AL17" s="521"/>
      <c r="AM17" s="521"/>
      <c r="AN17" s="521"/>
      <c r="AO17" s="521"/>
      <c r="AP17" s="521"/>
      <c r="AQ17" s="521"/>
      <c r="AR17" s="521"/>
      <c r="AS17" s="521"/>
      <c r="AT17" s="521"/>
      <c r="AU17" s="521"/>
      <c r="AV17" s="521"/>
      <c r="AW17" s="521"/>
      <c r="AX17" s="521"/>
      <c r="AY17" s="521"/>
      <c r="AZ17" s="521"/>
      <c r="BA17" s="521"/>
      <c r="BB17" s="521"/>
      <c r="BC17" s="521"/>
      <c r="BD17" s="521"/>
      <c r="BE17" s="521"/>
      <c r="BF17" s="521"/>
      <c r="BG17" s="521"/>
      <c r="BH17" s="521"/>
      <c r="BI17" s="521"/>
      <c r="BJ17" s="521"/>
      <c r="BK17" s="521"/>
      <c r="BL17" s="521"/>
      <c r="BM17" s="521"/>
      <c r="BN17" s="521"/>
      <c r="BO17" s="521"/>
      <c r="BP17" s="521"/>
      <c r="BQ17" s="521"/>
      <c r="BR17" s="521"/>
      <c r="BS17" s="521"/>
      <c r="BT17" s="521"/>
      <c r="BU17" s="521"/>
      <c r="BV17" s="427"/>
      <c r="BW17" s="427"/>
      <c r="BX17" s="427"/>
      <c r="BY17" s="427"/>
      <c r="BZ17" s="427"/>
      <c r="CA17" s="427"/>
      <c r="CB17" s="427"/>
      <c r="CC17" s="427"/>
      <c r="CD17" s="427"/>
      <c r="CE17" s="427"/>
      <c r="CF17" s="303">
        <v>0</v>
      </c>
    </row>
    <row s="1860" customFormat="1" customHeight="1" ht="11.25" hidden="1">
      <c r="A18" s="644"/>
      <c r="B18" s="521"/>
      <c r="C18" s="521"/>
      <c r="D18" s="2391"/>
      <c r="E18" s="645"/>
      <c r="F18" s="645">
        <v>0</v>
      </c>
      <c r="G18" s="645"/>
      <c r="H18" s="645"/>
      <c r="I18" s="645"/>
      <c r="J18" s="645"/>
      <c r="K18" s="645"/>
      <c r="L18" s="645"/>
      <c r="M18" s="645"/>
      <c r="N18" s="645"/>
      <c r="O18" s="645"/>
      <c r="P18" s="645"/>
      <c r="Q18" s="645"/>
      <c r="R18" s="645"/>
      <c r="S18" s="646"/>
      <c r="T18" s="728"/>
      <c r="U18" s="2384"/>
      <c r="V18" s="2384"/>
      <c r="W18" s="521"/>
      <c r="X18" s="521"/>
      <c r="Y18" s="521"/>
      <c r="Z18" s="521"/>
      <c r="AA18" s="521"/>
      <c r="AB18" s="427"/>
      <c r="AC18" s="2385"/>
      <c r="AD18" s="639"/>
      <c r="AE18" s="427"/>
      <c r="AF18" s="427"/>
      <c r="AG18" s="521"/>
      <c r="AH18" s="521"/>
      <c r="AI18" s="521"/>
      <c r="AJ18" s="521"/>
      <c r="AK18" s="521"/>
      <c r="AL18" s="521"/>
      <c r="AM18" s="521"/>
      <c r="AN18" s="521"/>
      <c r="AO18" s="521"/>
      <c r="AP18" s="521"/>
      <c r="AQ18" s="521"/>
      <c r="AR18" s="521"/>
      <c r="AS18" s="521"/>
      <c r="AT18" s="521"/>
      <c r="AU18" s="521"/>
      <c r="AV18" s="521"/>
      <c r="AW18" s="521"/>
      <c r="AX18" s="521"/>
      <c r="AY18" s="521"/>
      <c r="AZ18" s="521"/>
      <c r="BA18" s="521"/>
      <c r="BB18" s="521"/>
      <c r="BC18" s="521"/>
      <c r="BD18" s="521"/>
      <c r="BE18" s="521"/>
      <c r="BF18" s="521"/>
      <c r="BG18" s="521"/>
      <c r="BH18" s="521"/>
      <c r="BI18" s="521"/>
      <c r="BJ18" s="521"/>
      <c r="BK18" s="521"/>
      <c r="BL18" s="521"/>
      <c r="BM18" s="521"/>
      <c r="BN18" s="521"/>
      <c r="BO18" s="521"/>
      <c r="BP18" s="521"/>
      <c r="BQ18" s="521"/>
      <c r="BR18" s="521"/>
      <c r="BS18" s="521"/>
      <c r="BT18" s="521"/>
      <c r="BU18" s="521"/>
      <c r="BV18" s="521"/>
      <c r="BW18" s="521"/>
      <c r="BX18" s="521"/>
      <c r="BY18" s="521"/>
      <c r="BZ18" s="521"/>
      <c r="CA18" s="521"/>
      <c r="CB18" s="521"/>
      <c r="CC18" s="521"/>
      <c r="CD18" s="521"/>
      <c r="CE18" s="521"/>
      <c r="CF18" s="303">
        <v>0</v>
      </c>
    </row>
    <row s="1860" customFormat="1" customHeight="1" ht="11.25" hidden="1">
      <c r="A19" s="643"/>
      <c r="B19" s="427"/>
      <c r="C19" s="422"/>
      <c r="D19" s="2391"/>
      <c r="E19" s="659" t="s">
        <v>22</v>
      </c>
      <c r="F19" s="660" t="s">
        <v>22</v>
      </c>
      <c r="G19" s="660" t="s">
        <v>22</v>
      </c>
      <c r="H19" s="661" t="s">
        <v>22</v>
      </c>
      <c r="I19" s="661"/>
      <c r="J19" s="661"/>
      <c r="K19" s="661"/>
      <c r="L19" s="661"/>
      <c r="M19" s="661"/>
      <c r="N19" s="661"/>
      <c r="O19" s="661"/>
      <c r="P19" s="661"/>
      <c r="Q19" s="661"/>
      <c r="R19" s="662"/>
      <c r="S19" s="1030"/>
      <c r="T19" s="728"/>
      <c r="U19" s="2384"/>
      <c r="V19" s="2384"/>
      <c r="W19" s="427"/>
      <c r="X19" s="427"/>
      <c r="Y19" s="427"/>
      <c r="Z19" s="427"/>
      <c r="AA19" s="521"/>
      <c r="AB19" s="427"/>
      <c r="AC19" s="2385"/>
      <c r="AD19" s="639"/>
      <c r="AE19" s="427"/>
      <c r="AF19" s="427"/>
      <c r="AG19" s="521"/>
      <c r="AH19" s="521"/>
      <c r="AI19" s="521"/>
      <c r="AJ19" s="521"/>
      <c r="AK19" s="521"/>
      <c r="AL19" s="521"/>
      <c r="AM19" s="521"/>
      <c r="AN19" s="521"/>
      <c r="AO19" s="521"/>
      <c r="AP19" s="521"/>
      <c r="AQ19" s="521"/>
      <c r="AR19" s="521"/>
      <c r="AS19" s="521"/>
      <c r="AT19" s="521"/>
      <c r="AU19" s="521"/>
      <c r="AV19" s="521"/>
      <c r="AW19" s="521"/>
      <c r="AX19" s="521"/>
      <c r="AY19" s="521"/>
      <c r="AZ19" s="521"/>
      <c r="BA19" s="521"/>
      <c r="BB19" s="521"/>
      <c r="BC19" s="521"/>
      <c r="BD19" s="521"/>
      <c r="BE19" s="521"/>
      <c r="BF19" s="521"/>
      <c r="BG19" s="521"/>
      <c r="BH19" s="521"/>
      <c r="BI19" s="521"/>
      <c r="BJ19" s="521"/>
      <c r="BK19" s="521"/>
      <c r="BL19" s="521"/>
      <c r="BM19" s="521"/>
      <c r="BN19" s="521"/>
      <c r="BO19" s="521"/>
      <c r="BP19" s="521"/>
      <c r="BQ19" s="521"/>
      <c r="BR19" s="521"/>
      <c r="BS19" s="521"/>
      <c r="BT19" s="521"/>
      <c r="BU19" s="521"/>
      <c r="BV19" s="427"/>
      <c r="BW19" s="427"/>
      <c r="BX19" s="427"/>
      <c r="BY19" s="427"/>
      <c r="BZ19" s="427"/>
      <c r="CA19" s="427"/>
      <c r="CB19" s="427"/>
      <c r="CC19" s="427"/>
      <c r="CD19" s="427"/>
      <c r="CE19" s="427"/>
      <c r="CF19" s="303">
        <v>0</v>
      </c>
    </row>
    <row s="1860" customFormat="1" customHeight="1" ht="22.5" hidden="1">
      <c r="A20" s="643"/>
      <c r="B20" s="427"/>
      <c r="C20" s="422"/>
      <c r="D20" s="2391"/>
      <c r="E20" s="2386" t="s">
        <v>635</v>
      </c>
      <c r="F20" s="2386"/>
      <c r="G20" s="2386"/>
      <c r="H20" s="2386"/>
      <c r="I20" s="2386"/>
      <c r="J20" s="2386"/>
      <c r="K20" s="2386"/>
      <c r="L20" s="2386"/>
      <c r="M20" s="2386"/>
      <c r="N20" s="2386"/>
      <c r="O20" s="2386"/>
      <c r="P20" s="2386"/>
      <c r="Q20" s="568">
        <f>SUMIF(T21:T22,"i",Q21:Q22)</f>
        <v>0</v>
      </c>
      <c r="R20" s="1027"/>
      <c r="S20" s="719" t="s">
        <v>636</v>
      </c>
      <c r="T20" s="727" t="s">
        <v>634</v>
      </c>
      <c r="U20" s="2384">
        <v>2</v>
      </c>
      <c r="V20" s="2384" t="str">
        <f>INDEX(B_FHD_FLAG_INDEX_2,1,MATCH(A14,B_FHD_FLAG_DIFFERENTIATION,0))</f>
        <v>отсутствует</v>
      </c>
      <c r="W20" s="427"/>
      <c r="X20" s="427"/>
      <c r="Y20" s="427"/>
      <c r="Z20" s="427"/>
      <c r="AA20" s="521"/>
      <c r="AB20" s="427"/>
      <c r="AC20" s="716"/>
      <c r="AD20" s="639"/>
      <c r="AE20" s="427"/>
      <c r="AF20" s="427"/>
      <c r="AG20" s="521"/>
      <c r="AH20" s="521"/>
      <c r="AI20" s="521"/>
      <c r="AJ20" s="521"/>
      <c r="AK20" s="521"/>
      <c r="AL20" s="521"/>
      <c r="AM20" s="521"/>
      <c r="AN20" s="521"/>
      <c r="AO20" s="521"/>
      <c r="AP20" s="521"/>
      <c r="AQ20" s="521"/>
      <c r="AR20" s="521"/>
      <c r="AS20" s="521"/>
      <c r="AT20" s="521"/>
      <c r="AU20" s="521"/>
      <c r="AV20" s="521"/>
      <c r="AW20" s="521"/>
      <c r="AX20" s="521"/>
      <c r="AY20" s="521"/>
      <c r="AZ20" s="521"/>
      <c r="BA20" s="521"/>
      <c r="BB20" s="521"/>
      <c r="BC20" s="521"/>
      <c r="BD20" s="521"/>
      <c r="BE20" s="521"/>
      <c r="BF20" s="521"/>
      <c r="BG20" s="521"/>
      <c r="BH20" s="521"/>
      <c r="BI20" s="521"/>
      <c r="BJ20" s="521"/>
      <c r="BK20" s="521"/>
      <c r="BL20" s="521"/>
      <c r="BM20" s="521"/>
      <c r="BN20" s="521"/>
      <c r="BO20" s="521"/>
      <c r="BP20" s="521"/>
      <c r="BQ20" s="521"/>
      <c r="BR20" s="521"/>
      <c r="BS20" s="521"/>
      <c r="BT20" s="521"/>
      <c r="BU20" s="521"/>
      <c r="BV20" s="427"/>
      <c r="BW20" s="427"/>
      <c r="BX20" s="427"/>
      <c r="BY20" s="427"/>
      <c r="BZ20" s="427"/>
      <c r="CA20" s="427"/>
      <c r="CB20" s="427"/>
      <c r="CC20" s="427"/>
      <c r="CD20" s="427"/>
      <c r="CE20" s="427"/>
      <c r="CF20" s="303">
        <v>0</v>
      </c>
    </row>
    <row s="1860" customFormat="1" customHeight="1" ht="11.25" hidden="1">
      <c r="A21" s="718"/>
      <c r="B21" s="521"/>
      <c r="C21" s="521"/>
      <c r="D21" s="2391"/>
      <c r="E21" s="645"/>
      <c r="F21" s="645">
        <v>0</v>
      </c>
      <c r="G21" s="645"/>
      <c r="H21" s="645"/>
      <c r="I21" s="645"/>
      <c r="J21" s="645"/>
      <c r="K21" s="645"/>
      <c r="L21" s="645"/>
      <c r="M21" s="645"/>
      <c r="N21" s="645"/>
      <c r="O21" s="645"/>
      <c r="P21" s="645"/>
      <c r="Q21" s="645"/>
      <c r="R21" s="645"/>
      <c r="S21" s="646"/>
      <c r="T21" s="728"/>
      <c r="U21" s="2384"/>
      <c r="V21" s="2384"/>
      <c r="W21" s="521"/>
      <c r="X21" s="521"/>
      <c r="Y21" s="521"/>
      <c r="Z21" s="521"/>
      <c r="AA21" s="521"/>
      <c r="AB21" s="427"/>
      <c r="AC21" s="716"/>
      <c r="AD21" s="639"/>
      <c r="AE21" s="427"/>
      <c r="AF21" s="427"/>
      <c r="AG21" s="521"/>
      <c r="AH21" s="521"/>
      <c r="AI21" s="521"/>
      <c r="AJ21" s="521"/>
      <c r="AK21" s="521"/>
      <c r="AL21" s="521"/>
      <c r="AM21" s="521"/>
      <c r="AN21" s="521"/>
      <c r="AO21" s="521"/>
      <c r="AP21" s="521"/>
      <c r="AQ21" s="521"/>
      <c r="AR21" s="521"/>
      <c r="AS21" s="521"/>
      <c r="AT21" s="521"/>
      <c r="AU21" s="521"/>
      <c r="AV21" s="521"/>
      <c r="AW21" s="521"/>
      <c r="AX21" s="521"/>
      <c r="AY21" s="521"/>
      <c r="AZ21" s="521"/>
      <c r="BA21" s="521"/>
      <c r="BB21" s="521"/>
      <c r="BC21" s="521"/>
      <c r="BD21" s="521"/>
      <c r="BE21" s="521"/>
      <c r="BF21" s="521"/>
      <c r="BG21" s="521"/>
      <c r="BH21" s="521"/>
      <c r="BI21" s="521"/>
      <c r="BJ21" s="521"/>
      <c r="BK21" s="521"/>
      <c r="BL21" s="521"/>
      <c r="BM21" s="521"/>
      <c r="BN21" s="521"/>
      <c r="BO21" s="521"/>
      <c r="BP21" s="521"/>
      <c r="BQ21" s="521"/>
      <c r="BR21" s="521"/>
      <c r="BS21" s="521"/>
      <c r="BT21" s="521"/>
      <c r="BU21" s="521"/>
      <c r="BV21" s="521"/>
      <c r="BW21" s="521"/>
      <c r="BX21" s="521"/>
      <c r="BY21" s="521"/>
      <c r="BZ21" s="521"/>
      <c r="CA21" s="521"/>
      <c r="CB21" s="521"/>
      <c r="CC21" s="521"/>
      <c r="CD21" s="521"/>
      <c r="CE21" s="521"/>
      <c r="CF21" s="303">
        <v>0</v>
      </c>
    </row>
    <row s="1860" customFormat="1" customHeight="1" ht="11.25" hidden="1">
      <c r="A22" s="643"/>
      <c r="B22" s="427"/>
      <c r="C22" s="422"/>
      <c r="D22" s="2392"/>
      <c r="E22" s="659" t="s">
        <v>22</v>
      </c>
      <c r="F22" s="660" t="s">
        <v>22</v>
      </c>
      <c r="G22" s="660" t="s">
        <v>22</v>
      </c>
      <c r="H22" s="661" t="s">
        <v>22</v>
      </c>
      <c r="I22" s="661"/>
      <c r="J22" s="661"/>
      <c r="K22" s="661"/>
      <c r="L22" s="661"/>
      <c r="M22" s="661"/>
      <c r="N22" s="661"/>
      <c r="O22" s="661"/>
      <c r="P22" s="661"/>
      <c r="Q22" s="661"/>
      <c r="R22" s="662"/>
      <c r="S22" s="1030"/>
      <c r="T22" s="728"/>
      <c r="U22" s="2384"/>
      <c r="V22" s="2384"/>
      <c r="W22" s="427"/>
      <c r="X22" s="427"/>
      <c r="Y22" s="427"/>
      <c r="Z22" s="427"/>
      <c r="AA22" s="521"/>
      <c r="AB22" s="427"/>
      <c r="AC22" s="716"/>
      <c r="AD22" s="639"/>
      <c r="AE22" s="427"/>
      <c r="AF22" s="427"/>
      <c r="AG22" s="521"/>
      <c r="AH22" s="521"/>
      <c r="AI22" s="521"/>
      <c r="AJ22" s="521"/>
      <c r="AK22" s="521"/>
      <c r="AL22" s="521"/>
      <c r="AM22" s="521"/>
      <c r="AN22" s="521"/>
      <c r="AO22" s="521"/>
      <c r="AP22" s="521"/>
      <c r="AQ22" s="521"/>
      <c r="AR22" s="521"/>
      <c r="AS22" s="521"/>
      <c r="AT22" s="521"/>
      <c r="AU22" s="521"/>
      <c r="AV22" s="521"/>
      <c r="AW22" s="521"/>
      <c r="AX22" s="521"/>
      <c r="AY22" s="521"/>
      <c r="AZ22" s="521"/>
      <c r="BA22" s="521"/>
      <c r="BB22" s="521"/>
      <c r="BC22" s="521"/>
      <c r="BD22" s="521"/>
      <c r="BE22" s="521"/>
      <c r="BF22" s="521"/>
      <c r="BG22" s="521"/>
      <c r="BH22" s="521"/>
      <c r="BI22" s="521"/>
      <c r="BJ22" s="521"/>
      <c r="BK22" s="521"/>
      <c r="BL22" s="521"/>
      <c r="BM22" s="521"/>
      <c r="BN22" s="521"/>
      <c r="BO22" s="521"/>
      <c r="BP22" s="521"/>
      <c r="BQ22" s="521"/>
      <c r="BR22" s="521"/>
      <c r="BS22" s="521"/>
      <c r="BT22" s="521"/>
      <c r="BU22" s="521"/>
      <c r="BV22" s="427"/>
      <c r="BW22" s="427"/>
      <c r="BX22" s="427"/>
      <c r="BY22" s="427"/>
      <c r="BZ22" s="427"/>
      <c r="CA22" s="427"/>
      <c r="CB22" s="427"/>
      <c r="CC22" s="427"/>
      <c r="CD22" s="427"/>
      <c r="CE22" s="427"/>
      <c r="CF22" s="303">
        <v>0</v>
      </c>
    </row>
    <row customHeight="1" ht="15" hidden="1">
      <c r="A23" s="633" t="s">
        <v>138</v>
      </c>
      <c r="B23" s="634"/>
      <c r="C23" s="634" t="s">
        <v>22</v>
      </c>
      <c r="D23" s="2588" t="s">
        <v>174</v>
      </c>
      <c r="E23" s="2387" t="s">
        <v>120</v>
      </c>
      <c r="F23" s="2388"/>
      <c r="G23" s="2389"/>
      <c r="H23" s="2393" t="str">
        <f>IF(A23="","",INDEX(DIFFERENTIATION_UNMERGE_VD,MATCH(A23,DIFFERENTIATION_ID_DIFF,0)))</f>
        <v>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I23" s="2393"/>
      <c r="J23" s="2393"/>
      <c r="K23" s="2393"/>
      <c r="L23" s="2393"/>
      <c r="M23" s="2393"/>
      <c r="N23" s="2393"/>
      <c r="O23" s="2393"/>
      <c r="P23" s="2393"/>
      <c r="Q23" s="2393"/>
      <c r="R23" s="2393"/>
      <c r="S23" s="729"/>
      <c r="T23" s="726"/>
      <c r="U23" s="635"/>
      <c r="V23" s="635"/>
      <c r="W23" s="636"/>
      <c r="X23" s="636"/>
      <c r="Y23" s="636"/>
      <c r="Z23" s="636"/>
      <c r="AA23" s="637"/>
      <c r="AB23" s="638"/>
      <c r="AC23" s="2385"/>
      <c r="AD23" s="639"/>
      <c r="AE23" s="640" t="s">
        <v>22</v>
      </c>
      <c r="AF23" s="640"/>
      <c r="AG23" s="641" t="s">
        <v>631</v>
      </c>
      <c r="AH23" s="642">
        <v>3</v>
      </c>
      <c r="AI23" s="635"/>
      <c r="AJ23" s="635"/>
      <c r="AK23" s="635"/>
      <c r="AL23" s="635"/>
      <c r="AM23" s="635"/>
      <c r="AN23" s="635"/>
      <c r="AO23" s="635"/>
      <c r="AP23" s="635"/>
      <c r="AQ23" s="635"/>
      <c r="AR23" s="635"/>
      <c r="AS23" s="635"/>
      <c r="AT23" s="635"/>
      <c r="AU23" s="635"/>
      <c r="AV23" s="635"/>
      <c r="AW23" s="635"/>
      <c r="AX23" s="635"/>
      <c r="AY23" s="635"/>
      <c r="AZ23" s="635"/>
      <c r="BA23" s="635"/>
      <c r="BB23" s="635"/>
      <c r="BC23" s="635"/>
      <c r="BD23" s="635"/>
      <c r="BE23" s="635"/>
      <c r="BF23" s="635"/>
      <c r="BG23" s="635"/>
      <c r="BH23" s="635"/>
      <c r="BI23" s="635"/>
      <c r="BJ23" s="635"/>
      <c r="BK23" s="635"/>
      <c r="BL23" s="635"/>
      <c r="BM23" s="635"/>
      <c r="BN23" s="635"/>
      <c r="BO23" s="635"/>
      <c r="BP23" s="635"/>
      <c r="BQ23" s="635"/>
      <c r="BR23" s="635"/>
      <c r="BS23" s="635"/>
      <c r="BT23" s="635"/>
      <c r="BU23" s="635"/>
      <c r="BV23" s="636"/>
      <c r="BW23" s="636"/>
      <c r="BX23" s="636"/>
      <c r="BY23" s="636"/>
      <c r="BZ23" s="636"/>
      <c r="CA23" s="636"/>
      <c r="CB23" s="636"/>
      <c r="CC23" s="636"/>
      <c r="CD23" s="636"/>
      <c r="CE23" s="636"/>
      <c r="CF23" s="1860"/>
    </row>
    <row customHeight="1" ht="15" hidden="1">
      <c r="A24" s="633"/>
      <c r="B24" s="634"/>
      <c r="C24" s="634"/>
      <c r="D24" s="2589"/>
      <c r="E24" s="2387" t="s">
        <v>586</v>
      </c>
      <c r="F24" s="2388"/>
      <c r="G24" s="2389"/>
      <c r="H24" s="2393" t="str">
        <f>IF(A23="","",INDEX(DIFFERENTIATION_UNMERGE_AREA,MATCH(A23,DIFFERENTIATION_ID_DIFF,0)))</f>
        <v>Территория 2</v>
      </c>
      <c r="I24" s="2393"/>
      <c r="J24" s="2393"/>
      <c r="K24" s="2393"/>
      <c r="L24" s="2393"/>
      <c r="M24" s="2393"/>
      <c r="N24" s="2393"/>
      <c r="O24" s="2393"/>
      <c r="P24" s="2393"/>
      <c r="Q24" s="2393"/>
      <c r="R24" s="2393"/>
      <c r="S24" s="729"/>
      <c r="T24" s="726"/>
      <c r="U24" s="635"/>
      <c r="V24" s="635"/>
      <c r="W24" s="636"/>
      <c r="X24" s="636"/>
      <c r="Y24" s="636"/>
      <c r="Z24" s="636"/>
      <c r="AA24" s="637"/>
      <c r="AB24" s="638"/>
      <c r="AC24" s="2385"/>
      <c r="AD24" s="639"/>
      <c r="AE24" s="640"/>
      <c r="AF24" s="640"/>
      <c r="AG24" s="641"/>
      <c r="AH24" s="642"/>
      <c r="AI24" s="635"/>
      <c r="AJ24" s="635"/>
      <c r="AK24" s="635"/>
      <c r="AL24" s="635"/>
      <c r="AM24" s="635"/>
      <c r="AN24" s="635"/>
      <c r="AO24" s="635"/>
      <c r="AP24" s="635"/>
      <c r="AQ24" s="635"/>
      <c r="AR24" s="635"/>
      <c r="AS24" s="635"/>
      <c r="AT24" s="635"/>
      <c r="AU24" s="635"/>
      <c r="AV24" s="635"/>
      <c r="AW24" s="635"/>
      <c r="AX24" s="635"/>
      <c r="AY24" s="635"/>
      <c r="AZ24" s="635"/>
      <c r="BA24" s="635"/>
      <c r="BB24" s="635"/>
      <c r="BC24" s="635"/>
      <c r="BD24" s="635"/>
      <c r="BE24" s="635"/>
      <c r="BF24" s="635"/>
      <c r="BG24" s="635"/>
      <c r="BH24" s="635"/>
      <c r="BI24" s="635"/>
      <c r="BJ24" s="635"/>
      <c r="BK24" s="635"/>
      <c r="BL24" s="635"/>
      <c r="BM24" s="635"/>
      <c r="BN24" s="635"/>
      <c r="BO24" s="635"/>
      <c r="BP24" s="635"/>
      <c r="BQ24" s="635"/>
      <c r="BR24" s="635"/>
      <c r="BS24" s="635"/>
      <c r="BT24" s="635"/>
      <c r="BU24" s="635"/>
      <c r="BV24" s="636"/>
      <c r="BW24" s="636"/>
      <c r="BX24" s="636"/>
      <c r="BY24" s="636"/>
      <c r="BZ24" s="636"/>
      <c r="CA24" s="636"/>
      <c r="CB24" s="636"/>
      <c r="CC24" s="636"/>
      <c r="CD24" s="636"/>
      <c r="CE24" s="636"/>
      <c r="CF24" s="1860"/>
    </row>
    <row customHeight="1" ht="15" hidden="1">
      <c r="A25" s="633"/>
      <c r="B25" s="634"/>
      <c r="C25" s="634"/>
      <c r="D25" s="2589"/>
      <c r="E25" s="2387" t="s">
        <v>587</v>
      </c>
      <c r="F25" s="2388"/>
      <c r="G25" s="2389"/>
      <c r="H25" s="2393" t="str">
        <f>IF(A23="","",INDEX(DIFFERENTIATION_UNMERGE_SYSTEM,MATCH(A23,DIFFERENTIATION_ID_DIFF,0)))</f>
        <v>Нерюнгринская ГРЭС (п. Серебряный Бор)</v>
      </c>
      <c r="I25" s="2393"/>
      <c r="J25" s="2393"/>
      <c r="K25" s="2393"/>
      <c r="L25" s="2393"/>
      <c r="M25" s="2393"/>
      <c r="N25" s="2393"/>
      <c r="O25" s="2393"/>
      <c r="P25" s="2393"/>
      <c r="Q25" s="2393"/>
      <c r="R25" s="2393"/>
      <c r="S25" s="729"/>
      <c r="T25" s="726"/>
      <c r="U25" s="635"/>
      <c r="V25" s="635"/>
      <c r="W25" s="636"/>
      <c r="X25" s="636"/>
      <c r="Y25" s="636"/>
      <c r="Z25" s="636"/>
      <c r="AA25" s="637"/>
      <c r="AB25" s="638"/>
      <c r="AC25" s="2385"/>
      <c r="AD25" s="639"/>
      <c r="AE25" s="640"/>
      <c r="AF25" s="640"/>
      <c r="AG25" s="641"/>
      <c r="AH25" s="642"/>
      <c r="AI25" s="635"/>
      <c r="AJ25" s="635"/>
      <c r="AK25" s="635"/>
      <c r="AL25" s="635"/>
      <c r="AM25" s="635"/>
      <c r="AN25" s="635"/>
      <c r="AO25" s="635"/>
      <c r="AP25" s="635"/>
      <c r="AQ25" s="635"/>
      <c r="AR25" s="635"/>
      <c r="AS25" s="635"/>
      <c r="AT25" s="635"/>
      <c r="AU25" s="635"/>
      <c r="AV25" s="635"/>
      <c r="AW25" s="635"/>
      <c r="AX25" s="635"/>
      <c r="AY25" s="635"/>
      <c r="AZ25" s="635"/>
      <c r="BA25" s="635"/>
      <c r="BB25" s="635"/>
      <c r="BC25" s="635"/>
      <c r="BD25" s="635"/>
      <c r="BE25" s="635"/>
      <c r="BF25" s="635"/>
      <c r="BG25" s="635"/>
      <c r="BH25" s="635"/>
      <c r="BI25" s="635"/>
      <c r="BJ25" s="635"/>
      <c r="BK25" s="635"/>
      <c r="BL25" s="635"/>
      <c r="BM25" s="635"/>
      <c r="BN25" s="635"/>
      <c r="BO25" s="635"/>
      <c r="BP25" s="635"/>
      <c r="BQ25" s="635"/>
      <c r="BR25" s="635"/>
      <c r="BS25" s="635"/>
      <c r="BT25" s="635"/>
      <c r="BU25" s="635"/>
      <c r="BV25" s="636"/>
      <c r="BW25" s="636"/>
      <c r="BX25" s="636"/>
      <c r="BY25" s="636"/>
      <c r="BZ25" s="636"/>
      <c r="CA25" s="636"/>
      <c r="CB25" s="636"/>
      <c r="CC25" s="636"/>
      <c r="CD25" s="636"/>
      <c r="CE25" s="636"/>
      <c r="CF25" s="1860"/>
    </row>
    <row customHeight="1" ht="24.75" hidden="1">
      <c r="A26" s="1816"/>
      <c r="B26" s="1170"/>
      <c r="C26" s="422"/>
      <c r="D26" s="2589"/>
      <c r="E26" s="2386" t="s">
        <v>632</v>
      </c>
      <c r="F26" s="2386"/>
      <c r="G26" s="2386"/>
      <c r="H26" s="2386"/>
      <c r="I26" s="2386"/>
      <c r="J26" s="2386"/>
      <c r="K26" s="2386"/>
      <c r="L26" s="2386"/>
      <c r="M26" s="2386"/>
      <c r="N26" s="2386"/>
      <c r="O26" s="2386"/>
      <c r="P26" s="2386"/>
      <c r="Q26" s="568">
        <f>SUMIF(T27:T28,"i",Q27:Q28)</f>
        <v>0</v>
      </c>
      <c r="R26" s="1027"/>
      <c r="S26" s="1808" t="s">
        <v>633</v>
      </c>
      <c r="T26" s="727" t="s">
        <v>634</v>
      </c>
      <c r="U26" s="2384">
        <v>1</v>
      </c>
      <c r="V26" s="2384" t="s">
        <v>597</v>
      </c>
      <c r="W26" s="1170"/>
      <c r="X26" s="1170"/>
      <c r="Y26" s="1170"/>
      <c r="Z26" s="1170"/>
      <c r="AA26" s="1646"/>
      <c r="AB26" s="1170"/>
      <c r="AC26" s="2385"/>
      <c r="AD26" s="639"/>
      <c r="AE26" s="1170"/>
      <c r="AF26" s="1170"/>
      <c r="AG26" s="1646"/>
      <c r="AH26" s="1646"/>
      <c r="AI26" s="1646"/>
      <c r="AJ26" s="1646"/>
      <c r="AK26" s="1646"/>
      <c r="AL26" s="1646"/>
      <c r="AM26" s="1646"/>
      <c r="AN26" s="1646"/>
      <c r="AO26" s="1646"/>
      <c r="AP26" s="1646"/>
      <c r="AQ26" s="1646"/>
      <c r="AR26" s="1646"/>
      <c r="AS26" s="1646"/>
      <c r="AT26" s="1646"/>
      <c r="AU26" s="1646"/>
      <c r="AV26" s="1646"/>
      <c r="AW26" s="1646"/>
      <c r="AX26" s="1646"/>
      <c r="AY26" s="1646"/>
      <c r="AZ26" s="1646"/>
      <c r="BA26" s="1646"/>
      <c r="BB26" s="1646"/>
      <c r="BC26" s="1646"/>
      <c r="BD26" s="1646"/>
      <c r="BE26" s="1646"/>
      <c r="BF26" s="1646"/>
      <c r="BG26" s="1646"/>
      <c r="BH26" s="1646"/>
      <c r="BI26" s="1646"/>
      <c r="BJ26" s="1646"/>
      <c r="BK26" s="1646"/>
      <c r="BL26" s="1646"/>
      <c r="BM26" s="1646"/>
      <c r="BN26" s="1646"/>
      <c r="BO26" s="1646"/>
      <c r="BP26" s="1646"/>
      <c r="BQ26" s="1646"/>
      <c r="BR26" s="1646"/>
      <c r="BS26" s="1646"/>
      <c r="BT26" s="1646"/>
      <c r="BU26" s="1646"/>
      <c r="BV26" s="1170"/>
      <c r="BW26" s="1170"/>
      <c r="BX26" s="1170"/>
      <c r="BY26" s="1170"/>
      <c r="BZ26" s="1170"/>
      <c r="CA26" s="1170"/>
      <c r="CB26" s="1170"/>
      <c r="CC26" s="1170"/>
      <c r="CD26" s="1170"/>
      <c r="CE26" s="1170"/>
      <c r="CF26" s="1860"/>
    </row>
    <row customHeight="1" ht="11.25" hidden="1">
      <c r="A27" s="1803"/>
      <c r="B27" s="1646"/>
      <c r="C27" s="1646"/>
      <c r="D27" s="2589"/>
      <c r="E27" s="645"/>
      <c r="F27" s="645">
        <v>0</v>
      </c>
      <c r="G27" s="645"/>
      <c r="H27" s="645"/>
      <c r="I27" s="645"/>
      <c r="J27" s="645"/>
      <c r="K27" s="645"/>
      <c r="L27" s="645"/>
      <c r="M27" s="645"/>
      <c r="N27" s="645"/>
      <c r="O27" s="645"/>
      <c r="P27" s="645"/>
      <c r="Q27" s="645"/>
      <c r="R27" s="645"/>
      <c r="S27" s="646"/>
      <c r="T27" s="728"/>
      <c r="U27" s="2384"/>
      <c r="V27" s="2384"/>
      <c r="W27" s="1646"/>
      <c r="X27" s="1646"/>
      <c r="Y27" s="1646"/>
      <c r="Z27" s="1646"/>
      <c r="AA27" s="1646"/>
      <c r="AB27" s="1170"/>
      <c r="AC27" s="2385"/>
      <c r="AD27" s="639"/>
      <c r="AE27" s="1170"/>
      <c r="AF27" s="1170"/>
      <c r="AG27" s="1646"/>
      <c r="AH27" s="1646"/>
      <c r="AI27" s="1646"/>
      <c r="AJ27" s="1646"/>
      <c r="AK27" s="1646"/>
      <c r="AL27" s="1646"/>
      <c r="AM27" s="1646"/>
      <c r="AN27" s="1646"/>
      <c r="AO27" s="1646"/>
      <c r="AP27" s="1646"/>
      <c r="AQ27" s="1646"/>
      <c r="AR27" s="1646"/>
      <c r="AS27" s="1646"/>
      <c r="AT27" s="1646"/>
      <c r="AU27" s="1646"/>
      <c r="AV27" s="1646"/>
      <c r="AW27" s="1646"/>
      <c r="AX27" s="1646"/>
      <c r="AY27" s="1646"/>
      <c r="AZ27" s="1646"/>
      <c r="BA27" s="1646"/>
      <c r="BB27" s="1646"/>
      <c r="BC27" s="1646"/>
      <c r="BD27" s="1646"/>
      <c r="BE27" s="1646"/>
      <c r="BF27" s="1646"/>
      <c r="BG27" s="1646"/>
      <c r="BH27" s="1646"/>
      <c r="BI27" s="1646"/>
      <c r="BJ27" s="1646"/>
      <c r="BK27" s="1646"/>
      <c r="BL27" s="1646"/>
      <c r="BM27" s="1646"/>
      <c r="BN27" s="1646"/>
      <c r="BO27" s="1646"/>
      <c r="BP27" s="1646"/>
      <c r="BQ27" s="1646"/>
      <c r="BR27" s="1646"/>
      <c r="BS27" s="1646"/>
      <c r="BT27" s="1646"/>
      <c r="BU27" s="1646"/>
      <c r="BV27" s="1646"/>
      <c r="BW27" s="1646"/>
      <c r="BX27" s="1646"/>
      <c r="BY27" s="1646"/>
      <c r="BZ27" s="1646"/>
      <c r="CA27" s="1646"/>
      <c r="CB27" s="1646"/>
      <c r="CC27" s="1646"/>
      <c r="CD27" s="1646"/>
      <c r="CE27" s="1646"/>
      <c r="CF27" s="1860"/>
    </row>
    <row customHeight="1" ht="11.25" hidden="1">
      <c r="A28" s="1816"/>
      <c r="B28" s="1170"/>
      <c r="C28" s="422"/>
      <c r="D28" s="2589"/>
      <c r="E28" s="659" t="s">
        <v>22</v>
      </c>
      <c r="F28" s="1178" t="s">
        <v>22</v>
      </c>
      <c r="G28" s="1178" t="s">
        <v>637</v>
      </c>
      <c r="H28" s="661" t="s">
        <v>22</v>
      </c>
      <c r="I28" s="661"/>
      <c r="J28" s="661"/>
      <c r="K28" s="661"/>
      <c r="L28" s="661"/>
      <c r="M28" s="661"/>
      <c r="N28" s="661"/>
      <c r="O28" s="661"/>
      <c r="P28" s="661"/>
      <c r="Q28" s="661"/>
      <c r="R28" s="662"/>
      <c r="S28" s="663"/>
      <c r="T28" s="728"/>
      <c r="U28" s="2384"/>
      <c r="V28" s="2384"/>
      <c r="W28" s="1170"/>
      <c r="X28" s="1170"/>
      <c r="Y28" s="1170"/>
      <c r="Z28" s="1170"/>
      <c r="AA28" s="1646"/>
      <c r="AB28" s="1170"/>
      <c r="AC28" s="2385"/>
      <c r="AD28" s="639"/>
      <c r="AE28" s="1170"/>
      <c r="AF28" s="1170"/>
      <c r="AG28" s="1646"/>
      <c r="AH28" s="1646"/>
      <c r="AI28" s="1646"/>
      <c r="AJ28" s="1646"/>
      <c r="AK28" s="1646"/>
      <c r="AL28" s="1646"/>
      <c r="AM28" s="1646"/>
      <c r="AN28" s="1646"/>
      <c r="AO28" s="1646"/>
      <c r="AP28" s="1646"/>
      <c r="AQ28" s="1646"/>
      <c r="AR28" s="1646"/>
      <c r="AS28" s="1646"/>
      <c r="AT28" s="1646"/>
      <c r="AU28" s="1646"/>
      <c r="AV28" s="1646"/>
      <c r="AW28" s="1646"/>
      <c r="AX28" s="1646"/>
      <c r="AY28" s="1646"/>
      <c r="AZ28" s="1646"/>
      <c r="BA28" s="1646"/>
      <c r="BB28" s="1646"/>
      <c r="BC28" s="1646"/>
      <c r="BD28" s="1646"/>
      <c r="BE28" s="1646"/>
      <c r="BF28" s="1646"/>
      <c r="BG28" s="1646"/>
      <c r="BH28" s="1646"/>
      <c r="BI28" s="1646"/>
      <c r="BJ28" s="1646"/>
      <c r="BK28" s="1646"/>
      <c r="BL28" s="1646"/>
      <c r="BM28" s="1646"/>
      <c r="BN28" s="1646"/>
      <c r="BO28" s="1646"/>
      <c r="BP28" s="1646"/>
      <c r="BQ28" s="1646"/>
      <c r="BR28" s="1646"/>
      <c r="BS28" s="1646"/>
      <c r="BT28" s="1646"/>
      <c r="BU28" s="1646"/>
      <c r="BV28" s="1170"/>
      <c r="BW28" s="1170"/>
      <c r="BX28" s="1170"/>
      <c r="BY28" s="1170"/>
      <c r="BZ28" s="1170"/>
      <c r="CA28" s="1170"/>
      <c r="CB28" s="1170"/>
      <c r="CC28" s="1170"/>
      <c r="CD28" s="1170"/>
      <c r="CE28" s="1170"/>
      <c r="CF28" s="1860"/>
    </row>
    <row customHeight="1" ht="5.25" hidden="1">
      <c r="A29" s="1803"/>
      <c r="B29" s="1646"/>
      <c r="C29" s="1646"/>
      <c r="D29" s="2589"/>
      <c r="E29" s="1049"/>
      <c r="F29" s="1049"/>
      <c r="G29" s="1049"/>
      <c r="H29" s="1049"/>
      <c r="I29" s="1049"/>
      <c r="J29" s="1049"/>
      <c r="K29" s="1049"/>
      <c r="L29" s="1049"/>
      <c r="M29" s="1049"/>
      <c r="N29" s="1049"/>
      <c r="O29" s="1049"/>
      <c r="P29" s="1049"/>
      <c r="Q29" s="1050"/>
      <c r="R29" s="1051"/>
      <c r="S29" s="1052"/>
      <c r="T29" s="727" t="s">
        <v>634</v>
      </c>
      <c r="U29" s="2384">
        <v>1</v>
      </c>
      <c r="V29" s="2384" t="s">
        <v>597</v>
      </c>
      <c r="W29" s="1646"/>
      <c r="X29" s="1646"/>
      <c r="Y29" s="1646"/>
      <c r="Z29" s="1646"/>
      <c r="AA29" s="1646"/>
      <c r="AB29" s="1646"/>
      <c r="AC29" s="1047"/>
      <c r="AD29" s="1048"/>
      <c r="AE29" s="1646"/>
      <c r="AF29" s="1646"/>
      <c r="AG29" s="1646"/>
      <c r="AH29" s="1646"/>
      <c r="AI29" s="1646"/>
      <c r="AJ29" s="1646"/>
      <c r="AK29" s="1646"/>
      <c r="AL29" s="1646"/>
      <c r="AM29" s="1646"/>
      <c r="AN29" s="1646"/>
      <c r="AO29" s="1646"/>
      <c r="AP29" s="1646"/>
      <c r="AQ29" s="1646"/>
      <c r="AR29" s="1646"/>
      <c r="AS29" s="1646"/>
      <c r="AT29" s="1646"/>
      <c r="AU29" s="1646"/>
      <c r="AV29" s="1646"/>
      <c r="AW29" s="1646"/>
      <c r="AX29" s="1646"/>
      <c r="AY29" s="1646"/>
      <c r="AZ29" s="1646"/>
      <c r="BA29" s="1646"/>
      <c r="BB29" s="1646"/>
      <c r="BC29" s="1646"/>
      <c r="BD29" s="1646"/>
      <c r="BE29" s="1646"/>
      <c r="BF29" s="1646"/>
      <c r="BG29" s="1646"/>
      <c r="BH29" s="1646"/>
      <c r="BI29" s="1646"/>
      <c r="BJ29" s="1646"/>
      <c r="BK29" s="1646"/>
      <c r="BL29" s="1646"/>
      <c r="BM29" s="1646"/>
      <c r="BN29" s="1646"/>
      <c r="BO29" s="1646"/>
      <c r="BP29" s="1646"/>
      <c r="BQ29" s="1646"/>
      <c r="BR29" s="1646"/>
      <c r="BS29" s="1646"/>
      <c r="BT29" s="1646"/>
      <c r="BU29" s="1646"/>
      <c r="BV29" s="1646"/>
      <c r="BW29" s="1646"/>
      <c r="BX29" s="1646"/>
      <c r="BY29" s="1646"/>
      <c r="BZ29" s="1646"/>
      <c r="CA29" s="1646"/>
      <c r="CB29" s="1646"/>
      <c r="CC29" s="1646"/>
      <c r="CD29" s="1646"/>
      <c r="CE29" s="1646"/>
      <c r="CF29" s="1326"/>
    </row>
    <row customHeight="1" ht="5.25" hidden="1">
      <c r="A30" s="1803"/>
      <c r="B30" s="1646"/>
      <c r="C30" s="1646"/>
      <c r="D30" s="2589"/>
      <c r="E30" s="645"/>
      <c r="F30" s="645"/>
      <c r="G30" s="645"/>
      <c r="H30" s="645"/>
      <c r="I30" s="645"/>
      <c r="J30" s="645"/>
      <c r="K30" s="645"/>
      <c r="L30" s="645"/>
      <c r="M30" s="645"/>
      <c r="N30" s="645"/>
      <c r="O30" s="645"/>
      <c r="P30" s="645"/>
      <c r="Q30" s="645"/>
      <c r="R30" s="645"/>
      <c r="S30" s="646"/>
      <c r="T30" s="728"/>
      <c r="U30" s="2384"/>
      <c r="V30" s="2384"/>
      <c r="W30" s="1646"/>
      <c r="X30" s="1646"/>
      <c r="Y30" s="1646"/>
      <c r="Z30" s="1646"/>
      <c r="AA30" s="1646"/>
      <c r="AB30" s="1646"/>
      <c r="AC30" s="1047"/>
      <c r="AD30" s="1048"/>
      <c r="AE30" s="1646"/>
      <c r="AF30" s="1646"/>
      <c r="AG30" s="1646"/>
      <c r="AH30" s="1646"/>
      <c r="AI30" s="1646"/>
      <c r="AJ30" s="1646"/>
      <c r="AK30" s="1646"/>
      <c r="AL30" s="1646"/>
      <c r="AM30" s="1646"/>
      <c r="AN30" s="1646"/>
      <c r="AO30" s="1646"/>
      <c r="AP30" s="1646"/>
      <c r="AQ30" s="1646"/>
      <c r="AR30" s="1646"/>
      <c r="AS30" s="1646"/>
      <c r="AT30" s="1646"/>
      <c r="AU30" s="1646"/>
      <c r="AV30" s="1646"/>
      <c r="AW30" s="1646"/>
      <c r="AX30" s="1646"/>
      <c r="AY30" s="1646"/>
      <c r="AZ30" s="1646"/>
      <c r="BA30" s="1646"/>
      <c r="BB30" s="1646"/>
      <c r="BC30" s="1646"/>
      <c r="BD30" s="1646"/>
      <c r="BE30" s="1646"/>
      <c r="BF30" s="1646"/>
      <c r="BG30" s="1646"/>
      <c r="BH30" s="1646"/>
      <c r="BI30" s="1646"/>
      <c r="BJ30" s="1646"/>
      <c r="BK30" s="1646"/>
      <c r="BL30" s="1646"/>
      <c r="BM30" s="1646"/>
      <c r="BN30" s="1646"/>
      <c r="BO30" s="1646"/>
      <c r="BP30" s="1646"/>
      <c r="BQ30" s="1646"/>
      <c r="BR30" s="1646"/>
      <c r="BS30" s="1646"/>
      <c r="BT30" s="1646"/>
      <c r="BU30" s="1646"/>
      <c r="BV30" s="1646"/>
      <c r="BW30" s="1646"/>
      <c r="BX30" s="1646"/>
      <c r="BY30" s="1646"/>
      <c r="BZ30" s="1646"/>
      <c r="CA30" s="1646"/>
      <c r="CB30" s="1646"/>
      <c r="CC30" s="1646"/>
      <c r="CD30" s="1646"/>
      <c r="CE30" s="1646"/>
      <c r="CF30" s="1326"/>
    </row>
    <row customHeight="1" ht="5.25" hidden="1">
      <c r="A31" s="1803"/>
      <c r="B31" s="1646"/>
      <c r="C31" s="1646"/>
      <c r="D31" s="2590"/>
      <c r="E31" s="1053"/>
      <c r="F31" s="1054"/>
      <c r="G31" s="1054"/>
      <c r="H31" s="1055"/>
      <c r="I31" s="1055"/>
      <c r="J31" s="1055"/>
      <c r="K31" s="1055"/>
      <c r="L31" s="1055"/>
      <c r="M31" s="1055"/>
      <c r="N31" s="1055"/>
      <c r="O31" s="1055"/>
      <c r="P31" s="1055"/>
      <c r="Q31" s="1055"/>
      <c r="R31" s="956"/>
      <c r="S31" s="1056"/>
      <c r="T31" s="728"/>
      <c r="U31" s="2384"/>
      <c r="V31" s="2384"/>
      <c r="W31" s="1646"/>
      <c r="X31" s="1646"/>
      <c r="Y31" s="1646"/>
      <c r="Z31" s="1646"/>
      <c r="AA31" s="1646"/>
      <c r="AB31" s="1646"/>
      <c r="AC31" s="1047"/>
      <c r="AD31" s="1048"/>
      <c r="AE31" s="1646"/>
      <c r="AF31" s="1646"/>
      <c r="AG31" s="1646"/>
      <c r="AH31" s="1646"/>
      <c r="AI31" s="1646"/>
      <c r="AJ31" s="1646"/>
      <c r="AK31" s="1646"/>
      <c r="AL31" s="1646"/>
      <c r="AM31" s="1646"/>
      <c r="AN31" s="1646"/>
      <c r="AO31" s="1646"/>
      <c r="AP31" s="1646"/>
      <c r="AQ31" s="1646"/>
      <c r="AR31" s="1646"/>
      <c r="AS31" s="1646"/>
      <c r="AT31" s="1646"/>
      <c r="AU31" s="1646"/>
      <c r="AV31" s="1646"/>
      <c r="AW31" s="1646"/>
      <c r="AX31" s="1646"/>
      <c r="AY31" s="1646"/>
      <c r="AZ31" s="1646"/>
      <c r="BA31" s="1646"/>
      <c r="BB31" s="1646"/>
      <c r="BC31" s="1646"/>
      <c r="BD31" s="1646"/>
      <c r="BE31" s="1646"/>
      <c r="BF31" s="1646"/>
      <c r="BG31" s="1646"/>
      <c r="BH31" s="1646"/>
      <c r="BI31" s="1646"/>
      <c r="BJ31" s="1646"/>
      <c r="BK31" s="1646"/>
      <c r="BL31" s="1646"/>
      <c r="BM31" s="1646"/>
      <c r="BN31" s="1646"/>
      <c r="BO31" s="1646"/>
      <c r="BP31" s="1646"/>
      <c r="BQ31" s="1646"/>
      <c r="BR31" s="1646"/>
      <c r="BS31" s="1646"/>
      <c r="BT31" s="1646"/>
      <c r="BU31" s="1646"/>
      <c r="BV31" s="1646"/>
      <c r="BW31" s="1646"/>
      <c r="BX31" s="1646"/>
      <c r="BY31" s="1646"/>
      <c r="BZ31" s="1646"/>
      <c r="CA31" s="1646"/>
      <c r="CB31" s="1646"/>
      <c r="CC31" s="1646"/>
      <c r="CD31" s="1646"/>
      <c r="CE31" s="1646"/>
      <c r="CF31" s="1326"/>
    </row>
    <row customHeight="1" ht="15" hidden="1">
      <c r="A32" s="633" t="s">
        <v>141</v>
      </c>
      <c r="B32" s="634"/>
      <c r="C32" s="634" t="s">
        <v>22</v>
      </c>
      <c r="D32" s="2588" t="s">
        <v>638</v>
      </c>
      <c r="E32" s="2387" t="s">
        <v>120</v>
      </c>
      <c r="F32" s="2388"/>
      <c r="G32" s="2389"/>
      <c r="H32" s="2393" t="str">
        <f>IF(A32="","",INDEX(DIFFERENTIATION_UNMERGE_VD,MATCH(A32,DIFFERENTIATION_ID_DIFF,0)))</f>
        <v>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I32" s="2393"/>
      <c r="J32" s="2393"/>
      <c r="K32" s="2393"/>
      <c r="L32" s="2393"/>
      <c r="M32" s="2393"/>
      <c r="N32" s="2393"/>
      <c r="O32" s="2393"/>
      <c r="P32" s="2393"/>
      <c r="Q32" s="2393"/>
      <c r="R32" s="2393"/>
      <c r="S32" s="729"/>
      <c r="T32" s="726"/>
      <c r="U32" s="635"/>
      <c r="V32" s="635"/>
      <c r="W32" s="636"/>
      <c r="X32" s="636"/>
      <c r="Y32" s="636"/>
      <c r="Z32" s="636"/>
      <c r="AA32" s="637"/>
      <c r="AB32" s="638"/>
      <c r="AC32" s="2385"/>
      <c r="AD32" s="639"/>
      <c r="AE32" s="640" t="s">
        <v>22</v>
      </c>
      <c r="AF32" s="640"/>
      <c r="AG32" s="641" t="s">
        <v>631</v>
      </c>
      <c r="AH32" s="642">
        <v>3</v>
      </c>
      <c r="AI32" s="635"/>
      <c r="AJ32" s="635"/>
      <c r="AK32" s="635"/>
      <c r="AL32" s="635"/>
      <c r="AM32" s="635"/>
      <c r="AN32" s="635"/>
      <c r="AO32" s="635"/>
      <c r="AP32" s="635"/>
      <c r="AQ32" s="635"/>
      <c r="AR32" s="635"/>
      <c r="AS32" s="635"/>
      <c r="AT32" s="635"/>
      <c r="AU32" s="635"/>
      <c r="AV32" s="635"/>
      <c r="AW32" s="635"/>
      <c r="AX32" s="635"/>
      <c r="AY32" s="635"/>
      <c r="AZ32" s="635"/>
      <c r="BA32" s="635"/>
      <c r="BB32" s="635"/>
      <c r="BC32" s="635"/>
      <c r="BD32" s="635"/>
      <c r="BE32" s="635"/>
      <c r="BF32" s="635"/>
      <c r="BG32" s="635"/>
      <c r="BH32" s="635"/>
      <c r="BI32" s="635"/>
      <c r="BJ32" s="635"/>
      <c r="BK32" s="635"/>
      <c r="BL32" s="635"/>
      <c r="BM32" s="635"/>
      <c r="BN32" s="635"/>
      <c r="BO32" s="635"/>
      <c r="BP32" s="635"/>
      <c r="BQ32" s="635"/>
      <c r="BR32" s="635"/>
      <c r="BS32" s="635"/>
      <c r="BT32" s="635"/>
      <c r="BU32" s="635"/>
      <c r="BV32" s="636"/>
      <c r="BW32" s="636"/>
      <c r="BX32" s="636"/>
      <c r="BY32" s="636"/>
      <c r="BZ32" s="636"/>
      <c r="CA32" s="636"/>
      <c r="CB32" s="636"/>
      <c r="CC32" s="636"/>
      <c r="CD32" s="636"/>
      <c r="CE32" s="636"/>
      <c r="CF32" s="1860"/>
    </row>
    <row customHeight="1" ht="15" hidden="1">
      <c r="A33" s="633"/>
      <c r="B33" s="634"/>
      <c r="C33" s="634"/>
      <c r="D33" s="2589"/>
      <c r="E33" s="2387" t="s">
        <v>586</v>
      </c>
      <c r="F33" s="2388"/>
      <c r="G33" s="2389"/>
      <c r="H33" s="2393" t="str">
        <f>IF(A32="","",INDEX(DIFFERENTIATION_UNMERGE_AREA,MATCH(A32,DIFFERENTIATION_ID_DIFF,0)))</f>
        <v>Территория 3</v>
      </c>
      <c r="I33" s="2393"/>
      <c r="J33" s="2393"/>
      <c r="K33" s="2393"/>
      <c r="L33" s="2393"/>
      <c r="M33" s="2393"/>
      <c r="N33" s="2393"/>
      <c r="O33" s="2393"/>
      <c r="P33" s="2393"/>
      <c r="Q33" s="2393"/>
      <c r="R33" s="2393"/>
      <c r="S33" s="729"/>
      <c r="T33" s="726"/>
      <c r="U33" s="635"/>
      <c r="V33" s="635"/>
      <c r="W33" s="636"/>
      <c r="X33" s="636"/>
      <c r="Y33" s="636"/>
      <c r="Z33" s="636"/>
      <c r="AA33" s="637"/>
      <c r="AB33" s="638"/>
      <c r="AC33" s="2385"/>
      <c r="AD33" s="639"/>
      <c r="AE33" s="640"/>
      <c r="AF33" s="640"/>
      <c r="AG33" s="641"/>
      <c r="AH33" s="642"/>
      <c r="AI33" s="635"/>
      <c r="AJ33" s="635"/>
      <c r="AK33" s="635"/>
      <c r="AL33" s="635"/>
      <c r="AM33" s="635"/>
      <c r="AN33" s="635"/>
      <c r="AO33" s="635"/>
      <c r="AP33" s="635"/>
      <c r="AQ33" s="635"/>
      <c r="AR33" s="635"/>
      <c r="AS33" s="635"/>
      <c r="AT33" s="635"/>
      <c r="AU33" s="635"/>
      <c r="AV33" s="635"/>
      <c r="AW33" s="635"/>
      <c r="AX33" s="635"/>
      <c r="AY33" s="635"/>
      <c r="AZ33" s="635"/>
      <c r="BA33" s="635"/>
      <c r="BB33" s="635"/>
      <c r="BC33" s="635"/>
      <c r="BD33" s="635"/>
      <c r="BE33" s="635"/>
      <c r="BF33" s="635"/>
      <c r="BG33" s="635"/>
      <c r="BH33" s="635"/>
      <c r="BI33" s="635"/>
      <c r="BJ33" s="635"/>
      <c r="BK33" s="635"/>
      <c r="BL33" s="635"/>
      <c r="BM33" s="635"/>
      <c r="BN33" s="635"/>
      <c r="BO33" s="635"/>
      <c r="BP33" s="635"/>
      <c r="BQ33" s="635"/>
      <c r="BR33" s="635"/>
      <c r="BS33" s="635"/>
      <c r="BT33" s="635"/>
      <c r="BU33" s="635"/>
      <c r="BV33" s="636"/>
      <c r="BW33" s="636"/>
      <c r="BX33" s="636"/>
      <c r="BY33" s="636"/>
      <c r="BZ33" s="636"/>
      <c r="CA33" s="636"/>
      <c r="CB33" s="636"/>
      <c r="CC33" s="636"/>
      <c r="CD33" s="636"/>
      <c r="CE33" s="636"/>
      <c r="CF33" s="1860"/>
    </row>
    <row customHeight="1" ht="15" hidden="1">
      <c r="A34" s="633"/>
      <c r="B34" s="634"/>
      <c r="C34" s="634"/>
      <c r="D34" s="2589"/>
      <c r="E34" s="2387" t="s">
        <v>587</v>
      </c>
      <c r="F34" s="2388"/>
      <c r="G34" s="2389"/>
      <c r="H34" s="2393" t="str">
        <f>IF(A32="","",INDEX(DIFFERENTIATION_UNMERGE_SYSTEM,MATCH(A32,DIFFERENTIATION_ID_DIFF,0)))</f>
        <v>Нерюнгринская ГРЭС (п. Беркакит)</v>
      </c>
      <c r="I34" s="2393"/>
      <c r="J34" s="2393"/>
      <c r="K34" s="2393"/>
      <c r="L34" s="2393"/>
      <c r="M34" s="2393"/>
      <c r="N34" s="2393"/>
      <c r="O34" s="2393"/>
      <c r="P34" s="2393"/>
      <c r="Q34" s="2393"/>
      <c r="R34" s="2393"/>
      <c r="S34" s="729"/>
      <c r="T34" s="726"/>
      <c r="U34" s="635"/>
      <c r="V34" s="635"/>
      <c r="W34" s="636"/>
      <c r="X34" s="636"/>
      <c r="Y34" s="636"/>
      <c r="Z34" s="636"/>
      <c r="AA34" s="637"/>
      <c r="AB34" s="638"/>
      <c r="AC34" s="2385"/>
      <c r="AD34" s="639"/>
      <c r="AE34" s="640"/>
      <c r="AF34" s="640"/>
      <c r="AG34" s="641"/>
      <c r="AH34" s="642"/>
      <c r="AI34" s="635"/>
      <c r="AJ34" s="635"/>
      <c r="AK34" s="635"/>
      <c r="AL34" s="635"/>
      <c r="AM34" s="635"/>
      <c r="AN34" s="635"/>
      <c r="AO34" s="635"/>
      <c r="AP34" s="635"/>
      <c r="AQ34" s="635"/>
      <c r="AR34" s="635"/>
      <c r="AS34" s="635"/>
      <c r="AT34" s="635"/>
      <c r="AU34" s="635"/>
      <c r="AV34" s="635"/>
      <c r="AW34" s="635"/>
      <c r="AX34" s="635"/>
      <c r="AY34" s="635"/>
      <c r="AZ34" s="635"/>
      <c r="BA34" s="635"/>
      <c r="BB34" s="635"/>
      <c r="BC34" s="635"/>
      <c r="BD34" s="635"/>
      <c r="BE34" s="635"/>
      <c r="BF34" s="635"/>
      <c r="BG34" s="635"/>
      <c r="BH34" s="635"/>
      <c r="BI34" s="635"/>
      <c r="BJ34" s="635"/>
      <c r="BK34" s="635"/>
      <c r="BL34" s="635"/>
      <c r="BM34" s="635"/>
      <c r="BN34" s="635"/>
      <c r="BO34" s="635"/>
      <c r="BP34" s="635"/>
      <c r="BQ34" s="635"/>
      <c r="BR34" s="635"/>
      <c r="BS34" s="635"/>
      <c r="BT34" s="635"/>
      <c r="BU34" s="635"/>
      <c r="BV34" s="636"/>
      <c r="BW34" s="636"/>
      <c r="BX34" s="636"/>
      <c r="BY34" s="636"/>
      <c r="BZ34" s="636"/>
      <c r="CA34" s="636"/>
      <c r="CB34" s="636"/>
      <c r="CC34" s="636"/>
      <c r="CD34" s="636"/>
      <c r="CE34" s="636"/>
      <c r="CF34" s="1860"/>
    </row>
    <row customHeight="1" ht="24.75" hidden="1">
      <c r="A35" s="1816"/>
      <c r="B35" s="1170"/>
      <c r="C35" s="422"/>
      <c r="D35" s="2589"/>
      <c r="E35" s="2386" t="s">
        <v>632</v>
      </c>
      <c r="F35" s="2386"/>
      <c r="G35" s="2386"/>
      <c r="H35" s="2386"/>
      <c r="I35" s="2386"/>
      <c r="J35" s="2386"/>
      <c r="K35" s="2386"/>
      <c r="L35" s="2386"/>
      <c r="M35" s="2386"/>
      <c r="N35" s="2386"/>
      <c r="O35" s="2386"/>
      <c r="P35" s="2386"/>
      <c r="Q35" s="568">
        <f>SUMIF(T36:T37,"i",Q36:Q37)</f>
        <v>0</v>
      </c>
      <c r="R35" s="1027"/>
      <c r="S35" s="1808" t="s">
        <v>633</v>
      </c>
      <c r="T35" s="727" t="s">
        <v>634</v>
      </c>
      <c r="U35" s="2384">
        <v>1</v>
      </c>
      <c r="V35" s="2384" t="s">
        <v>597</v>
      </c>
      <c r="W35" s="1170"/>
      <c r="X35" s="1170"/>
      <c r="Y35" s="1170"/>
      <c r="Z35" s="1170"/>
      <c r="AA35" s="1646"/>
      <c r="AB35" s="1170"/>
      <c r="AC35" s="2385"/>
      <c r="AD35" s="639"/>
      <c r="AE35" s="1170"/>
      <c r="AF35" s="1170"/>
      <c r="AG35" s="1646"/>
      <c r="AH35" s="1646"/>
      <c r="AI35" s="1646"/>
      <c r="AJ35" s="1646"/>
      <c r="AK35" s="1646"/>
      <c r="AL35" s="1646"/>
      <c r="AM35" s="1646"/>
      <c r="AN35" s="1646"/>
      <c r="AO35" s="1646"/>
      <c r="AP35" s="1646"/>
      <c r="AQ35" s="1646"/>
      <c r="AR35" s="1646"/>
      <c r="AS35" s="1646"/>
      <c r="AT35" s="1646"/>
      <c r="AU35" s="1646"/>
      <c r="AV35" s="1646"/>
      <c r="AW35" s="1646"/>
      <c r="AX35" s="1646"/>
      <c r="AY35" s="1646"/>
      <c r="AZ35" s="1646"/>
      <c r="BA35" s="1646"/>
      <c r="BB35" s="1646"/>
      <c r="BC35" s="1646"/>
      <c r="BD35" s="1646"/>
      <c r="BE35" s="1646"/>
      <c r="BF35" s="1646"/>
      <c r="BG35" s="1646"/>
      <c r="BH35" s="1646"/>
      <c r="BI35" s="1646"/>
      <c r="BJ35" s="1646"/>
      <c r="BK35" s="1646"/>
      <c r="BL35" s="1646"/>
      <c r="BM35" s="1646"/>
      <c r="BN35" s="1646"/>
      <c r="BO35" s="1646"/>
      <c r="BP35" s="1646"/>
      <c r="BQ35" s="1646"/>
      <c r="BR35" s="1646"/>
      <c r="BS35" s="1646"/>
      <c r="BT35" s="1646"/>
      <c r="BU35" s="1646"/>
      <c r="BV35" s="1170"/>
      <c r="BW35" s="1170"/>
      <c r="BX35" s="1170"/>
      <c r="BY35" s="1170"/>
      <c r="BZ35" s="1170"/>
      <c r="CA35" s="1170"/>
      <c r="CB35" s="1170"/>
      <c r="CC35" s="1170"/>
      <c r="CD35" s="1170"/>
      <c r="CE35" s="1170"/>
      <c r="CF35" s="1860"/>
    </row>
    <row customHeight="1" ht="11.25" hidden="1">
      <c r="A36" s="1803"/>
      <c r="B36" s="1646"/>
      <c r="C36" s="1646"/>
      <c r="D36" s="2589"/>
      <c r="E36" s="645"/>
      <c r="F36" s="645">
        <v>0</v>
      </c>
      <c r="G36" s="645"/>
      <c r="H36" s="645"/>
      <c r="I36" s="645"/>
      <c r="J36" s="645"/>
      <c r="K36" s="645"/>
      <c r="L36" s="645"/>
      <c r="M36" s="645"/>
      <c r="N36" s="645"/>
      <c r="O36" s="645"/>
      <c r="P36" s="645"/>
      <c r="Q36" s="645"/>
      <c r="R36" s="645"/>
      <c r="S36" s="646"/>
      <c r="T36" s="728"/>
      <c r="U36" s="2384"/>
      <c r="V36" s="2384"/>
      <c r="W36" s="1646"/>
      <c r="X36" s="1646"/>
      <c r="Y36" s="1646"/>
      <c r="Z36" s="1646"/>
      <c r="AA36" s="1646"/>
      <c r="AB36" s="1170"/>
      <c r="AC36" s="2385"/>
      <c r="AD36" s="639"/>
      <c r="AE36" s="1170"/>
      <c r="AF36" s="1170"/>
      <c r="AG36" s="1646"/>
      <c r="AH36" s="1646"/>
      <c r="AI36" s="1646"/>
      <c r="AJ36" s="1646"/>
      <c r="AK36" s="1646"/>
      <c r="AL36" s="1646"/>
      <c r="AM36" s="1646"/>
      <c r="AN36" s="1646"/>
      <c r="AO36" s="1646"/>
      <c r="AP36" s="1646"/>
      <c r="AQ36" s="1646"/>
      <c r="AR36" s="1646"/>
      <c r="AS36" s="1646"/>
      <c r="AT36" s="1646"/>
      <c r="AU36" s="1646"/>
      <c r="AV36" s="1646"/>
      <c r="AW36" s="1646"/>
      <c r="AX36" s="1646"/>
      <c r="AY36" s="1646"/>
      <c r="AZ36" s="1646"/>
      <c r="BA36" s="1646"/>
      <c r="BB36" s="1646"/>
      <c r="BC36" s="1646"/>
      <c r="BD36" s="1646"/>
      <c r="BE36" s="1646"/>
      <c r="BF36" s="1646"/>
      <c r="BG36" s="1646"/>
      <c r="BH36" s="1646"/>
      <c r="BI36" s="1646"/>
      <c r="BJ36" s="1646"/>
      <c r="BK36" s="1646"/>
      <c r="BL36" s="1646"/>
      <c r="BM36" s="1646"/>
      <c r="BN36" s="1646"/>
      <c r="BO36" s="1646"/>
      <c r="BP36" s="1646"/>
      <c r="BQ36" s="1646"/>
      <c r="BR36" s="1646"/>
      <c r="BS36" s="1646"/>
      <c r="BT36" s="1646"/>
      <c r="BU36" s="1646"/>
      <c r="BV36" s="1646"/>
      <c r="BW36" s="1646"/>
      <c r="BX36" s="1646"/>
      <c r="BY36" s="1646"/>
      <c r="BZ36" s="1646"/>
      <c r="CA36" s="1646"/>
      <c r="CB36" s="1646"/>
      <c r="CC36" s="1646"/>
      <c r="CD36" s="1646"/>
      <c r="CE36" s="1646"/>
      <c r="CF36" s="1860"/>
    </row>
    <row customHeight="1" ht="11.25" hidden="1">
      <c r="A37" s="1816"/>
      <c r="B37" s="1170"/>
      <c r="C37" s="422"/>
      <c r="D37" s="2589"/>
      <c r="E37" s="659" t="s">
        <v>22</v>
      </c>
      <c r="F37" s="1178" t="s">
        <v>22</v>
      </c>
      <c r="G37" s="1178" t="s">
        <v>637</v>
      </c>
      <c r="H37" s="661" t="s">
        <v>22</v>
      </c>
      <c r="I37" s="661"/>
      <c r="J37" s="661"/>
      <c r="K37" s="661"/>
      <c r="L37" s="661"/>
      <c r="M37" s="661"/>
      <c r="N37" s="661"/>
      <c r="O37" s="661"/>
      <c r="P37" s="661"/>
      <c r="Q37" s="661"/>
      <c r="R37" s="662"/>
      <c r="S37" s="663"/>
      <c r="T37" s="728"/>
      <c r="U37" s="2384"/>
      <c r="V37" s="2384"/>
      <c r="W37" s="1170"/>
      <c r="X37" s="1170"/>
      <c r="Y37" s="1170"/>
      <c r="Z37" s="1170"/>
      <c r="AA37" s="1646"/>
      <c r="AB37" s="1170"/>
      <c r="AC37" s="2385"/>
      <c r="AD37" s="639"/>
      <c r="AE37" s="1170"/>
      <c r="AF37" s="1170"/>
      <c r="AG37" s="1646"/>
      <c r="AH37" s="1646"/>
      <c r="AI37" s="1646"/>
      <c r="AJ37" s="1646"/>
      <c r="AK37" s="1646"/>
      <c r="AL37" s="1646"/>
      <c r="AM37" s="1646"/>
      <c r="AN37" s="1646"/>
      <c r="AO37" s="1646"/>
      <c r="AP37" s="1646"/>
      <c r="AQ37" s="1646"/>
      <c r="AR37" s="1646"/>
      <c r="AS37" s="1646"/>
      <c r="AT37" s="1646"/>
      <c r="AU37" s="1646"/>
      <c r="AV37" s="1646"/>
      <c r="AW37" s="1646"/>
      <c r="AX37" s="1646"/>
      <c r="AY37" s="1646"/>
      <c r="AZ37" s="1646"/>
      <c r="BA37" s="1646"/>
      <c r="BB37" s="1646"/>
      <c r="BC37" s="1646"/>
      <c r="BD37" s="1646"/>
      <c r="BE37" s="1646"/>
      <c r="BF37" s="1646"/>
      <c r="BG37" s="1646"/>
      <c r="BH37" s="1646"/>
      <c r="BI37" s="1646"/>
      <c r="BJ37" s="1646"/>
      <c r="BK37" s="1646"/>
      <c r="BL37" s="1646"/>
      <c r="BM37" s="1646"/>
      <c r="BN37" s="1646"/>
      <c r="BO37" s="1646"/>
      <c r="BP37" s="1646"/>
      <c r="BQ37" s="1646"/>
      <c r="BR37" s="1646"/>
      <c r="BS37" s="1646"/>
      <c r="BT37" s="1646"/>
      <c r="BU37" s="1646"/>
      <c r="BV37" s="1170"/>
      <c r="BW37" s="1170"/>
      <c r="BX37" s="1170"/>
      <c r="BY37" s="1170"/>
      <c r="BZ37" s="1170"/>
      <c r="CA37" s="1170"/>
      <c r="CB37" s="1170"/>
      <c r="CC37" s="1170"/>
      <c r="CD37" s="1170"/>
      <c r="CE37" s="1170"/>
      <c r="CF37" s="1860"/>
    </row>
    <row customHeight="1" ht="5.25" hidden="1">
      <c r="A38" s="1803"/>
      <c r="B38" s="1646"/>
      <c r="C38" s="1646"/>
      <c r="D38" s="2589"/>
      <c r="E38" s="1049"/>
      <c r="F38" s="1049"/>
      <c r="G38" s="1049"/>
      <c r="H38" s="1049"/>
      <c r="I38" s="1049"/>
      <c r="J38" s="1049"/>
      <c r="K38" s="1049"/>
      <c r="L38" s="1049"/>
      <c r="M38" s="1049"/>
      <c r="N38" s="1049"/>
      <c r="O38" s="1049"/>
      <c r="P38" s="1049"/>
      <c r="Q38" s="1050"/>
      <c r="R38" s="1051"/>
      <c r="S38" s="1052"/>
      <c r="T38" s="727" t="s">
        <v>634</v>
      </c>
      <c r="U38" s="2384">
        <v>1</v>
      </c>
      <c r="V38" s="2384" t="s">
        <v>597</v>
      </c>
      <c r="W38" s="1646"/>
      <c r="X38" s="1646"/>
      <c r="Y38" s="1646"/>
      <c r="Z38" s="1646"/>
      <c r="AA38" s="1646"/>
      <c r="AB38" s="1646"/>
      <c r="AC38" s="1047"/>
      <c r="AD38" s="1048"/>
      <c r="AE38" s="1646"/>
      <c r="AF38" s="1646"/>
      <c r="AG38" s="1646"/>
      <c r="AH38" s="1646"/>
      <c r="AI38" s="1646"/>
      <c r="AJ38" s="1646"/>
      <c r="AK38" s="1646"/>
      <c r="AL38" s="1646"/>
      <c r="AM38" s="1646"/>
      <c r="AN38" s="1646"/>
      <c r="AO38" s="1646"/>
      <c r="AP38" s="1646"/>
      <c r="AQ38" s="1646"/>
      <c r="AR38" s="1646"/>
      <c r="AS38" s="1646"/>
      <c r="AT38" s="1646"/>
      <c r="AU38" s="1646"/>
      <c r="AV38" s="1646"/>
      <c r="AW38" s="1646"/>
      <c r="AX38" s="1646"/>
      <c r="AY38" s="1646"/>
      <c r="AZ38" s="1646"/>
      <c r="BA38" s="1646"/>
      <c r="BB38" s="1646"/>
      <c r="BC38" s="1646"/>
      <c r="BD38" s="1646"/>
      <c r="BE38" s="1646"/>
      <c r="BF38" s="1646"/>
      <c r="BG38" s="1646"/>
      <c r="BH38" s="1646"/>
      <c r="BI38" s="1646"/>
      <c r="BJ38" s="1646"/>
      <c r="BK38" s="1646"/>
      <c r="BL38" s="1646"/>
      <c r="BM38" s="1646"/>
      <c r="BN38" s="1646"/>
      <c r="BO38" s="1646"/>
      <c r="BP38" s="1646"/>
      <c r="BQ38" s="1646"/>
      <c r="BR38" s="1646"/>
      <c r="BS38" s="1646"/>
      <c r="BT38" s="1646"/>
      <c r="BU38" s="1646"/>
      <c r="BV38" s="1646"/>
      <c r="BW38" s="1646"/>
      <c r="BX38" s="1646"/>
      <c r="BY38" s="1646"/>
      <c r="BZ38" s="1646"/>
      <c r="CA38" s="1646"/>
      <c r="CB38" s="1646"/>
      <c r="CC38" s="1646"/>
      <c r="CD38" s="1646"/>
      <c r="CE38" s="1646"/>
      <c r="CF38" s="1326"/>
    </row>
    <row customHeight="1" ht="5.25" hidden="1">
      <c r="A39" s="1803"/>
      <c r="B39" s="1646"/>
      <c r="C39" s="1646"/>
      <c r="D39" s="2589"/>
      <c r="E39" s="645"/>
      <c r="F39" s="645"/>
      <c r="G39" s="645"/>
      <c r="H39" s="645"/>
      <c r="I39" s="645"/>
      <c r="J39" s="645"/>
      <c r="K39" s="645"/>
      <c r="L39" s="645"/>
      <c r="M39" s="645"/>
      <c r="N39" s="645"/>
      <c r="O39" s="645"/>
      <c r="P39" s="645"/>
      <c r="Q39" s="645"/>
      <c r="R39" s="645"/>
      <c r="S39" s="646"/>
      <c r="T39" s="728"/>
      <c r="U39" s="2384"/>
      <c r="V39" s="2384"/>
      <c r="W39" s="1646"/>
      <c r="X39" s="1646"/>
      <c r="Y39" s="1646"/>
      <c r="Z39" s="1646"/>
      <c r="AA39" s="1646"/>
      <c r="AB39" s="1646"/>
      <c r="AC39" s="1047"/>
      <c r="AD39" s="1048"/>
      <c r="AE39" s="1646"/>
      <c r="AF39" s="1646"/>
      <c r="AG39" s="1646"/>
      <c r="AH39" s="1646"/>
      <c r="AI39" s="1646"/>
      <c r="AJ39" s="1646"/>
      <c r="AK39" s="1646"/>
      <c r="AL39" s="1646"/>
      <c r="AM39" s="1646"/>
      <c r="AN39" s="1646"/>
      <c r="AO39" s="1646"/>
      <c r="AP39" s="1646"/>
      <c r="AQ39" s="1646"/>
      <c r="AR39" s="1646"/>
      <c r="AS39" s="1646"/>
      <c r="AT39" s="1646"/>
      <c r="AU39" s="1646"/>
      <c r="AV39" s="1646"/>
      <c r="AW39" s="1646"/>
      <c r="AX39" s="1646"/>
      <c r="AY39" s="1646"/>
      <c r="AZ39" s="1646"/>
      <c r="BA39" s="1646"/>
      <c r="BB39" s="1646"/>
      <c r="BC39" s="1646"/>
      <c r="BD39" s="1646"/>
      <c r="BE39" s="1646"/>
      <c r="BF39" s="1646"/>
      <c r="BG39" s="1646"/>
      <c r="BH39" s="1646"/>
      <c r="BI39" s="1646"/>
      <c r="BJ39" s="1646"/>
      <c r="BK39" s="1646"/>
      <c r="BL39" s="1646"/>
      <c r="BM39" s="1646"/>
      <c r="BN39" s="1646"/>
      <c r="BO39" s="1646"/>
      <c r="BP39" s="1646"/>
      <c r="BQ39" s="1646"/>
      <c r="BR39" s="1646"/>
      <c r="BS39" s="1646"/>
      <c r="BT39" s="1646"/>
      <c r="BU39" s="1646"/>
      <c r="BV39" s="1646"/>
      <c r="BW39" s="1646"/>
      <c r="BX39" s="1646"/>
      <c r="BY39" s="1646"/>
      <c r="BZ39" s="1646"/>
      <c r="CA39" s="1646"/>
      <c r="CB39" s="1646"/>
      <c r="CC39" s="1646"/>
      <c r="CD39" s="1646"/>
      <c r="CE39" s="1646"/>
      <c r="CF39" s="1326"/>
    </row>
    <row customHeight="1" ht="5.25" hidden="1">
      <c r="A40" s="1803"/>
      <c r="B40" s="1646"/>
      <c r="C40" s="1646"/>
      <c r="D40" s="2590"/>
      <c r="E40" s="1053"/>
      <c r="F40" s="1054"/>
      <c r="G40" s="1054"/>
      <c r="H40" s="1055"/>
      <c r="I40" s="1055"/>
      <c r="J40" s="1055"/>
      <c r="K40" s="1055"/>
      <c r="L40" s="1055"/>
      <c r="M40" s="1055"/>
      <c r="N40" s="1055"/>
      <c r="O40" s="1055"/>
      <c r="P40" s="1055"/>
      <c r="Q40" s="1055"/>
      <c r="R40" s="956"/>
      <c r="S40" s="1056"/>
      <c r="T40" s="728"/>
      <c r="U40" s="2384"/>
      <c r="V40" s="2384"/>
      <c r="W40" s="1646"/>
      <c r="X40" s="1646"/>
      <c r="Y40" s="1646"/>
      <c r="Z40" s="1646"/>
      <c r="AA40" s="1646"/>
      <c r="AB40" s="1646"/>
      <c r="AC40" s="1047"/>
      <c r="AD40" s="1048"/>
      <c r="AE40" s="1646"/>
      <c r="AF40" s="1646"/>
      <c r="AG40" s="1646"/>
      <c r="AH40" s="1646"/>
      <c r="AI40" s="1646"/>
      <c r="AJ40" s="1646"/>
      <c r="AK40" s="1646"/>
      <c r="AL40" s="1646"/>
      <c r="AM40" s="1646"/>
      <c r="AN40" s="1646"/>
      <c r="AO40" s="1646"/>
      <c r="AP40" s="1646"/>
      <c r="AQ40" s="1646"/>
      <c r="AR40" s="1646"/>
      <c r="AS40" s="1646"/>
      <c r="AT40" s="1646"/>
      <c r="AU40" s="1646"/>
      <c r="AV40" s="1646"/>
      <c r="AW40" s="1646"/>
      <c r="AX40" s="1646"/>
      <c r="AY40" s="1646"/>
      <c r="AZ40" s="1646"/>
      <c r="BA40" s="1646"/>
      <c r="BB40" s="1646"/>
      <c r="BC40" s="1646"/>
      <c r="BD40" s="1646"/>
      <c r="BE40" s="1646"/>
      <c r="BF40" s="1646"/>
      <c r="BG40" s="1646"/>
      <c r="BH40" s="1646"/>
      <c r="BI40" s="1646"/>
      <c r="BJ40" s="1646"/>
      <c r="BK40" s="1646"/>
      <c r="BL40" s="1646"/>
      <c r="BM40" s="1646"/>
      <c r="BN40" s="1646"/>
      <c r="BO40" s="1646"/>
      <c r="BP40" s="1646"/>
      <c r="BQ40" s="1646"/>
      <c r="BR40" s="1646"/>
      <c r="BS40" s="1646"/>
      <c r="BT40" s="1646"/>
      <c r="BU40" s="1646"/>
      <c r="BV40" s="1646"/>
      <c r="BW40" s="1646"/>
      <c r="BX40" s="1646"/>
      <c r="BY40" s="1646"/>
      <c r="BZ40" s="1646"/>
      <c r="CA40" s="1646"/>
      <c r="CB40" s="1646"/>
      <c r="CC40" s="1646"/>
      <c r="CD40" s="1646"/>
      <c r="CE40" s="1646"/>
      <c r="CF40" s="1326"/>
    </row>
    <row customHeight="1" ht="15" hidden="1">
      <c r="A41" s="633" t="s">
        <v>143</v>
      </c>
      <c r="B41" s="634"/>
      <c r="C41" s="634" t="s">
        <v>22</v>
      </c>
      <c r="D41" s="2588" t="s">
        <v>639</v>
      </c>
      <c r="E41" s="2387" t="s">
        <v>120</v>
      </c>
      <c r="F41" s="2388"/>
      <c r="G41" s="2389"/>
      <c r="H41" s="2393" t="str">
        <f>IF(A41="","",INDEX(DIFFERENTIATION_UNMERGE_VD,MATCH(A41,DIFFERENTIATION_ID_DIFF,0)))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 Передача. Тепловая энергия; Передача. Теплоноситель; Сбыт. Тепловая энергия; Сбыт. Теплоноситель</v>
      </c>
      <c r="I41" s="2393"/>
      <c r="J41" s="2393"/>
      <c r="K41" s="2393"/>
      <c r="L41" s="2393"/>
      <c r="M41" s="2393"/>
      <c r="N41" s="2393"/>
      <c r="O41" s="2393"/>
      <c r="P41" s="2393"/>
      <c r="Q41" s="2393"/>
      <c r="R41" s="2393"/>
      <c r="S41" s="729"/>
      <c r="T41" s="726"/>
      <c r="U41" s="635"/>
      <c r="V41" s="635"/>
      <c r="W41" s="636"/>
      <c r="X41" s="636"/>
      <c r="Y41" s="636"/>
      <c r="Z41" s="636"/>
      <c r="AA41" s="637"/>
      <c r="AB41" s="638"/>
      <c r="AC41" s="2385"/>
      <c r="AD41" s="639"/>
      <c r="AE41" s="640" t="s">
        <v>22</v>
      </c>
      <c r="AF41" s="640"/>
      <c r="AG41" s="641" t="s">
        <v>631</v>
      </c>
      <c r="AH41" s="642">
        <v>3</v>
      </c>
      <c r="AI41" s="635"/>
      <c r="AJ41" s="635"/>
      <c r="AK41" s="635"/>
      <c r="AL41" s="635"/>
      <c r="AM41" s="635"/>
      <c r="AN41" s="635"/>
      <c r="AO41" s="635"/>
      <c r="AP41" s="635"/>
      <c r="AQ41" s="635"/>
      <c r="AR41" s="635"/>
      <c r="AS41" s="635"/>
      <c r="AT41" s="635"/>
      <c r="AU41" s="635"/>
      <c r="AV41" s="635"/>
      <c r="AW41" s="635"/>
      <c r="AX41" s="635"/>
      <c r="AY41" s="635"/>
      <c r="AZ41" s="635"/>
      <c r="BA41" s="635"/>
      <c r="BB41" s="635"/>
      <c r="BC41" s="635"/>
      <c r="BD41" s="635"/>
      <c r="BE41" s="635"/>
      <c r="BF41" s="635"/>
      <c r="BG41" s="635"/>
      <c r="BH41" s="635"/>
      <c r="BI41" s="635"/>
      <c r="BJ41" s="635"/>
      <c r="BK41" s="635"/>
      <c r="BL41" s="635"/>
      <c r="BM41" s="635"/>
      <c r="BN41" s="635"/>
      <c r="BO41" s="635"/>
      <c r="BP41" s="635"/>
      <c r="BQ41" s="635"/>
      <c r="BR41" s="635"/>
      <c r="BS41" s="635"/>
      <c r="BT41" s="635"/>
      <c r="BU41" s="635"/>
      <c r="BV41" s="636"/>
      <c r="BW41" s="636"/>
      <c r="BX41" s="636"/>
      <c r="BY41" s="636"/>
      <c r="BZ41" s="636"/>
      <c r="CA41" s="636"/>
      <c r="CB41" s="636"/>
      <c r="CC41" s="636"/>
      <c r="CD41" s="636"/>
      <c r="CE41" s="636"/>
      <c r="CF41" s="1860"/>
    </row>
    <row customHeight="1" ht="15" hidden="1">
      <c r="A42" s="633"/>
      <c r="B42" s="634"/>
      <c r="C42" s="634"/>
      <c r="D42" s="2589"/>
      <c r="E42" s="2387" t="s">
        <v>586</v>
      </c>
      <c r="F42" s="2388"/>
      <c r="G42" s="2389"/>
      <c r="H42" s="2393" t="str">
        <f>IF(A41="","",INDEX(DIFFERENTIATION_UNMERGE_AREA,MATCH(A41,DIFFERENTIATION_ID_DIFF,0)))</f>
        <v>Территория 4</v>
      </c>
      <c r="I42" s="2393"/>
      <c r="J42" s="2393"/>
      <c r="K42" s="2393"/>
      <c r="L42" s="2393"/>
      <c r="M42" s="2393"/>
      <c r="N42" s="2393"/>
      <c r="O42" s="2393"/>
      <c r="P42" s="2393"/>
      <c r="Q42" s="2393"/>
      <c r="R42" s="2393"/>
      <c r="S42" s="729"/>
      <c r="T42" s="726"/>
      <c r="U42" s="635"/>
      <c r="V42" s="635"/>
      <c r="W42" s="636"/>
      <c r="X42" s="636"/>
      <c r="Y42" s="636"/>
      <c r="Z42" s="636"/>
      <c r="AA42" s="637"/>
      <c r="AB42" s="638"/>
      <c r="AC42" s="2385"/>
      <c r="AD42" s="639"/>
      <c r="AE42" s="640"/>
      <c r="AF42" s="640"/>
      <c r="AG42" s="641"/>
      <c r="AH42" s="642"/>
      <c r="AI42" s="635"/>
      <c r="AJ42" s="635"/>
      <c r="AK42" s="635"/>
      <c r="AL42" s="635"/>
      <c r="AM42" s="635"/>
      <c r="AN42" s="635"/>
      <c r="AO42" s="635"/>
      <c r="AP42" s="635"/>
      <c r="AQ42" s="635"/>
      <c r="AR42" s="635"/>
      <c r="AS42" s="635"/>
      <c r="AT42" s="635"/>
      <c r="AU42" s="635"/>
      <c r="AV42" s="635"/>
      <c r="AW42" s="635"/>
      <c r="AX42" s="635"/>
      <c r="AY42" s="635"/>
      <c r="AZ42" s="635"/>
      <c r="BA42" s="635"/>
      <c r="BB42" s="635"/>
      <c r="BC42" s="635"/>
      <c r="BD42" s="635"/>
      <c r="BE42" s="635"/>
      <c r="BF42" s="635"/>
      <c r="BG42" s="635"/>
      <c r="BH42" s="635"/>
      <c r="BI42" s="635"/>
      <c r="BJ42" s="635"/>
      <c r="BK42" s="635"/>
      <c r="BL42" s="635"/>
      <c r="BM42" s="635"/>
      <c r="BN42" s="635"/>
      <c r="BO42" s="635"/>
      <c r="BP42" s="635"/>
      <c r="BQ42" s="635"/>
      <c r="BR42" s="635"/>
      <c r="BS42" s="635"/>
      <c r="BT42" s="635"/>
      <c r="BU42" s="635"/>
      <c r="BV42" s="636"/>
      <c r="BW42" s="636"/>
      <c r="BX42" s="636"/>
      <c r="BY42" s="636"/>
      <c r="BZ42" s="636"/>
      <c r="CA42" s="636"/>
      <c r="CB42" s="636"/>
      <c r="CC42" s="636"/>
      <c r="CD42" s="636"/>
      <c r="CE42" s="636"/>
      <c r="CF42" s="1860"/>
    </row>
    <row customHeight="1" ht="15" hidden="1">
      <c r="A43" s="633"/>
      <c r="B43" s="634"/>
      <c r="C43" s="634"/>
      <c r="D43" s="2589"/>
      <c r="E43" s="2387" t="s">
        <v>587</v>
      </c>
      <c r="F43" s="2388"/>
      <c r="G43" s="2389"/>
      <c r="H43" s="2393" t="str">
        <f>IF(A41="","",INDEX(DIFFERENTIATION_UNMERGE_SYSTEM,MATCH(A41,DIFFERENTIATION_ID_DIFF,0)))</f>
        <v>Чульманская ТЭЦ (п. Чульман)</v>
      </c>
      <c r="I43" s="2393"/>
      <c r="J43" s="2393"/>
      <c r="K43" s="2393"/>
      <c r="L43" s="2393"/>
      <c r="M43" s="2393"/>
      <c r="N43" s="2393"/>
      <c r="O43" s="2393"/>
      <c r="P43" s="2393"/>
      <c r="Q43" s="2393"/>
      <c r="R43" s="2393"/>
      <c r="S43" s="729"/>
      <c r="T43" s="726"/>
      <c r="U43" s="635"/>
      <c r="V43" s="635"/>
      <c r="W43" s="636"/>
      <c r="X43" s="636"/>
      <c r="Y43" s="636"/>
      <c r="Z43" s="636"/>
      <c r="AA43" s="637"/>
      <c r="AB43" s="638"/>
      <c r="AC43" s="2385"/>
      <c r="AD43" s="639"/>
      <c r="AE43" s="640"/>
      <c r="AF43" s="640"/>
      <c r="AG43" s="641"/>
      <c r="AH43" s="642"/>
      <c r="AI43" s="635"/>
      <c r="AJ43" s="635"/>
      <c r="AK43" s="635"/>
      <c r="AL43" s="635"/>
      <c r="AM43" s="635"/>
      <c r="AN43" s="635"/>
      <c r="AO43" s="635"/>
      <c r="AP43" s="635"/>
      <c r="AQ43" s="635"/>
      <c r="AR43" s="635"/>
      <c r="AS43" s="635"/>
      <c r="AT43" s="635"/>
      <c r="AU43" s="635"/>
      <c r="AV43" s="635"/>
      <c r="AW43" s="635"/>
      <c r="AX43" s="635"/>
      <c r="AY43" s="635"/>
      <c r="AZ43" s="635"/>
      <c r="BA43" s="635"/>
      <c r="BB43" s="635"/>
      <c r="BC43" s="635"/>
      <c r="BD43" s="635"/>
      <c r="BE43" s="635"/>
      <c r="BF43" s="635"/>
      <c r="BG43" s="635"/>
      <c r="BH43" s="635"/>
      <c r="BI43" s="635"/>
      <c r="BJ43" s="635"/>
      <c r="BK43" s="635"/>
      <c r="BL43" s="635"/>
      <c r="BM43" s="635"/>
      <c r="BN43" s="635"/>
      <c r="BO43" s="635"/>
      <c r="BP43" s="635"/>
      <c r="BQ43" s="635"/>
      <c r="BR43" s="635"/>
      <c r="BS43" s="635"/>
      <c r="BT43" s="635"/>
      <c r="BU43" s="635"/>
      <c r="BV43" s="636"/>
      <c r="BW43" s="636"/>
      <c r="BX43" s="636"/>
      <c r="BY43" s="636"/>
      <c r="BZ43" s="636"/>
      <c r="CA43" s="636"/>
      <c r="CB43" s="636"/>
      <c r="CC43" s="636"/>
      <c r="CD43" s="636"/>
      <c r="CE43" s="636"/>
      <c r="CF43" s="1860"/>
    </row>
    <row customHeight="1" ht="24.75" hidden="1">
      <c r="A44" s="1816"/>
      <c r="B44" s="1170"/>
      <c r="C44" s="422"/>
      <c r="D44" s="2589"/>
      <c r="E44" s="2386" t="s">
        <v>632</v>
      </c>
      <c r="F44" s="2386"/>
      <c r="G44" s="2386"/>
      <c r="H44" s="2386"/>
      <c r="I44" s="2386"/>
      <c r="J44" s="2386"/>
      <c r="K44" s="2386"/>
      <c r="L44" s="2386"/>
      <c r="M44" s="2386"/>
      <c r="N44" s="2386"/>
      <c r="O44" s="2386"/>
      <c r="P44" s="2386"/>
      <c r="Q44" s="568">
        <f>SUMIF(T45:T46,"i",Q45:Q46)</f>
        <v>0</v>
      </c>
      <c r="R44" s="1027"/>
      <c r="S44" s="1808" t="s">
        <v>633</v>
      </c>
      <c r="T44" s="727" t="s">
        <v>634</v>
      </c>
      <c r="U44" s="2384">
        <v>1</v>
      </c>
      <c r="V44" s="2384" t="s">
        <v>597</v>
      </c>
      <c r="W44" s="1170"/>
      <c r="X44" s="1170"/>
      <c r="Y44" s="1170"/>
      <c r="Z44" s="1170"/>
      <c r="AA44" s="1646"/>
      <c r="AB44" s="1170"/>
      <c r="AC44" s="2385"/>
      <c r="AD44" s="639"/>
      <c r="AE44" s="1170"/>
      <c r="AF44" s="1170"/>
      <c r="AG44" s="1646"/>
      <c r="AH44" s="1646"/>
      <c r="AI44" s="1646"/>
      <c r="AJ44" s="1646"/>
      <c r="AK44" s="1646"/>
      <c r="AL44" s="1646"/>
      <c r="AM44" s="1646"/>
      <c r="AN44" s="1646"/>
      <c r="AO44" s="1646"/>
      <c r="AP44" s="1646"/>
      <c r="AQ44" s="1646"/>
      <c r="AR44" s="1646"/>
      <c r="AS44" s="1646"/>
      <c r="AT44" s="1646"/>
      <c r="AU44" s="1646"/>
      <c r="AV44" s="1646"/>
      <c r="AW44" s="1646"/>
      <c r="AX44" s="1646"/>
      <c r="AY44" s="1646"/>
      <c r="AZ44" s="1646"/>
      <c r="BA44" s="1646"/>
      <c r="BB44" s="1646"/>
      <c r="BC44" s="1646"/>
      <c r="BD44" s="1646"/>
      <c r="BE44" s="1646"/>
      <c r="BF44" s="1646"/>
      <c r="BG44" s="1646"/>
      <c r="BH44" s="1646"/>
      <c r="BI44" s="1646"/>
      <c r="BJ44" s="1646"/>
      <c r="BK44" s="1646"/>
      <c r="BL44" s="1646"/>
      <c r="BM44" s="1646"/>
      <c r="BN44" s="1646"/>
      <c r="BO44" s="1646"/>
      <c r="BP44" s="1646"/>
      <c r="BQ44" s="1646"/>
      <c r="BR44" s="1646"/>
      <c r="BS44" s="1646"/>
      <c r="BT44" s="1646"/>
      <c r="BU44" s="1646"/>
      <c r="BV44" s="1170"/>
      <c r="BW44" s="1170"/>
      <c r="BX44" s="1170"/>
      <c r="BY44" s="1170"/>
      <c r="BZ44" s="1170"/>
      <c r="CA44" s="1170"/>
      <c r="CB44" s="1170"/>
      <c r="CC44" s="1170"/>
      <c r="CD44" s="1170"/>
      <c r="CE44" s="1170"/>
      <c r="CF44" s="1860"/>
    </row>
    <row customHeight="1" ht="11.25" hidden="1">
      <c r="A45" s="1803"/>
      <c r="B45" s="1646"/>
      <c r="C45" s="1646"/>
      <c r="D45" s="2589"/>
      <c r="E45" s="645"/>
      <c r="F45" s="645">
        <v>0</v>
      </c>
      <c r="G45" s="645"/>
      <c r="H45" s="645"/>
      <c r="I45" s="645"/>
      <c r="J45" s="645"/>
      <c r="K45" s="645"/>
      <c r="L45" s="645"/>
      <c r="M45" s="645"/>
      <c r="N45" s="645"/>
      <c r="O45" s="645"/>
      <c r="P45" s="645"/>
      <c r="Q45" s="645"/>
      <c r="R45" s="645"/>
      <c r="S45" s="646"/>
      <c r="T45" s="728"/>
      <c r="U45" s="2384"/>
      <c r="V45" s="2384"/>
      <c r="W45" s="1646"/>
      <c r="X45" s="1646"/>
      <c r="Y45" s="1646"/>
      <c r="Z45" s="1646"/>
      <c r="AA45" s="1646"/>
      <c r="AB45" s="1170"/>
      <c r="AC45" s="2385"/>
      <c r="AD45" s="639"/>
      <c r="AE45" s="1170"/>
      <c r="AF45" s="1170"/>
      <c r="AG45" s="1646"/>
      <c r="AH45" s="1646"/>
      <c r="AI45" s="1646"/>
      <c r="AJ45" s="1646"/>
      <c r="AK45" s="1646"/>
      <c r="AL45" s="1646"/>
      <c r="AM45" s="1646"/>
      <c r="AN45" s="1646"/>
      <c r="AO45" s="1646"/>
      <c r="AP45" s="1646"/>
      <c r="AQ45" s="1646"/>
      <c r="AR45" s="1646"/>
      <c r="AS45" s="1646"/>
      <c r="AT45" s="1646"/>
      <c r="AU45" s="1646"/>
      <c r="AV45" s="1646"/>
      <c r="AW45" s="1646"/>
      <c r="AX45" s="1646"/>
      <c r="AY45" s="1646"/>
      <c r="AZ45" s="1646"/>
      <c r="BA45" s="1646"/>
      <c r="BB45" s="1646"/>
      <c r="BC45" s="1646"/>
      <c r="BD45" s="1646"/>
      <c r="BE45" s="1646"/>
      <c r="BF45" s="1646"/>
      <c r="BG45" s="1646"/>
      <c r="BH45" s="1646"/>
      <c r="BI45" s="1646"/>
      <c r="BJ45" s="1646"/>
      <c r="BK45" s="1646"/>
      <c r="BL45" s="1646"/>
      <c r="BM45" s="1646"/>
      <c r="BN45" s="1646"/>
      <c r="BO45" s="1646"/>
      <c r="BP45" s="1646"/>
      <c r="BQ45" s="1646"/>
      <c r="BR45" s="1646"/>
      <c r="BS45" s="1646"/>
      <c r="BT45" s="1646"/>
      <c r="BU45" s="1646"/>
      <c r="BV45" s="1646"/>
      <c r="BW45" s="1646"/>
      <c r="BX45" s="1646"/>
      <c r="BY45" s="1646"/>
      <c r="BZ45" s="1646"/>
      <c r="CA45" s="1646"/>
      <c r="CB45" s="1646"/>
      <c r="CC45" s="1646"/>
      <c r="CD45" s="1646"/>
      <c r="CE45" s="1646"/>
      <c r="CF45" s="1860"/>
    </row>
    <row customHeight="1" ht="11.25" hidden="1">
      <c r="A46" s="1816"/>
      <c r="B46" s="1170"/>
      <c r="C46" s="422"/>
      <c r="D46" s="2589"/>
      <c r="E46" s="659" t="s">
        <v>22</v>
      </c>
      <c r="F46" s="1178" t="s">
        <v>22</v>
      </c>
      <c r="G46" s="1178" t="s">
        <v>637</v>
      </c>
      <c r="H46" s="661" t="s">
        <v>22</v>
      </c>
      <c r="I46" s="661"/>
      <c r="J46" s="661"/>
      <c r="K46" s="661"/>
      <c r="L46" s="661"/>
      <c r="M46" s="661"/>
      <c r="N46" s="661"/>
      <c r="O46" s="661"/>
      <c r="P46" s="661"/>
      <c r="Q46" s="661"/>
      <c r="R46" s="662"/>
      <c r="S46" s="663"/>
      <c r="T46" s="728"/>
      <c r="U46" s="2384"/>
      <c r="V46" s="2384"/>
      <c r="W46" s="1170"/>
      <c r="X46" s="1170"/>
      <c r="Y46" s="1170"/>
      <c r="Z46" s="1170"/>
      <c r="AA46" s="1646"/>
      <c r="AB46" s="1170"/>
      <c r="AC46" s="2385"/>
      <c r="AD46" s="639"/>
      <c r="AE46" s="1170"/>
      <c r="AF46" s="1170"/>
      <c r="AG46" s="1646"/>
      <c r="AH46" s="1646"/>
      <c r="AI46" s="1646"/>
      <c r="AJ46" s="1646"/>
      <c r="AK46" s="1646"/>
      <c r="AL46" s="1646"/>
      <c r="AM46" s="1646"/>
      <c r="AN46" s="1646"/>
      <c r="AO46" s="1646"/>
      <c r="AP46" s="1646"/>
      <c r="AQ46" s="1646"/>
      <c r="AR46" s="1646"/>
      <c r="AS46" s="1646"/>
      <c r="AT46" s="1646"/>
      <c r="AU46" s="1646"/>
      <c r="AV46" s="1646"/>
      <c r="AW46" s="1646"/>
      <c r="AX46" s="1646"/>
      <c r="AY46" s="1646"/>
      <c r="AZ46" s="1646"/>
      <c r="BA46" s="1646"/>
      <c r="BB46" s="1646"/>
      <c r="BC46" s="1646"/>
      <c r="BD46" s="1646"/>
      <c r="BE46" s="1646"/>
      <c r="BF46" s="1646"/>
      <c r="BG46" s="1646"/>
      <c r="BH46" s="1646"/>
      <c r="BI46" s="1646"/>
      <c r="BJ46" s="1646"/>
      <c r="BK46" s="1646"/>
      <c r="BL46" s="1646"/>
      <c r="BM46" s="1646"/>
      <c r="BN46" s="1646"/>
      <c r="BO46" s="1646"/>
      <c r="BP46" s="1646"/>
      <c r="BQ46" s="1646"/>
      <c r="BR46" s="1646"/>
      <c r="BS46" s="1646"/>
      <c r="BT46" s="1646"/>
      <c r="BU46" s="1646"/>
      <c r="BV46" s="1170"/>
      <c r="BW46" s="1170"/>
      <c r="BX46" s="1170"/>
      <c r="BY46" s="1170"/>
      <c r="BZ46" s="1170"/>
      <c r="CA46" s="1170"/>
      <c r="CB46" s="1170"/>
      <c r="CC46" s="1170"/>
      <c r="CD46" s="1170"/>
      <c r="CE46" s="1170"/>
      <c r="CF46" s="1860"/>
    </row>
    <row customHeight="1" ht="5.25" hidden="1">
      <c r="A47" s="1803"/>
      <c r="B47" s="1646"/>
      <c r="C47" s="1646"/>
      <c r="D47" s="2589"/>
      <c r="E47" s="1049"/>
      <c r="F47" s="1049"/>
      <c r="G47" s="1049"/>
      <c r="H47" s="1049"/>
      <c r="I47" s="1049"/>
      <c r="J47" s="1049"/>
      <c r="K47" s="1049"/>
      <c r="L47" s="1049"/>
      <c r="M47" s="1049"/>
      <c r="N47" s="1049"/>
      <c r="O47" s="1049"/>
      <c r="P47" s="1049"/>
      <c r="Q47" s="1050"/>
      <c r="R47" s="1051"/>
      <c r="S47" s="1052"/>
      <c r="T47" s="727" t="s">
        <v>634</v>
      </c>
      <c r="U47" s="2384">
        <v>1</v>
      </c>
      <c r="V47" s="2384" t="s">
        <v>597</v>
      </c>
      <c r="W47" s="1646"/>
      <c r="X47" s="1646"/>
      <c r="Y47" s="1646"/>
      <c r="Z47" s="1646"/>
      <c r="AA47" s="1646"/>
      <c r="AB47" s="1646"/>
      <c r="AC47" s="1047"/>
      <c r="AD47" s="1048"/>
      <c r="AE47" s="1646"/>
      <c r="AF47" s="1646"/>
      <c r="AG47" s="1646"/>
      <c r="AH47" s="1646"/>
      <c r="AI47" s="1646"/>
      <c r="AJ47" s="1646"/>
      <c r="AK47" s="1646"/>
      <c r="AL47" s="1646"/>
      <c r="AM47" s="1646"/>
      <c r="AN47" s="1646"/>
      <c r="AO47" s="1646"/>
      <c r="AP47" s="1646"/>
      <c r="AQ47" s="1646"/>
      <c r="AR47" s="1646"/>
      <c r="AS47" s="1646"/>
      <c r="AT47" s="1646"/>
      <c r="AU47" s="1646"/>
      <c r="AV47" s="1646"/>
      <c r="AW47" s="1646"/>
      <c r="AX47" s="1646"/>
      <c r="AY47" s="1646"/>
      <c r="AZ47" s="1646"/>
      <c r="BA47" s="1646"/>
      <c r="BB47" s="1646"/>
      <c r="BC47" s="1646"/>
      <c r="BD47" s="1646"/>
      <c r="BE47" s="1646"/>
      <c r="BF47" s="1646"/>
      <c r="BG47" s="1646"/>
      <c r="BH47" s="1646"/>
      <c r="BI47" s="1646"/>
      <c r="BJ47" s="1646"/>
      <c r="BK47" s="1646"/>
      <c r="BL47" s="1646"/>
      <c r="BM47" s="1646"/>
      <c r="BN47" s="1646"/>
      <c r="BO47" s="1646"/>
      <c r="BP47" s="1646"/>
      <c r="BQ47" s="1646"/>
      <c r="BR47" s="1646"/>
      <c r="BS47" s="1646"/>
      <c r="BT47" s="1646"/>
      <c r="BU47" s="1646"/>
      <c r="BV47" s="1646"/>
      <c r="BW47" s="1646"/>
      <c r="BX47" s="1646"/>
      <c r="BY47" s="1646"/>
      <c r="BZ47" s="1646"/>
      <c r="CA47" s="1646"/>
      <c r="CB47" s="1646"/>
      <c r="CC47" s="1646"/>
      <c r="CD47" s="1646"/>
      <c r="CE47" s="1646"/>
      <c r="CF47" s="1326"/>
    </row>
    <row customHeight="1" ht="5.25" hidden="1">
      <c r="A48" s="1803"/>
      <c r="B48" s="1646"/>
      <c r="C48" s="1646"/>
      <c r="D48" s="2589"/>
      <c r="E48" s="645"/>
      <c r="F48" s="645"/>
      <c r="G48" s="645"/>
      <c r="H48" s="645"/>
      <c r="I48" s="645"/>
      <c r="J48" s="645"/>
      <c r="K48" s="645"/>
      <c r="L48" s="645"/>
      <c r="M48" s="645"/>
      <c r="N48" s="645"/>
      <c r="O48" s="645"/>
      <c r="P48" s="645"/>
      <c r="Q48" s="645"/>
      <c r="R48" s="645"/>
      <c r="S48" s="646"/>
      <c r="T48" s="728"/>
      <c r="U48" s="2384"/>
      <c r="V48" s="2384"/>
      <c r="W48" s="1646"/>
      <c r="X48" s="1646"/>
      <c r="Y48" s="1646"/>
      <c r="Z48" s="1646"/>
      <c r="AA48" s="1646"/>
      <c r="AB48" s="1646"/>
      <c r="AC48" s="1047"/>
      <c r="AD48" s="1048"/>
      <c r="AE48" s="1646"/>
      <c r="AF48" s="1646"/>
      <c r="AG48" s="1646"/>
      <c r="AH48" s="1646"/>
      <c r="AI48" s="1646"/>
      <c r="AJ48" s="1646"/>
      <c r="AK48" s="1646"/>
      <c r="AL48" s="1646"/>
      <c r="AM48" s="1646"/>
      <c r="AN48" s="1646"/>
      <c r="AO48" s="1646"/>
      <c r="AP48" s="1646"/>
      <c r="AQ48" s="1646"/>
      <c r="AR48" s="1646"/>
      <c r="AS48" s="1646"/>
      <c r="AT48" s="1646"/>
      <c r="AU48" s="1646"/>
      <c r="AV48" s="1646"/>
      <c r="AW48" s="1646"/>
      <c r="AX48" s="1646"/>
      <c r="AY48" s="1646"/>
      <c r="AZ48" s="1646"/>
      <c r="BA48" s="1646"/>
      <c r="BB48" s="1646"/>
      <c r="BC48" s="1646"/>
      <c r="BD48" s="1646"/>
      <c r="BE48" s="1646"/>
      <c r="BF48" s="1646"/>
      <c r="BG48" s="1646"/>
      <c r="BH48" s="1646"/>
      <c r="BI48" s="1646"/>
      <c r="BJ48" s="1646"/>
      <c r="BK48" s="1646"/>
      <c r="BL48" s="1646"/>
      <c r="BM48" s="1646"/>
      <c r="BN48" s="1646"/>
      <c r="BO48" s="1646"/>
      <c r="BP48" s="1646"/>
      <c r="BQ48" s="1646"/>
      <c r="BR48" s="1646"/>
      <c r="BS48" s="1646"/>
      <c r="BT48" s="1646"/>
      <c r="BU48" s="1646"/>
      <c r="BV48" s="1646"/>
      <c r="BW48" s="1646"/>
      <c r="BX48" s="1646"/>
      <c r="BY48" s="1646"/>
      <c r="BZ48" s="1646"/>
      <c r="CA48" s="1646"/>
      <c r="CB48" s="1646"/>
      <c r="CC48" s="1646"/>
      <c r="CD48" s="1646"/>
      <c r="CE48" s="1646"/>
      <c r="CF48" s="1326"/>
    </row>
    <row customHeight="1" ht="5.25" hidden="1">
      <c r="A49" s="1803"/>
      <c r="B49" s="1646"/>
      <c r="C49" s="1646"/>
      <c r="D49" s="2590"/>
      <c r="E49" s="1053"/>
      <c r="F49" s="1054"/>
      <c r="G49" s="1054"/>
      <c r="H49" s="1055"/>
      <c r="I49" s="1055"/>
      <c r="J49" s="1055"/>
      <c r="K49" s="1055"/>
      <c r="L49" s="1055"/>
      <c r="M49" s="1055"/>
      <c r="N49" s="1055"/>
      <c r="O49" s="1055"/>
      <c r="P49" s="1055"/>
      <c r="Q49" s="1055"/>
      <c r="R49" s="956"/>
      <c r="S49" s="1056"/>
      <c r="T49" s="728"/>
      <c r="U49" s="2384"/>
      <c r="V49" s="2384"/>
      <c r="W49" s="1646"/>
      <c r="X49" s="1646"/>
      <c r="Y49" s="1646"/>
      <c r="Z49" s="1646"/>
      <c r="AA49" s="1646"/>
      <c r="AB49" s="1646"/>
      <c r="AC49" s="1047"/>
      <c r="AD49" s="1048"/>
      <c r="AE49" s="1646"/>
      <c r="AF49" s="1646"/>
      <c r="AG49" s="1646"/>
      <c r="AH49" s="1646"/>
      <c r="AI49" s="1646"/>
      <c r="AJ49" s="1646"/>
      <c r="AK49" s="1646"/>
      <c r="AL49" s="1646"/>
      <c r="AM49" s="1646"/>
      <c r="AN49" s="1646"/>
      <c r="AO49" s="1646"/>
      <c r="AP49" s="1646"/>
      <c r="AQ49" s="1646"/>
      <c r="AR49" s="1646"/>
      <c r="AS49" s="1646"/>
      <c r="AT49" s="1646"/>
      <c r="AU49" s="1646"/>
      <c r="AV49" s="1646"/>
      <c r="AW49" s="1646"/>
      <c r="AX49" s="1646"/>
      <c r="AY49" s="1646"/>
      <c r="AZ49" s="1646"/>
      <c r="BA49" s="1646"/>
      <c r="BB49" s="1646"/>
      <c r="BC49" s="1646"/>
      <c r="BD49" s="1646"/>
      <c r="BE49" s="1646"/>
      <c r="BF49" s="1646"/>
      <c r="BG49" s="1646"/>
      <c r="BH49" s="1646"/>
      <c r="BI49" s="1646"/>
      <c r="BJ49" s="1646"/>
      <c r="BK49" s="1646"/>
      <c r="BL49" s="1646"/>
      <c r="BM49" s="1646"/>
      <c r="BN49" s="1646"/>
      <c r="BO49" s="1646"/>
      <c r="BP49" s="1646"/>
      <c r="BQ49" s="1646"/>
      <c r="BR49" s="1646"/>
      <c r="BS49" s="1646"/>
      <c r="BT49" s="1646"/>
      <c r="BU49" s="1646"/>
      <c r="BV49" s="1646"/>
      <c r="BW49" s="1646"/>
      <c r="BX49" s="1646"/>
      <c r="BY49" s="1646"/>
      <c r="BZ49" s="1646"/>
      <c r="CA49" s="1646"/>
      <c r="CB49" s="1646"/>
      <c r="CC49" s="1646"/>
      <c r="CD49" s="1646"/>
      <c r="CE49" s="1646"/>
      <c r="CF49" s="1326"/>
    </row>
    <row customHeight="1" ht="19.95">
      <c r="D50" s="1057"/>
      <c r="E50" s="1057"/>
      <c r="F50" s="1057"/>
      <c r="G50" s="1057"/>
      <c r="H50" s="1057"/>
      <c r="I50" s="1057"/>
      <c r="J50" s="1057"/>
      <c r="K50" s="1057"/>
      <c r="L50" s="1057"/>
      <c r="M50" s="1057"/>
      <c r="N50" s="1057"/>
      <c r="O50" s="1057"/>
      <c r="P50" s="1057"/>
      <c r="Q50" s="1057"/>
      <c r="R50" s="1057"/>
      <c r="S50" s="1057"/>
      <c r="T50" s="344"/>
      <c r="CF50" s="515">
        <v>19</v>
      </c>
    </row>
    <row customHeight="1" ht="11.549999999999999">
      <c r="D51" s="519"/>
      <c r="CF51" s="515">
        <v>11</v>
      </c>
    </row>
    <row customHeight="1" ht="11.549999999999999">
      <c r="D52" s="664"/>
      <c r="E52" s="664"/>
      <c r="F52" s="664"/>
      <c r="G52" s="665"/>
      <c r="CF52" s="515">
        <v>11</v>
      </c>
    </row>
    <row customHeight="1" ht="11.549999999999999">
      <c r="CF53" s="515">
        <v>11</v>
      </c>
    </row>
    <row customHeight="1" ht="11.549999999999999">
      <c r="D54" s="666"/>
      <c r="E54" s="2394"/>
      <c r="F54" s="2394"/>
      <c r="G54" s="2394"/>
      <c r="H54" s="2394"/>
      <c r="I54" s="2394"/>
      <c r="J54" s="2394"/>
      <c r="K54" s="2394"/>
      <c r="L54" s="2394"/>
      <c r="M54" s="2394"/>
      <c r="N54" s="2394"/>
      <c r="O54" s="2394"/>
      <c r="P54" s="2394"/>
      <c r="Q54" s="2394"/>
      <c r="R54" s="2394"/>
      <c r="CF54" s="515">
        <v>11</v>
      </c>
    </row>
    <row customHeight="1" ht="11.549999999999999">
      <c r="F55" s="768"/>
      <c r="G55" s="768"/>
      <c r="CF55" s="515">
        <v>11</v>
      </c>
    </row>
    <row customHeight="1" ht="11.25" hidden="1">
      <c r="A56" s="620" t="s">
        <v>82</v>
      </c>
      <c r="B56" s="459">
        <v>0</v>
      </c>
      <c r="C56" s="515">
        <v>3</v>
      </c>
      <c r="D56" s="515">
        <v>0</v>
      </c>
      <c r="E56" s="515">
        <v>7</v>
      </c>
      <c r="F56" s="515">
        <v>7</v>
      </c>
      <c r="G56" s="515">
        <v>29</v>
      </c>
      <c r="H56" s="515">
        <v>3</v>
      </c>
      <c r="I56" s="515">
        <v>5</v>
      </c>
      <c r="J56" s="515">
        <v>24</v>
      </c>
      <c r="K56" s="515">
        <v>24</v>
      </c>
      <c r="L56" s="515">
        <v>3</v>
      </c>
      <c r="M56" s="515">
        <v>6</v>
      </c>
      <c r="N56" s="515">
        <v>25</v>
      </c>
      <c r="O56" s="515">
        <v>18</v>
      </c>
      <c r="P56" s="515">
        <v>18</v>
      </c>
      <c r="Q56" s="515">
        <v>18</v>
      </c>
      <c r="R56" s="515">
        <v>18</v>
      </c>
      <c r="S56" s="515">
        <v>93</v>
      </c>
      <c r="T56" s="515">
        <v>10</v>
      </c>
      <c r="U56" s="621">
        <v>10</v>
      </c>
      <c r="V56" s="621">
        <v>11</v>
      </c>
      <c r="W56" s="622">
        <v>10</v>
      </c>
      <c r="X56" s="459">
        <v>10</v>
      </c>
      <c r="Y56" s="459">
        <v>10</v>
      </c>
      <c r="Z56" s="459">
        <v>10</v>
      </c>
      <c r="AA56" s="459">
        <v>10</v>
      </c>
      <c r="AB56" s="515">
        <v>8</v>
      </c>
      <c r="AC56" s="515">
        <v>8</v>
      </c>
      <c r="AD56" s="515">
        <v>8</v>
      </c>
      <c r="AE56" s="515">
        <v>8</v>
      </c>
      <c r="AF56" s="515">
        <v>8</v>
      </c>
      <c r="AG56" s="515">
        <v>8</v>
      </c>
      <c r="AH56" s="515">
        <v>8</v>
      </c>
      <c r="AI56" s="515">
        <v>8</v>
      </c>
      <c r="AJ56" s="515">
        <v>8</v>
      </c>
      <c r="AK56" s="515">
        <v>8</v>
      </c>
      <c r="AL56" s="515">
        <v>8</v>
      </c>
      <c r="AM56" s="515">
        <v>8</v>
      </c>
      <c r="AN56" s="515">
        <v>8</v>
      </c>
      <c r="AO56" s="515">
        <v>8</v>
      </c>
      <c r="AP56" s="515">
        <v>8</v>
      </c>
      <c r="AQ56" s="515">
        <v>8</v>
      </c>
      <c r="AR56" s="515">
        <v>8</v>
      </c>
      <c r="AS56" s="515">
        <v>8</v>
      </c>
      <c r="AT56" s="515">
        <v>8</v>
      </c>
      <c r="AU56" s="515">
        <v>8</v>
      </c>
      <c r="AV56" s="515">
        <v>8</v>
      </c>
      <c r="AW56" s="515">
        <v>8</v>
      </c>
      <c r="AX56" s="515">
        <v>8</v>
      </c>
      <c r="AY56" s="515">
        <v>8</v>
      </c>
      <c r="AZ56" s="515">
        <v>8</v>
      </c>
      <c r="BA56" s="515">
        <v>8</v>
      </c>
      <c r="BB56" s="515">
        <v>8</v>
      </c>
      <c r="BC56" s="515">
        <v>8</v>
      </c>
      <c r="BD56" s="515">
        <v>8</v>
      </c>
      <c r="BE56" s="515">
        <v>8</v>
      </c>
      <c r="BF56" s="515">
        <v>8</v>
      </c>
      <c r="BG56" s="515">
        <v>8</v>
      </c>
      <c r="BH56" s="515">
        <v>8</v>
      </c>
      <c r="BI56" s="515">
        <v>8</v>
      </c>
      <c r="BJ56" s="515">
        <v>8</v>
      </c>
      <c r="BK56" s="515">
        <v>8</v>
      </c>
      <c r="BL56" s="515">
        <v>8</v>
      </c>
      <c r="BM56" s="515">
        <v>8</v>
      </c>
      <c r="BN56" s="515">
        <v>8</v>
      </c>
      <c r="BO56" s="515">
        <v>8</v>
      </c>
      <c r="BP56" s="515">
        <v>8</v>
      </c>
      <c r="BQ56" s="515">
        <v>8</v>
      </c>
      <c r="BR56" s="515">
        <v>8</v>
      </c>
      <c r="BS56" s="515">
        <v>8</v>
      </c>
      <c r="BT56" s="515">
        <v>8</v>
      </c>
      <c r="BU56" s="515">
        <v>8</v>
      </c>
      <c r="BV56" s="515">
        <v>8</v>
      </c>
      <c r="BW56" s="515">
        <v>8</v>
      </c>
      <c r="BX56" s="515">
        <v>8</v>
      </c>
      <c r="BY56" s="515">
        <v>8</v>
      </c>
      <c r="BZ56" s="515">
        <v>8</v>
      </c>
      <c r="CA56" s="515">
        <v>8</v>
      </c>
      <c r="CB56" s="515">
        <v>8</v>
      </c>
      <c r="CC56" s="515">
        <v>8</v>
      </c>
      <c r="CD56" s="515">
        <v>8</v>
      </c>
      <c r="CE56" s="515">
        <v>8</v>
      </c>
      <c r="CF56" s="515">
        <v>11</v>
      </c>
    </row>
  </sheetData>
  <sheetProtection sheet="1" formatColumns="0" formatRows="0" autoFilter="0" sort="1" insertRows="1" insertColumns="1" deleteRows="1" deleteColumns="1"/>
  <mergeCells count="61">
    <mergeCell ref="E5:K5"/>
    <mergeCell ref="E6:K6"/>
    <mergeCell ref="E9:R9"/>
    <mergeCell ref="S9:S10"/>
    <mergeCell ref="E10:F10"/>
    <mergeCell ref="H10:I10"/>
    <mergeCell ref="L10:M10"/>
    <mergeCell ref="D14:D22"/>
    <mergeCell ref="H14:R14"/>
    <mergeCell ref="H15:R15"/>
    <mergeCell ref="H16:R16"/>
    <mergeCell ref="E54:R54"/>
    <mergeCell ref="E20:P20"/>
    <mergeCell ref="U20:U22"/>
    <mergeCell ref="V20:V22"/>
    <mergeCell ref="AC14:AC19"/>
    <mergeCell ref="E17:P17"/>
    <mergeCell ref="U17:U19"/>
    <mergeCell ref="V17:V19"/>
    <mergeCell ref="E14:G14"/>
    <mergeCell ref="E15:G15"/>
    <mergeCell ref="E16:G16"/>
    <mergeCell ref="U29:U31"/>
    <mergeCell ref="V29:V31"/>
    <mergeCell ref="U26:U28"/>
    <mergeCell ref="V26:V28"/>
    <mergeCell ref="D23:D31"/>
    <mergeCell ref="E23:G23"/>
    <mergeCell ref="H23:R23"/>
    <mergeCell ref="AC23:AC28"/>
    <mergeCell ref="E24:G24"/>
    <mergeCell ref="H24:R24"/>
    <mergeCell ref="E25:G25"/>
    <mergeCell ref="H25:R25"/>
    <mergeCell ref="E26:P26"/>
    <mergeCell ref="U38:U40"/>
    <mergeCell ref="V38:V40"/>
    <mergeCell ref="U35:U37"/>
    <mergeCell ref="V35:V37"/>
    <mergeCell ref="D32:D40"/>
    <mergeCell ref="E32:G32"/>
    <mergeCell ref="H32:R32"/>
    <mergeCell ref="AC32:AC37"/>
    <mergeCell ref="E33:G33"/>
    <mergeCell ref="H33:R33"/>
    <mergeCell ref="E34:G34"/>
    <mergeCell ref="H34:R34"/>
    <mergeCell ref="E35:P35"/>
    <mergeCell ref="U47:U49"/>
    <mergeCell ref="V47:V49"/>
    <mergeCell ref="U44:U46"/>
    <mergeCell ref="V44:V46"/>
    <mergeCell ref="D41:D49"/>
    <mergeCell ref="E41:G41"/>
    <mergeCell ref="H41:R41"/>
    <mergeCell ref="AC41:AC46"/>
    <mergeCell ref="E42:G42"/>
    <mergeCell ref="H42:R42"/>
    <mergeCell ref="E43:G43"/>
    <mergeCell ref="H43:R43"/>
    <mergeCell ref="E44:P44"/>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18C7A2-879A-CFBB-806C-0.68C144BA}" mc:Ignorable="x14ac xr xr2 xr3">
  <sheetPr>
    <tabColor theme="9" tint="-0.25"/>
  </sheetPr>
  <dimension ref="A1:AN204"/>
  <sheetViews>
    <sheetView showGridLines="0" zoomScale="90" workbookViewId="0">
      <pane xSplit="12" ySplit="14" topLeftCell="M15" activePane="bottomRight" state="frozen"/>
      <selection pane="bottomLeft" activeCell="A15" sqref="A15"/>
      <selection pane="topRight" activeCell="M1" sqref="M1"/>
      <selection pane="bottomRight" activeCell="P9" sqref="P9"/>
    </sheetView>
  </sheetViews>
  <sheetFormatPr defaultColWidth="9.140625" customHeight="1" defaultRowHeight="11.25"/>
  <cols>
    <col min="1" max="5" style="997" width="10.7109375" hidden="1" customWidth="1"/>
    <col min="6" max="6" style="1376" width="16.8515625" hidden="1" customWidth="1"/>
    <col min="7" max="7" style="1652" width="5.57421875" hidden="1" customWidth="1"/>
    <col min="8" max="8" style="1645" width="3.00390625" customWidth="1"/>
    <col min="9" max="9" style="1645" width="7.00390625" customWidth="1"/>
    <col min="10" max="10" style="1645" width="56.00390625" customWidth="1"/>
    <col min="11" max="11" style="1645" width="10.00390625" customWidth="1"/>
    <col min="12" max="12" style="1645" width="40.57421875" hidden="1" customWidth="1"/>
    <col min="13" max="13" style="1645" width="40.7109375" customWidth="1"/>
    <col min="14" max="16" style="1645" width="40.57421875" customWidth="1"/>
    <col min="17" max="17" style="1376" width="9.7109375" hidden="1" customWidth="1"/>
    <col min="18" max="18" style="1645" width="102.00390625" customWidth="1"/>
    <col min="19" max="19" style="1376" width="9.00390625" customWidth="1"/>
    <col min="20" max="20" style="1652" width="5.00390625" customWidth="1"/>
    <col min="21" max="21" style="1652" width="3.00390625" customWidth="1"/>
    <col min="22" max="25" style="1376" width="3.00390625" customWidth="1"/>
    <col min="26" max="26" style="1652" width="10.00390625" customWidth="1"/>
    <col min="27" max="27" style="1376" width="34.00390625" customWidth="1"/>
    <col min="28" max="28" style="1376" width="9.00390625" customWidth="1"/>
    <col min="29" max="29" style="746" width="8.00390625" customWidth="1"/>
    <col min="30" max="34" style="1376" width="8.00390625" customWidth="1"/>
    <col min="35" max="39" style="1642" width="8.00390625" customWidth="1"/>
    <col min="40" max="40" style="1645" width="5.421875" hidden="1" customWidth="1"/>
  </cols>
  <sheetData>
    <row s="1376" customFormat="1" customHeight="1" ht="33.75" hidden="1">
      <c r="A1" s="997"/>
      <c r="B1" s="997"/>
      <c r="C1" s="997"/>
      <c r="D1" s="997"/>
      <c r="E1" s="997"/>
      <c r="G1" s="1646"/>
      <c r="H1" s="888"/>
      <c r="L1" s="1376">
        <v>4</v>
      </c>
      <c r="M1" s="1376">
        <v>4</v>
      </c>
      <c r="N1" s="1376">
        <v>4</v>
      </c>
      <c r="O1" s="1376">
        <v>4</v>
      </c>
      <c r="P1" s="1376">
        <v>4</v>
      </c>
      <c r="T1" s="1646"/>
      <c r="U1" s="1646"/>
      <c r="Z1" s="1646"/>
      <c r="AN1" s="1376" t="s">
        <v>14</v>
      </c>
    </row>
    <row s="1376" customFormat="1" customHeight="1" ht="78.75" hidden="1">
      <c r="A2" s="997"/>
      <c r="B2" s="2063" t="s">
        <v>640</v>
      </c>
      <c r="C2" s="2063" t="s">
        <v>641</v>
      </c>
      <c r="D2" s="2062" t="s">
        <v>642</v>
      </c>
      <c r="E2" s="2066">
        <f>RIGHT(I2,LEN(I2)-SEARCH("#",SUBSTITUTE(I2,".","#",LEN(I2)-LEN(SUBSTITUTE(I2,".","")))))</f>
      </c>
      <c r="F2" s="2068">
        <f>J2</f>
        <v>0</v>
      </c>
      <c r="G2" s="1646"/>
      <c r="H2" s="2069"/>
      <c r="I2" s="2059"/>
      <c r="J2" s="550"/>
      <c r="K2" s="2029" t="s">
        <v>578</v>
      </c>
      <c r="L2" s="761"/>
      <c r="M2" s="761"/>
      <c r="N2" s="761"/>
      <c r="O2" s="761"/>
      <c r="P2" s="761"/>
      <c r="Q2" s="553"/>
      <c r="R2" s="1535" t="s">
        <v>579</v>
      </c>
      <c r="S2" s="553"/>
      <c r="T2" s="1646"/>
      <c r="U2" s="1646"/>
      <c r="Z2" s="1646"/>
      <c r="AC2" s="554"/>
      <c r="AI2" s="1642"/>
      <c r="AJ2" s="1642"/>
      <c r="AK2" s="1642"/>
      <c r="AL2" s="1642"/>
      <c r="AM2" s="1642"/>
      <c r="AN2" s="1376">
        <v>0</v>
      </c>
    </row>
    <row customHeight="1" ht="11.25" hidden="1">
      <c r="E3" s="2061" t="s">
        <v>643</v>
      </c>
      <c r="L3" s="1641">
        <f>0</f>
        <v>0</v>
      </c>
      <c r="M3" s="1641">
        <v>1</v>
      </c>
      <c r="N3" s="1645">
        <f>0</f>
        <v>0</v>
      </c>
      <c r="O3" s="1645">
        <f>0</f>
        <v>0</v>
      </c>
      <c r="P3" s="1645">
        <f>0</f>
        <v>0</v>
      </c>
      <c r="AN3" s="1641">
        <v>0</v>
      </c>
    </row>
    <row s="1642" customFormat="1" customHeight="1" ht="11.25" hidden="1">
      <c r="A4" s="997"/>
      <c r="B4" s="997"/>
      <c r="C4" s="997"/>
      <c r="E4" s="997"/>
      <c r="F4" s="1376"/>
      <c r="G4" s="1646"/>
      <c r="H4" s="630"/>
      <c r="N4" s="1642"/>
      <c r="O4" s="1642"/>
      <c r="P4" s="1642"/>
      <c r="Q4" s="1376"/>
      <c r="R4" s="1642">
        <v>4</v>
      </c>
      <c r="S4" s="1376"/>
      <c r="T4" s="1646"/>
      <c r="U4" s="1646"/>
      <c r="V4" s="1376"/>
      <c r="W4" s="1376"/>
      <c r="X4" s="1376"/>
      <c r="Y4" s="1376"/>
      <c r="Z4" s="1646"/>
      <c r="AA4" s="1376"/>
      <c r="AB4" s="1376"/>
      <c r="AC4" s="554"/>
      <c r="AD4" s="1376"/>
      <c r="AE4" s="1376"/>
      <c r="AF4" s="1376"/>
      <c r="AG4" s="1376"/>
      <c r="AH4" s="1376"/>
      <c r="AN4" s="1642">
        <v>0</v>
      </c>
    </row>
    <row customHeight="1" ht="11.549999999999999">
      <c r="N5" s="1645"/>
      <c r="O5" s="1645"/>
      <c r="P5" s="1645"/>
      <c r="AN5" s="1641">
        <v>11</v>
      </c>
    </row>
    <row customHeight="1" ht="57.75">
      <c r="I6" s="2317" t="s">
        <v>644</v>
      </c>
      <c r="J6" s="2317"/>
      <c r="K6" s="2317"/>
      <c r="L6" s="2317"/>
      <c r="M6" s="2317"/>
      <c r="N6" s="2317"/>
      <c r="O6" s="2317"/>
      <c r="P6" s="2317"/>
      <c r="R6" s="566"/>
      <c r="AN6" s="1641">
        <v>55</v>
      </c>
    </row>
    <row customHeight="1" ht="25.2">
      <c r="I7" s="2259" t="str">
        <f>IF(org=0,"Не определено",org)</f>
        <v>АО «ДГК» СП «Нерюнгринская ГРЭС»</v>
      </c>
      <c r="J7" s="2259"/>
      <c r="K7" s="2259"/>
      <c r="L7" s="2259"/>
      <c r="M7" s="2259"/>
      <c r="N7" s="2259"/>
      <c r="O7" s="2259"/>
      <c r="P7" s="2259"/>
      <c r="AN7" s="1641">
        <v>24</v>
      </c>
    </row>
    <row customHeight="1" ht="11.549999999999999">
      <c r="I8" s="1145"/>
      <c r="J8" s="1145"/>
      <c r="K8" s="1145"/>
      <c r="L8" s="1145"/>
      <c r="M8" s="1145"/>
      <c r="N8" s="1146" t="s">
        <v>22</v>
      </c>
      <c r="O8" s="1146" t="s">
        <v>22</v>
      </c>
      <c r="P8" s="1146" t="s">
        <v>22</v>
      </c>
      <c r="AN8" s="1641">
        <v>11</v>
      </c>
    </row>
    <row s="1652" customFormat="1" customHeight="1" ht="30" hidden="1">
      <c r="A9" s="1177"/>
      <c r="B9" s="1177"/>
      <c r="C9" s="1177"/>
      <c r="E9" s="1177"/>
      <c r="H9" s="1652"/>
      <c r="L9" s="899"/>
      <c r="M9" s="899" t="s">
        <v>132</v>
      </c>
      <c r="N9" s="899" t="s">
        <v>138</v>
      </c>
      <c r="O9" s="899" t="s">
        <v>141</v>
      </c>
      <c r="P9" s="899" t="s">
        <v>143</v>
      </c>
      <c r="AN9" s="1646">
        <v>1</v>
      </c>
    </row>
    <row customHeight="1" ht="11.549999999999999">
      <c r="E10" s="2060" t="s">
        <v>645</v>
      </c>
      <c r="I10" s="721"/>
      <c r="J10" s="2377" t="s">
        <v>120</v>
      </c>
      <c r="K10" s="2378"/>
      <c r="L10" s="2039" t="str">
        <f>IF(L9="","",INDEX(DIFFERENTIATION_UNMERGE_VD,MATCH(L9,DIFFERENTIATION_ID_DIFF,0)))</f>
        <v/>
      </c>
      <c r="M10" s="2039" t="str">
        <f>IF(M9="","",INDEX(DIFFERENTIATION_UNMERGE_VD,MATCH(M9,DIFFERENTIATION_ID_DIFF,0)))</f>
        <v>Производство тепловой энергии. Некомбинированная выработка</v>
      </c>
      <c r="N10" s="2403" t="str">
        <f>IF(N9="","",INDEX(DIFFERENTIATION_UNMERGE_VD,MATCH(N9,DIFFERENTIATION_ID_DIFF,0)))</f>
        <v>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O10" s="2403" t="str">
        <f>IF(O9="","",INDEX(DIFFERENTIATION_UNMERGE_VD,MATCH(O9,DIFFERENTIATION_ID_DIFF,0)))</f>
        <v>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P10" s="2403" t="str">
        <f>IF(P9="","",INDEX(DIFFERENTIATION_UNMERGE_VD,MATCH(P9,DIFFERENTIATION_ID_DIFF,0)))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 Передача. Тепловая энергия; Передача. Теплоноситель; Сбыт. Тепловая энергия; Сбыт. Теплоноситель</v>
      </c>
      <c r="R10" s="2137" t="s">
        <v>323</v>
      </c>
      <c r="AN10" s="1641">
        <v>11</v>
      </c>
    </row>
    <row customHeight="1" ht="11.549999999999999">
      <c r="E11" s="2060" t="s">
        <v>646</v>
      </c>
      <c r="I11" s="721"/>
      <c r="J11" s="2377" t="s">
        <v>586</v>
      </c>
      <c r="K11" s="2378"/>
      <c r="L11" s="2039" t="str">
        <f>IF(L9="","",INDEX(DIFFERENTIATION_UNMERGE_AREA,MATCH(L9,DIFFERENTIATION_ID_DIFF,0)))</f>
        <v/>
      </c>
      <c r="M11" s="2039" t="str">
        <f>IF(M9="","",INDEX(DIFFERENTIATION_UNMERGE_AREA,MATCH(M9,DIFFERENTIATION_ID_DIFF,0)))</f>
        <v>Территория 1</v>
      </c>
      <c r="N11" s="2403" t="str">
        <f>IF(N9="","",INDEX(DIFFERENTIATION_UNMERGE_AREA,MATCH(N9,DIFFERENTIATION_ID_DIFF,0)))</f>
        <v>Территория 2</v>
      </c>
      <c r="O11" s="2403" t="str">
        <f>IF(O9="","",INDEX(DIFFERENTIATION_UNMERGE_AREA,MATCH(O9,DIFFERENTIATION_ID_DIFF,0)))</f>
        <v>Территория 3</v>
      </c>
      <c r="P11" s="2403" t="str">
        <f>IF(P9="","",INDEX(DIFFERENTIATION_UNMERGE_AREA,MATCH(P9,DIFFERENTIATION_ID_DIFF,0)))</f>
        <v>Территория 4</v>
      </c>
      <c r="R11" s="2137"/>
      <c r="AN11" s="1641">
        <v>11</v>
      </c>
    </row>
    <row customHeight="1" ht="11.549999999999999">
      <c r="E12" s="2060" t="s">
        <v>647</v>
      </c>
      <c r="I12" s="1672"/>
      <c r="J12" s="2377" t="s">
        <v>587</v>
      </c>
      <c r="K12" s="2378"/>
      <c r="L12" s="2039" t="str">
        <f>IF(L9="","",INDEX(DIFFERENTIATION_UNMERGE_SYSTEM,MATCH(L9,DIFFERENTIATION_ID_DIFF,0)))</f>
        <v/>
      </c>
      <c r="M12" s="2039" t="str">
        <f>IF(M9="","",INDEX(DIFFERENTIATION_UNMERGE_SYSTEM,MATCH(M9,DIFFERENTIATION_ID_DIFF,0)))</f>
        <v>Нерюнгринская ГРЭС (г. Нерюнгри)</v>
      </c>
      <c r="N12" s="2403" t="str">
        <f>IF(N9="","",INDEX(DIFFERENTIATION_UNMERGE_SYSTEM,MATCH(N9,DIFFERENTIATION_ID_DIFF,0)))</f>
        <v>Нерюнгринская ГРЭС (п. Серебряный Бор)</v>
      </c>
      <c r="O12" s="2403" t="str">
        <f>IF(O9="","",INDEX(DIFFERENTIATION_UNMERGE_SYSTEM,MATCH(O9,DIFFERENTIATION_ID_DIFF,0)))</f>
        <v>Нерюнгринская ГРЭС (п. Беркакит)</v>
      </c>
      <c r="P12" s="2403" t="str">
        <f>IF(P9="","",INDEX(DIFFERENTIATION_UNMERGE_SYSTEM,MATCH(P9,DIFFERENTIATION_ID_DIFF,0)))</f>
        <v>Чульманская ТЭЦ (п. Чульман)</v>
      </c>
      <c r="R12" s="2137"/>
      <c r="AN12" s="1641">
        <v>11</v>
      </c>
    </row>
    <row customHeight="1" ht="11.549999999999999">
      <c r="E13" s="2060" t="s">
        <v>648</v>
      </c>
      <c r="F13" s="2060" t="s">
        <v>649</v>
      </c>
      <c r="I13" s="2379" t="s">
        <v>322</v>
      </c>
      <c r="J13" s="2380"/>
      <c r="K13" s="2380"/>
      <c r="L13" s="2037"/>
      <c r="M13" s="2077"/>
      <c r="N13" s="2377"/>
      <c r="O13" s="2377"/>
      <c r="P13" s="2377"/>
      <c r="R13" s="2137"/>
      <c r="AN13" s="1641">
        <v>11</v>
      </c>
    </row>
    <row customHeight="1" ht="24">
      <c r="I14" s="2030" t="s">
        <v>88</v>
      </c>
      <c r="J14" s="2030" t="s">
        <v>324</v>
      </c>
      <c r="K14" s="2030" t="s">
        <v>588</v>
      </c>
      <c r="L14" s="2070" t="s">
        <v>325</v>
      </c>
      <c r="M14" s="2071" t="s">
        <v>325</v>
      </c>
      <c r="N14" s="2272" t="s">
        <v>325</v>
      </c>
      <c r="O14" s="2272" t="s">
        <v>325</v>
      </c>
      <c r="P14" s="2272" t="s">
        <v>325</v>
      </c>
      <c r="R14" s="2137"/>
      <c r="AN14" s="1641">
        <v>23</v>
      </c>
    </row>
    <row customHeight="1" ht="24">
      <c r="A15" s="2064"/>
      <c r="B15" s="2063" t="s">
        <v>650</v>
      </c>
      <c r="C15" s="2063" t="s">
        <v>651</v>
      </c>
      <c r="D15" s="2062" t="s">
        <v>652</v>
      </c>
      <c r="E15" s="2066" t="s">
        <v>653</v>
      </c>
      <c r="F15" s="2066" t="s">
        <v>653</v>
      </c>
      <c r="G15" s="1646" t="s">
        <v>610</v>
      </c>
      <c r="H15" s="2031"/>
      <c r="I15" s="1640">
        <v>1</v>
      </c>
      <c r="J15" s="2032" t="s">
        <v>654</v>
      </c>
      <c r="K15" s="2030" t="s">
        <v>328</v>
      </c>
      <c r="L15" s="672"/>
      <c r="M15" s="828"/>
      <c r="N15" s="672"/>
      <c r="O15" s="672"/>
      <c r="P15" s="672"/>
      <c r="Q15" s="553" t="s">
        <v>655</v>
      </c>
      <c r="R15" s="1535" t="s">
        <v>656</v>
      </c>
      <c r="S15" s="553" t="s">
        <v>655</v>
      </c>
      <c r="AN15" s="1641">
        <v>23</v>
      </c>
    </row>
    <row customHeight="1" ht="35.699999999999996">
      <c r="A16" s="2064"/>
      <c r="B16" s="2063" t="s">
        <v>657</v>
      </c>
      <c r="C16" s="2063" t="s">
        <v>658</v>
      </c>
      <c r="D16" s="2062" t="s">
        <v>642</v>
      </c>
      <c r="E16" s="2066" t="s">
        <v>653</v>
      </c>
      <c r="F16" s="2066" t="s">
        <v>653</v>
      </c>
      <c r="H16" s="2031"/>
      <c r="I16" s="1639">
        <v>2</v>
      </c>
      <c r="J16" s="2073" t="s">
        <v>659</v>
      </c>
      <c r="K16" s="2072" t="s">
        <v>578</v>
      </c>
      <c r="L16" s="2078"/>
      <c r="M16" s="1686"/>
      <c r="N16" s="2078"/>
      <c r="O16" s="2078"/>
      <c r="P16" s="2078"/>
      <c r="Q16" s="553" t="s">
        <v>655</v>
      </c>
      <c r="R16" s="1535" t="s">
        <v>660</v>
      </c>
      <c r="S16" s="553" t="s">
        <v>655</v>
      </c>
      <c r="AN16" s="1641">
        <v>34</v>
      </c>
    </row>
    <row s="1652" customFormat="1" customHeight="1" ht="17.25" hidden="1">
      <c r="A17" s="1177"/>
      <c r="B17" s="1177"/>
      <c r="C17" s="1177"/>
      <c r="D17" s="1177"/>
      <c r="E17" s="1177"/>
      <c r="H17" s="1334"/>
      <c r="I17" s="1023" t="s">
        <v>661</v>
      </c>
      <c r="J17" s="1001"/>
      <c r="K17" s="1023"/>
      <c r="L17" s="1002"/>
      <c r="M17" s="1002"/>
      <c r="N17" s="1002"/>
      <c r="O17" s="1002"/>
      <c r="P17" s="1002"/>
      <c r="R17" s="1395"/>
      <c r="AN17" s="1646">
        <v>1</v>
      </c>
    </row>
    <row s="1376" customFormat="1" customHeight="1" ht="24">
      <c r="A18" s="997"/>
      <c r="B18" s="997"/>
      <c r="C18" s="997"/>
      <c r="D18" s="997"/>
      <c r="E18" s="997"/>
      <c r="G18" s="1646"/>
      <c r="H18" s="1643"/>
      <c r="I18" s="580"/>
      <c r="J18" s="581" t="s">
        <v>608</v>
      </c>
      <c r="K18" s="582"/>
      <c r="L18" s="2080"/>
      <c r="M18" s="583"/>
      <c r="N18" s="2663"/>
      <c r="O18" s="2664"/>
      <c r="P18" s="2665"/>
      <c r="Q18" s="553"/>
      <c r="R18" s="1535" t="s">
        <v>609</v>
      </c>
      <c r="S18" s="553"/>
      <c r="T18" s="1646"/>
      <c r="U18" s="1646"/>
      <c r="Z18" s="1646"/>
      <c r="AC18" s="554"/>
      <c r="AI18" s="1642"/>
      <c r="AJ18" s="1642"/>
      <c r="AK18" s="1642"/>
      <c r="AL18" s="1642"/>
      <c r="AM18" s="1642"/>
      <c r="AN18" s="1376">
        <v>23</v>
      </c>
    </row>
    <row customHeight="1" ht="19.95">
      <c r="A19" s="2064"/>
      <c r="B19" s="2063" t="s">
        <v>662</v>
      </c>
      <c r="C19" s="2063" t="s">
        <v>663</v>
      </c>
      <c r="D19" s="2062" t="s">
        <v>642</v>
      </c>
      <c r="E19" s="2066" t="s">
        <v>653</v>
      </c>
      <c r="F19" s="2066" t="s">
        <v>653</v>
      </c>
      <c r="H19" s="2031"/>
      <c r="I19" s="1674">
        <v>3</v>
      </c>
      <c r="J19" s="2032" t="s">
        <v>663</v>
      </c>
      <c r="K19" s="2028" t="s">
        <v>578</v>
      </c>
      <c r="L19" s="737"/>
      <c r="M19" s="567"/>
      <c r="N19" s="737"/>
      <c r="O19" s="737"/>
      <c r="P19" s="737"/>
      <c r="Q19" s="553"/>
      <c r="R19" s="1535" t="s">
        <v>664</v>
      </c>
      <c r="S19" s="553"/>
      <c r="AN19" s="1641">
        <v>19</v>
      </c>
    </row>
    <row customHeight="1" ht="77.7">
      <c r="A20" s="2064"/>
      <c r="B20" s="2063" t="s">
        <v>665</v>
      </c>
      <c r="C20" s="2063" t="s">
        <v>666</v>
      </c>
      <c r="D20" s="2062" t="s">
        <v>642</v>
      </c>
      <c r="E20" s="2066" t="s">
        <v>653</v>
      </c>
      <c r="F20" s="2066" t="s">
        <v>653</v>
      </c>
      <c r="H20" s="2031"/>
      <c r="I20" s="1674">
        <v>4</v>
      </c>
      <c r="J20" s="2032" t="s">
        <v>667</v>
      </c>
      <c r="K20" s="2028" t="s">
        <v>605</v>
      </c>
      <c r="L20" s="737"/>
      <c r="M20" s="567"/>
      <c r="N20" s="737"/>
      <c r="O20" s="737"/>
      <c r="P20" s="737"/>
      <c r="Q20" s="553"/>
      <c r="R20" s="1535"/>
      <c r="S20" s="553"/>
      <c r="AN20" s="1641">
        <v>74</v>
      </c>
    </row>
    <row customHeight="1" ht="35.699999999999996">
      <c r="A21" s="2064"/>
      <c r="B21" s="2063" t="s">
        <v>668</v>
      </c>
      <c r="C21" s="2063" t="s">
        <v>669</v>
      </c>
      <c r="D21" s="2062" t="s">
        <v>642</v>
      </c>
      <c r="E21" s="2066" t="s">
        <v>653</v>
      </c>
      <c r="F21" s="2066" t="s">
        <v>653</v>
      </c>
      <c r="H21" s="2031"/>
      <c r="I21" s="1674">
        <v>5</v>
      </c>
      <c r="J21" s="2032" t="s">
        <v>670</v>
      </c>
      <c r="K21" s="2028" t="s">
        <v>605</v>
      </c>
      <c r="L21" s="737"/>
      <c r="M21" s="567"/>
      <c r="N21" s="737"/>
      <c r="O21" s="737"/>
      <c r="P21" s="737"/>
      <c r="Q21" s="553"/>
      <c r="R21" s="1535" t="s">
        <v>664</v>
      </c>
      <c r="S21" s="553"/>
      <c r="AN21" s="1641">
        <v>34</v>
      </c>
    </row>
    <row customHeight="1" ht="48.29999999999999">
      <c r="A22" s="2064"/>
      <c r="B22" s="2063" t="s">
        <v>671</v>
      </c>
      <c r="C22" s="2063" t="s">
        <v>672</v>
      </c>
      <c r="D22" s="2062" t="s">
        <v>642</v>
      </c>
      <c r="E22" s="2066" t="s">
        <v>653</v>
      </c>
      <c r="F22" s="2066" t="s">
        <v>653</v>
      </c>
      <c r="H22" s="2031"/>
      <c r="I22" s="1674">
        <v>6</v>
      </c>
      <c r="J22" s="2032" t="s">
        <v>673</v>
      </c>
      <c r="K22" s="2028" t="s">
        <v>605</v>
      </c>
      <c r="L22" s="737"/>
      <c r="M22" s="567"/>
      <c r="N22" s="737"/>
      <c r="O22" s="737"/>
      <c r="P22" s="737"/>
      <c r="Q22" s="553"/>
      <c r="R22" s="1535" t="s">
        <v>674</v>
      </c>
      <c r="S22" s="553"/>
      <c r="AN22" s="1641">
        <v>46</v>
      </c>
    </row>
    <row customHeight="1" ht="19.95">
      <c r="A23" s="2064"/>
      <c r="B23" s="2063" t="s">
        <v>675</v>
      </c>
      <c r="C23" s="2063" t="s">
        <v>676</v>
      </c>
      <c r="D23" s="2062" t="s">
        <v>642</v>
      </c>
      <c r="E23" s="2066" t="s">
        <v>653</v>
      </c>
      <c r="F23" s="2066" t="s">
        <v>653</v>
      </c>
      <c r="H23" s="2031"/>
      <c r="I23" s="1674" t="s">
        <v>677</v>
      </c>
      <c r="J23" s="1534" t="s">
        <v>678</v>
      </c>
      <c r="K23" s="2028" t="s">
        <v>605</v>
      </c>
      <c r="L23" s="737"/>
      <c r="M23" s="567"/>
      <c r="N23" s="737"/>
      <c r="O23" s="737"/>
      <c r="P23" s="737"/>
      <c r="Q23" s="553"/>
      <c r="R23" s="1535" t="s">
        <v>664</v>
      </c>
      <c r="S23" s="553"/>
      <c r="AN23" s="1641">
        <v>19</v>
      </c>
    </row>
    <row customHeight="1" ht="19.95">
      <c r="A24" s="2064"/>
      <c r="B24" s="2063" t="s">
        <v>679</v>
      </c>
      <c r="C24" s="2063" t="s">
        <v>680</v>
      </c>
      <c r="D24" s="2062" t="s">
        <v>642</v>
      </c>
      <c r="E24" s="2066" t="s">
        <v>653</v>
      </c>
      <c r="F24" s="2066" t="s">
        <v>653</v>
      </c>
      <c r="H24" s="2031"/>
      <c r="I24" s="1674" t="s">
        <v>681</v>
      </c>
      <c r="J24" s="1534" t="s">
        <v>682</v>
      </c>
      <c r="K24" s="2028" t="s">
        <v>605</v>
      </c>
      <c r="L24" s="737"/>
      <c r="M24" s="567"/>
      <c r="N24" s="737"/>
      <c r="O24" s="737"/>
      <c r="P24" s="737"/>
      <c r="Q24" s="553"/>
      <c r="R24" s="1535"/>
      <c r="S24" s="553"/>
      <c r="AN24" s="1641">
        <v>19</v>
      </c>
    </row>
    <row customHeight="1" ht="24">
      <c r="A25" s="2064"/>
      <c r="B25" s="2063" t="s">
        <v>683</v>
      </c>
      <c r="C25" s="2063" t="s">
        <v>684</v>
      </c>
      <c r="D25" s="2062" t="s">
        <v>642</v>
      </c>
      <c r="E25" s="2066" t="s">
        <v>653</v>
      </c>
      <c r="F25" s="2066" t="s">
        <v>653</v>
      </c>
      <c r="H25" s="2031"/>
      <c r="I25" s="1674" t="s">
        <v>685</v>
      </c>
      <c r="J25" s="1534" t="s">
        <v>686</v>
      </c>
      <c r="K25" s="2028" t="s">
        <v>605</v>
      </c>
      <c r="L25" s="737"/>
      <c r="M25" s="567"/>
      <c r="N25" s="737"/>
      <c r="O25" s="737"/>
      <c r="P25" s="737"/>
      <c r="Q25" s="553"/>
      <c r="R25" s="1535"/>
      <c r="S25" s="553"/>
      <c r="AN25" s="1641">
        <v>23</v>
      </c>
    </row>
    <row customHeight="1" ht="24">
      <c r="A26" s="2064"/>
      <c r="B26" s="2063" t="s">
        <v>687</v>
      </c>
      <c r="C26" s="2063" t="s">
        <v>688</v>
      </c>
      <c r="D26" s="2062" t="s">
        <v>642</v>
      </c>
      <c r="E26" s="2066" t="s">
        <v>653</v>
      </c>
      <c r="F26" s="2066" t="s">
        <v>653</v>
      </c>
      <c r="H26" s="2031"/>
      <c r="I26" s="1674">
        <v>7</v>
      </c>
      <c r="J26" s="2032" t="s">
        <v>688</v>
      </c>
      <c r="K26" s="2028" t="s">
        <v>689</v>
      </c>
      <c r="L26" s="737"/>
      <c r="M26" s="567"/>
      <c r="N26" s="737"/>
      <c r="O26" s="737"/>
      <c r="P26" s="737"/>
      <c r="Q26" s="553"/>
      <c r="R26" s="1535"/>
      <c r="S26" s="553"/>
      <c r="AN26" s="1641">
        <v>23</v>
      </c>
    </row>
    <row customHeight="1" ht="24">
      <c r="A27" s="2064"/>
      <c r="B27" s="2063" t="s">
        <v>690</v>
      </c>
      <c r="C27" s="2063" t="s">
        <v>691</v>
      </c>
      <c r="D27" s="2062" t="s">
        <v>642</v>
      </c>
      <c r="E27" s="2066" t="s">
        <v>653</v>
      </c>
      <c r="F27" s="2066" t="s">
        <v>653</v>
      </c>
      <c r="H27" s="2031"/>
      <c r="I27" s="1674">
        <v>8</v>
      </c>
      <c r="J27" s="2032" t="s">
        <v>691</v>
      </c>
      <c r="K27" s="2028" t="s">
        <v>611</v>
      </c>
      <c r="L27" s="737"/>
      <c r="M27" s="567"/>
      <c r="N27" s="737"/>
      <c r="O27" s="737"/>
      <c r="P27" s="737"/>
      <c r="Q27" s="553"/>
      <c r="R27" s="1535"/>
      <c r="S27" s="553"/>
      <c r="AN27" s="1641">
        <v>23</v>
      </c>
    </row>
    <row customHeight="1" ht="35.699999999999996">
      <c r="A28" s="2064"/>
      <c r="B28" s="2063" t="s">
        <v>692</v>
      </c>
      <c r="C28" s="2063" t="s">
        <v>693</v>
      </c>
      <c r="D28" s="2062" t="s">
        <v>642</v>
      </c>
      <c r="E28" s="2066" t="s">
        <v>653</v>
      </c>
      <c r="F28" s="2066" t="s">
        <v>653</v>
      </c>
      <c r="H28" s="2031"/>
      <c r="I28" s="1685">
        <v>9</v>
      </c>
      <c r="J28" s="2032" t="s">
        <v>694</v>
      </c>
      <c r="K28" s="2028" t="s">
        <v>582</v>
      </c>
      <c r="L28" s="737"/>
      <c r="M28" s="567"/>
      <c r="N28" s="737"/>
      <c r="O28" s="737"/>
      <c r="P28" s="737"/>
      <c r="Q28" s="553"/>
      <c r="R28" s="1535"/>
      <c r="S28" s="553"/>
      <c r="AN28" s="1641">
        <v>34</v>
      </c>
    </row>
    <row customHeight="1" ht="35.699999999999996">
      <c r="A29" s="2064"/>
      <c r="B29" s="2063" t="s">
        <v>695</v>
      </c>
      <c r="C29" s="2063" t="s">
        <v>696</v>
      </c>
      <c r="D29" s="2062" t="s">
        <v>642</v>
      </c>
      <c r="E29" s="2066" t="s">
        <v>653</v>
      </c>
      <c r="F29" s="2066" t="s">
        <v>653</v>
      </c>
      <c r="H29" s="2031"/>
      <c r="I29" s="1685">
        <v>10</v>
      </c>
      <c r="J29" s="2032" t="s">
        <v>697</v>
      </c>
      <c r="K29" s="2028" t="s">
        <v>582</v>
      </c>
      <c r="L29" s="737"/>
      <c r="M29" s="567"/>
      <c r="N29" s="737"/>
      <c r="O29" s="737"/>
      <c r="P29" s="737"/>
      <c r="Q29" s="553"/>
      <c r="R29" s="1535"/>
      <c r="S29" s="553"/>
      <c r="AN29" s="1641">
        <v>34</v>
      </c>
    </row>
    <row customHeight="1" ht="24">
      <c r="A30" s="2064"/>
      <c r="B30" s="2063" t="s">
        <v>698</v>
      </c>
      <c r="C30" s="2063" t="s">
        <v>699</v>
      </c>
      <c r="D30" s="2062" t="s">
        <v>642</v>
      </c>
      <c r="E30" s="2066" t="s">
        <v>653</v>
      </c>
      <c r="F30" s="2066" t="s">
        <v>653</v>
      </c>
      <c r="H30" s="2031"/>
      <c r="I30" s="1685">
        <v>11</v>
      </c>
      <c r="J30" s="2032" t="s">
        <v>699</v>
      </c>
      <c r="K30" s="2028" t="s">
        <v>612</v>
      </c>
      <c r="L30" s="2079"/>
      <c r="M30" s="1631"/>
      <c r="N30" s="2079"/>
      <c r="O30" s="2079"/>
      <c r="P30" s="2079"/>
      <c r="Q30" s="553"/>
      <c r="R30" s="1535"/>
      <c r="S30" s="553"/>
      <c r="AN30" s="1641">
        <v>23</v>
      </c>
    </row>
    <row customHeight="1" ht="24">
      <c r="A31" s="2064"/>
      <c r="B31" s="2063" t="s">
        <v>700</v>
      </c>
      <c r="C31" s="2063" t="s">
        <v>701</v>
      </c>
      <c r="D31" s="2062" t="s">
        <v>642</v>
      </c>
      <c r="E31" s="2066" t="s">
        <v>653</v>
      </c>
      <c r="F31" s="2066" t="s">
        <v>653</v>
      </c>
      <c r="H31" s="2031"/>
      <c r="I31" s="1685">
        <v>12</v>
      </c>
      <c r="J31" s="2032" t="s">
        <v>701</v>
      </c>
      <c r="K31" s="2028" t="s">
        <v>612</v>
      </c>
      <c r="L31" s="2079"/>
      <c r="M31" s="1631"/>
      <c r="N31" s="2079"/>
      <c r="O31" s="2079"/>
      <c r="P31" s="2079"/>
      <c r="Q31" s="553"/>
      <c r="R31" s="1535"/>
      <c r="S31" s="553"/>
      <c r="AN31" s="1641">
        <v>23</v>
      </c>
    </row>
    <row customHeight="1" ht="48.29999999999999">
      <c r="A32" s="2064"/>
      <c r="B32" s="2063" t="s">
        <v>702</v>
      </c>
      <c r="C32" s="2063" t="s">
        <v>703</v>
      </c>
      <c r="D32" s="2062" t="s">
        <v>642</v>
      </c>
      <c r="E32" s="2066" t="s">
        <v>653</v>
      </c>
      <c r="F32" s="2066" t="s">
        <v>653</v>
      </c>
      <c r="H32" s="2031"/>
      <c r="I32" s="1685">
        <v>13</v>
      </c>
      <c r="J32" s="2032" t="s">
        <v>704</v>
      </c>
      <c r="K32" s="2028" t="s">
        <v>622</v>
      </c>
      <c r="L32" s="737"/>
      <c r="M32" s="567"/>
      <c r="N32" s="737"/>
      <c r="O32" s="737"/>
      <c r="P32" s="737"/>
      <c r="Q32" s="553"/>
      <c r="R32" s="1535" t="s">
        <v>664</v>
      </c>
      <c r="S32" s="553"/>
      <c r="AN32" s="1641">
        <v>46</v>
      </c>
    </row>
    <row s="1376" customFormat="1" customHeight="1" ht="48.29999999999999">
      <c r="A33" s="2064"/>
      <c r="B33" s="2063" t="s">
        <v>705</v>
      </c>
      <c r="C33" s="2063" t="s">
        <v>706</v>
      </c>
      <c r="D33" s="2062" t="s">
        <v>642</v>
      </c>
      <c r="E33" s="2066" t="s">
        <v>653</v>
      </c>
      <c r="F33" s="2066" t="s">
        <v>653</v>
      </c>
      <c r="G33" s="1646"/>
      <c r="H33" s="2031"/>
      <c r="I33" s="1685">
        <v>14</v>
      </c>
      <c r="J33" s="2044" t="s">
        <v>707</v>
      </c>
      <c r="K33" s="2033" t="s">
        <v>708</v>
      </c>
      <c r="L33" s="737"/>
      <c r="M33" s="567"/>
      <c r="N33" s="737"/>
      <c r="O33" s="737"/>
      <c r="P33" s="737"/>
      <c r="Q33" s="553"/>
      <c r="R33" s="1535" t="s">
        <v>664</v>
      </c>
      <c r="S33" s="553"/>
      <c r="T33" s="1646"/>
      <c r="U33" s="1646"/>
      <c r="Z33" s="1646"/>
      <c r="AC33" s="554"/>
      <c r="AI33" s="1642"/>
      <c r="AJ33" s="1642"/>
      <c r="AK33" s="1642"/>
      <c r="AL33" s="1642"/>
      <c r="AM33" s="1642"/>
      <c r="AN33" s="1376">
        <v>46</v>
      </c>
    </row>
    <row customHeight="1" ht="108">
      <c r="A34" s="2064"/>
      <c r="B34" s="2063" t="s">
        <v>709</v>
      </c>
      <c r="C34" s="2063" t="s">
        <v>710</v>
      </c>
      <c r="D34" s="2062" t="s">
        <v>652</v>
      </c>
      <c r="E34" s="2066" t="s">
        <v>653</v>
      </c>
      <c r="F34" s="2066" t="s">
        <v>653</v>
      </c>
      <c r="G34" s="1646" t="s">
        <v>610</v>
      </c>
      <c r="H34" s="2031"/>
      <c r="I34" s="2042">
        <v>15</v>
      </c>
      <c r="J34" s="2043" t="s">
        <v>711</v>
      </c>
      <c r="K34" s="2028" t="s">
        <v>328</v>
      </c>
      <c r="L34" s="395"/>
      <c r="M34" s="1174"/>
      <c r="N34" s="395"/>
      <c r="O34" s="395"/>
      <c r="P34" s="395"/>
      <c r="Q34" s="553"/>
      <c r="R34" s="1535" t="s">
        <v>656</v>
      </c>
      <c r="S34" s="553"/>
      <c r="AN34" s="1641">
        <v>103</v>
      </c>
    </row>
    <row s="1651" customFormat="1" customHeight="1" ht="11.549999999999999">
      <c r="A35" s="997"/>
      <c r="B35" s="997"/>
      <c r="C35" s="997"/>
      <c r="D35" s="997"/>
      <c r="E35" s="997"/>
      <c r="F35" s="1646"/>
      <c r="G35" s="1646"/>
      <c r="H35" s="361"/>
      <c r="N35" s="1651"/>
      <c r="O35" s="1651"/>
      <c r="P35" s="1651"/>
      <c r="Q35" s="1376"/>
      <c r="S35" s="1376"/>
      <c r="T35" s="1646"/>
      <c r="U35" s="1646"/>
      <c r="V35" s="1376"/>
      <c r="W35" s="1376"/>
      <c r="X35" s="1376"/>
      <c r="Y35" s="1376"/>
      <c r="Z35" s="1646"/>
      <c r="AA35" s="1376"/>
      <c r="AB35" s="1376"/>
      <c r="AC35" s="554"/>
      <c r="AD35" s="1376"/>
      <c r="AE35" s="1376"/>
      <c r="AF35" s="1376"/>
      <c r="AG35" s="1376"/>
      <c r="AH35" s="1376"/>
      <c r="AI35" s="1642"/>
      <c r="AJ35" s="632"/>
      <c r="AK35" s="632"/>
      <c r="AL35" s="632"/>
      <c r="AM35" s="632"/>
      <c r="AN35" s="1651">
        <v>11</v>
      </c>
    </row>
    <row s="1651" customFormat="1" customHeight="1" ht="11.549999999999999">
      <c r="A36" s="997"/>
      <c r="B36" s="997"/>
      <c r="C36" s="997"/>
      <c r="D36" s="997"/>
      <c r="E36" s="997"/>
      <c r="F36" s="1646"/>
      <c r="G36" s="1646"/>
      <c r="H36" s="361"/>
      <c r="N36" s="1651"/>
      <c r="O36" s="1651"/>
      <c r="P36" s="1651"/>
      <c r="Q36" s="1376"/>
      <c r="S36" s="1376"/>
      <c r="T36" s="1646"/>
      <c r="U36" s="1646"/>
      <c r="V36" s="1376"/>
      <c r="W36" s="1376"/>
      <c r="X36" s="1376"/>
      <c r="Y36" s="1376"/>
      <c r="Z36" s="1646"/>
      <c r="AA36" s="1376"/>
      <c r="AB36" s="1376"/>
      <c r="AC36" s="554"/>
      <c r="AD36" s="1376"/>
      <c r="AE36" s="1376"/>
      <c r="AF36" s="1376"/>
      <c r="AG36" s="1376"/>
      <c r="AH36" s="1376"/>
      <c r="AI36" s="1642"/>
      <c r="AJ36" s="632"/>
      <c r="AK36" s="632"/>
      <c r="AL36" s="632"/>
      <c r="AM36" s="632"/>
      <c r="AN36" s="1651">
        <v>11</v>
      </c>
    </row>
    <row s="1651" customFormat="1" customHeight="1" ht="11.549999999999999">
      <c r="A37" s="997"/>
      <c r="B37" s="997"/>
      <c r="C37" s="997"/>
      <c r="D37" s="997"/>
      <c r="E37" s="997"/>
      <c r="F37" s="1646"/>
      <c r="G37" s="1646"/>
      <c r="H37" s="361"/>
      <c r="L37" s="632"/>
      <c r="M37" s="632"/>
      <c r="N37" s="632"/>
      <c r="O37" s="632"/>
      <c r="P37" s="632"/>
      <c r="Q37" s="1376"/>
      <c r="S37" s="1376"/>
      <c r="T37" s="1646"/>
      <c r="U37" s="1646"/>
      <c r="V37" s="1376"/>
      <c r="W37" s="1376"/>
      <c r="X37" s="1376"/>
      <c r="Y37" s="1376"/>
      <c r="Z37" s="1646"/>
      <c r="AA37" s="1376"/>
      <c r="AB37" s="1376"/>
      <c r="AC37" s="554"/>
      <c r="AD37" s="1376"/>
      <c r="AE37" s="1376"/>
      <c r="AF37" s="1376"/>
      <c r="AG37" s="1376"/>
      <c r="AH37" s="1376"/>
      <c r="AI37" s="1642"/>
      <c r="AJ37" s="632"/>
      <c r="AK37" s="632"/>
      <c r="AL37" s="632"/>
      <c r="AM37" s="632"/>
      <c r="AN37" s="1651">
        <v>11</v>
      </c>
    </row>
    <row s="1651" customFormat="1" customHeight="1" ht="11.549999999999999">
      <c r="A38" s="997"/>
      <c r="B38" s="997"/>
      <c r="C38" s="997"/>
      <c r="D38" s="997"/>
      <c r="E38" s="997"/>
      <c r="F38" s="1646"/>
      <c r="G38" s="1646"/>
      <c r="H38" s="361"/>
      <c r="N38" s="1651"/>
      <c r="O38" s="1651"/>
      <c r="P38" s="1651"/>
      <c r="Q38" s="1376"/>
      <c r="S38" s="1376"/>
      <c r="T38" s="1646"/>
      <c r="U38" s="1646"/>
      <c r="V38" s="1376"/>
      <c r="W38" s="1376"/>
      <c r="X38" s="1376"/>
      <c r="Y38" s="1376"/>
      <c r="Z38" s="1646"/>
      <c r="AA38" s="1376"/>
      <c r="AB38" s="1376"/>
      <c r="AC38" s="554"/>
      <c r="AD38" s="1376"/>
      <c r="AE38" s="1376"/>
      <c r="AF38" s="1376"/>
      <c r="AG38" s="1376"/>
      <c r="AH38" s="1376"/>
      <c r="AI38" s="1642"/>
      <c r="AJ38" s="632"/>
      <c r="AK38" s="632"/>
      <c r="AL38" s="632"/>
      <c r="AM38" s="632"/>
      <c r="AN38" s="1651">
        <v>11</v>
      </c>
    </row>
    <row s="1651" customFormat="1" customHeight="1" ht="11.549999999999999">
      <c r="A39" s="997"/>
      <c r="B39" s="997"/>
      <c r="C39" s="997"/>
      <c r="D39" s="997"/>
      <c r="E39" s="997"/>
      <c r="F39" s="1646"/>
      <c r="G39" s="1646"/>
      <c r="H39" s="361"/>
      <c r="N39" s="1651"/>
      <c r="O39" s="1651"/>
      <c r="P39" s="1651"/>
      <c r="Q39" s="1376"/>
      <c r="S39" s="1376"/>
      <c r="T39" s="1646"/>
      <c r="U39" s="1646"/>
      <c r="V39" s="1376"/>
      <c r="W39" s="1376"/>
      <c r="X39" s="1376"/>
      <c r="Y39" s="1376"/>
      <c r="Z39" s="1646"/>
      <c r="AA39" s="1376"/>
      <c r="AB39" s="1376"/>
      <c r="AC39" s="554"/>
      <c r="AD39" s="1376"/>
      <c r="AE39" s="1376"/>
      <c r="AF39" s="1376"/>
      <c r="AG39" s="1376"/>
      <c r="AH39" s="1376"/>
      <c r="AI39" s="1642"/>
      <c r="AJ39" s="632"/>
      <c r="AK39" s="632"/>
      <c r="AL39" s="632"/>
      <c r="AM39" s="632"/>
      <c r="AN39" s="1651">
        <v>11</v>
      </c>
    </row>
    <row s="1651" customFormat="1" customHeight="1" ht="11.549999999999999">
      <c r="A40" s="997"/>
      <c r="B40" s="997"/>
      <c r="C40" s="997"/>
      <c r="D40" s="997"/>
      <c r="E40" s="997"/>
      <c r="F40" s="1646"/>
      <c r="G40" s="1646"/>
      <c r="H40" s="361"/>
      <c r="N40" s="1651"/>
      <c r="O40" s="1651"/>
      <c r="P40" s="1651"/>
      <c r="Q40" s="1376"/>
      <c r="S40" s="1376"/>
      <c r="T40" s="1646"/>
      <c r="U40" s="1646"/>
      <c r="V40" s="1376"/>
      <c r="W40" s="1376"/>
      <c r="X40" s="1376"/>
      <c r="Y40" s="1376"/>
      <c r="Z40" s="1646"/>
      <c r="AA40" s="1376"/>
      <c r="AB40" s="1376"/>
      <c r="AC40" s="554"/>
      <c r="AD40" s="1376"/>
      <c r="AE40" s="1376"/>
      <c r="AF40" s="1376"/>
      <c r="AG40" s="1376"/>
      <c r="AH40" s="1376"/>
      <c r="AI40" s="1642"/>
      <c r="AJ40" s="632"/>
      <c r="AK40" s="632"/>
      <c r="AL40" s="632"/>
      <c r="AM40" s="632"/>
      <c r="AN40" s="1651">
        <v>11</v>
      </c>
    </row>
    <row s="1651" customFormat="1" customHeight="1" ht="11.549999999999999">
      <c r="A41" s="997"/>
      <c r="B41" s="997"/>
      <c r="C41" s="997"/>
      <c r="D41" s="997"/>
      <c r="E41" s="997"/>
      <c r="F41" s="1646"/>
      <c r="G41" s="1646"/>
      <c r="H41" s="361"/>
      <c r="N41" s="1651"/>
      <c r="O41" s="1651"/>
      <c r="P41" s="1651"/>
      <c r="Q41" s="1376"/>
      <c r="S41" s="1376"/>
      <c r="T41" s="1646"/>
      <c r="U41" s="1646"/>
      <c r="V41" s="1376"/>
      <c r="W41" s="1376"/>
      <c r="X41" s="1376"/>
      <c r="Y41" s="1376"/>
      <c r="Z41" s="1646"/>
      <c r="AA41" s="1376"/>
      <c r="AB41" s="1376"/>
      <c r="AC41" s="554"/>
      <c r="AD41" s="1376"/>
      <c r="AE41" s="1376"/>
      <c r="AF41" s="1376"/>
      <c r="AG41" s="1376"/>
      <c r="AH41" s="1376"/>
      <c r="AI41" s="1642"/>
      <c r="AJ41" s="632"/>
      <c r="AK41" s="632"/>
      <c r="AL41" s="632"/>
      <c r="AM41" s="632"/>
      <c r="AN41" s="1651">
        <v>11</v>
      </c>
    </row>
    <row s="1651" customFormat="1" customHeight="1" ht="11.549999999999999">
      <c r="A42" s="997"/>
      <c r="B42" s="997"/>
      <c r="C42" s="997"/>
      <c r="D42" s="997"/>
      <c r="E42" s="997"/>
      <c r="F42" s="1646"/>
      <c r="G42" s="1646"/>
      <c r="H42" s="361"/>
      <c r="N42" s="1651"/>
      <c r="O42" s="1651"/>
      <c r="P42" s="1651"/>
      <c r="Q42" s="1376"/>
      <c r="S42" s="1376"/>
      <c r="T42" s="1646"/>
      <c r="U42" s="1646"/>
      <c r="V42" s="1376"/>
      <c r="W42" s="1376"/>
      <c r="X42" s="1376"/>
      <c r="Y42" s="1376"/>
      <c r="Z42" s="1646"/>
      <c r="AA42" s="1376"/>
      <c r="AB42" s="1376"/>
      <c r="AC42" s="554"/>
      <c r="AD42" s="1376"/>
      <c r="AE42" s="1376"/>
      <c r="AF42" s="1376"/>
      <c r="AG42" s="1376"/>
      <c r="AH42" s="1376"/>
      <c r="AI42" s="1642"/>
      <c r="AJ42" s="632"/>
      <c r="AK42" s="632"/>
      <c r="AL42" s="632"/>
      <c r="AM42" s="632"/>
      <c r="AN42" s="1651">
        <v>11</v>
      </c>
    </row>
    <row s="1651" customFormat="1" customHeight="1" ht="11.549999999999999">
      <c r="A43" s="997"/>
      <c r="B43" s="997"/>
      <c r="C43" s="997"/>
      <c r="D43" s="997"/>
      <c r="E43" s="997"/>
      <c r="F43" s="1646"/>
      <c r="G43" s="1646"/>
      <c r="H43" s="361"/>
      <c r="N43" s="1651"/>
      <c r="O43" s="1651"/>
      <c r="P43" s="1651"/>
      <c r="Q43" s="1376"/>
      <c r="S43" s="1376"/>
      <c r="T43" s="1646"/>
      <c r="U43" s="1646"/>
      <c r="V43" s="1376"/>
      <c r="W43" s="1376"/>
      <c r="X43" s="1376"/>
      <c r="Y43" s="1376"/>
      <c r="Z43" s="1646"/>
      <c r="AA43" s="1376"/>
      <c r="AB43" s="1376"/>
      <c r="AC43" s="554"/>
      <c r="AD43" s="1376"/>
      <c r="AE43" s="1376"/>
      <c r="AF43" s="1376"/>
      <c r="AG43" s="1376"/>
      <c r="AH43" s="1376"/>
      <c r="AI43" s="1642"/>
      <c r="AJ43" s="632"/>
      <c r="AK43" s="632"/>
      <c r="AL43" s="632"/>
      <c r="AM43" s="632"/>
      <c r="AN43" s="1651">
        <v>11</v>
      </c>
    </row>
    <row s="1651" customFormat="1" customHeight="1" ht="11.549999999999999">
      <c r="A44" s="997"/>
      <c r="B44" s="997"/>
      <c r="C44" s="997"/>
      <c r="D44" s="997"/>
      <c r="E44" s="997"/>
      <c r="F44" s="1646"/>
      <c r="G44" s="1646"/>
      <c r="H44" s="361"/>
      <c r="N44" s="1651"/>
      <c r="O44" s="1651"/>
      <c r="P44" s="1651"/>
      <c r="Q44" s="1376"/>
      <c r="S44" s="1376"/>
      <c r="T44" s="1646"/>
      <c r="U44" s="1646"/>
      <c r="V44" s="1376"/>
      <c r="W44" s="1376"/>
      <c r="X44" s="1376"/>
      <c r="Y44" s="1376"/>
      <c r="Z44" s="1646"/>
      <c r="AA44" s="1376"/>
      <c r="AB44" s="1376"/>
      <c r="AC44" s="554"/>
      <c r="AD44" s="1376"/>
      <c r="AE44" s="1376"/>
      <c r="AF44" s="1376"/>
      <c r="AG44" s="1376"/>
      <c r="AH44" s="1376"/>
      <c r="AI44" s="1642"/>
      <c r="AJ44" s="632"/>
      <c r="AK44" s="632"/>
      <c r="AL44" s="632"/>
      <c r="AM44" s="632"/>
      <c r="AN44" s="1651">
        <v>11</v>
      </c>
    </row>
    <row s="1651" customFormat="1" customHeight="1" ht="11.549999999999999">
      <c r="A45" s="997"/>
      <c r="B45" s="997"/>
      <c r="C45" s="997"/>
      <c r="D45" s="997"/>
      <c r="E45" s="997"/>
      <c r="F45" s="1646"/>
      <c r="G45" s="1646"/>
      <c r="H45" s="361"/>
      <c r="N45" s="1651"/>
      <c r="O45" s="1651"/>
      <c r="P45" s="1651"/>
      <c r="Q45" s="1376"/>
      <c r="S45" s="1376"/>
      <c r="T45" s="1646"/>
      <c r="U45" s="1646"/>
      <c r="V45" s="1376"/>
      <c r="W45" s="1376"/>
      <c r="X45" s="1376"/>
      <c r="Y45" s="1376"/>
      <c r="Z45" s="1646"/>
      <c r="AA45" s="1376"/>
      <c r="AB45" s="1376"/>
      <c r="AC45" s="554"/>
      <c r="AD45" s="1376"/>
      <c r="AE45" s="1376"/>
      <c r="AF45" s="1376"/>
      <c r="AG45" s="1376"/>
      <c r="AH45" s="1376"/>
      <c r="AI45" s="1642"/>
      <c r="AJ45" s="632"/>
      <c r="AK45" s="632"/>
      <c r="AL45" s="632"/>
      <c r="AM45" s="632"/>
      <c r="AN45" s="1651">
        <v>11</v>
      </c>
    </row>
    <row s="1651" customFormat="1" customHeight="1" ht="11.549999999999999">
      <c r="A46" s="997"/>
      <c r="B46" s="997"/>
      <c r="C46" s="997"/>
      <c r="D46" s="997"/>
      <c r="E46" s="997"/>
      <c r="F46" s="1646"/>
      <c r="G46" s="1646"/>
      <c r="H46" s="361"/>
      <c r="N46" s="1651"/>
      <c r="O46" s="1651"/>
      <c r="P46" s="1651"/>
      <c r="Q46" s="1376"/>
      <c r="S46" s="1376"/>
      <c r="T46" s="1646"/>
      <c r="U46" s="1646"/>
      <c r="V46" s="1376"/>
      <c r="W46" s="1376"/>
      <c r="X46" s="1376"/>
      <c r="Y46" s="1376"/>
      <c r="Z46" s="1646"/>
      <c r="AA46" s="1376"/>
      <c r="AB46" s="1376"/>
      <c r="AC46" s="554"/>
      <c r="AD46" s="1376"/>
      <c r="AE46" s="1376"/>
      <c r="AF46" s="1376"/>
      <c r="AG46" s="1376"/>
      <c r="AH46" s="1376"/>
      <c r="AI46" s="1642"/>
      <c r="AJ46" s="632"/>
      <c r="AK46" s="632"/>
      <c r="AL46" s="632"/>
      <c r="AM46" s="632"/>
      <c r="AN46" s="1651">
        <v>11</v>
      </c>
    </row>
    <row s="1651" customFormat="1" customHeight="1" ht="11.549999999999999">
      <c r="A47" s="997"/>
      <c r="B47" s="997"/>
      <c r="C47" s="997"/>
      <c r="D47" s="997"/>
      <c r="E47" s="997"/>
      <c r="F47" s="1646"/>
      <c r="G47" s="1646"/>
      <c r="H47" s="361"/>
      <c r="N47" s="1651"/>
      <c r="O47" s="1651"/>
      <c r="P47" s="1651"/>
      <c r="Q47" s="1376"/>
      <c r="S47" s="1376"/>
      <c r="T47" s="1646"/>
      <c r="U47" s="1646"/>
      <c r="V47" s="1376"/>
      <c r="W47" s="1376"/>
      <c r="X47" s="1376"/>
      <c r="Y47" s="1376"/>
      <c r="Z47" s="1646"/>
      <c r="AA47" s="1376"/>
      <c r="AB47" s="1376"/>
      <c r="AC47" s="554"/>
      <c r="AD47" s="1376"/>
      <c r="AE47" s="1376"/>
      <c r="AF47" s="1376"/>
      <c r="AG47" s="1376"/>
      <c r="AH47" s="1376"/>
      <c r="AI47" s="1642"/>
      <c r="AJ47" s="632"/>
      <c r="AK47" s="632"/>
      <c r="AL47" s="632"/>
      <c r="AM47" s="632"/>
      <c r="AN47" s="1651">
        <v>11</v>
      </c>
    </row>
    <row s="1651" customFormat="1" customHeight="1" ht="11.549999999999999">
      <c r="A48" s="997"/>
      <c r="B48" s="997"/>
      <c r="C48" s="997"/>
      <c r="D48" s="997"/>
      <c r="E48" s="997"/>
      <c r="F48" s="1646"/>
      <c r="G48" s="1646"/>
      <c r="H48" s="361"/>
      <c r="N48" s="1651"/>
      <c r="O48" s="1651"/>
      <c r="P48" s="1651"/>
      <c r="Q48" s="1376"/>
      <c r="S48" s="1376"/>
      <c r="T48" s="1646"/>
      <c r="U48" s="1646"/>
      <c r="V48" s="1376"/>
      <c r="W48" s="1376"/>
      <c r="X48" s="1376"/>
      <c r="Y48" s="1376"/>
      <c r="Z48" s="1646"/>
      <c r="AA48" s="1376"/>
      <c r="AB48" s="1376"/>
      <c r="AC48" s="554"/>
      <c r="AD48" s="1376"/>
      <c r="AE48" s="1376"/>
      <c r="AF48" s="1376"/>
      <c r="AG48" s="1376"/>
      <c r="AH48" s="1376"/>
      <c r="AI48" s="1642"/>
      <c r="AJ48" s="632"/>
      <c r="AK48" s="632"/>
      <c r="AL48" s="632"/>
      <c r="AM48" s="632"/>
      <c r="AN48" s="1651">
        <v>11</v>
      </c>
    </row>
    <row s="1651" customFormat="1" customHeight="1" ht="11.549999999999999">
      <c r="A49" s="997"/>
      <c r="B49" s="997"/>
      <c r="C49" s="997"/>
      <c r="D49" s="997"/>
      <c r="E49" s="997"/>
      <c r="F49" s="1646"/>
      <c r="G49" s="1646"/>
      <c r="H49" s="361"/>
      <c r="N49" s="1651"/>
      <c r="O49" s="1651"/>
      <c r="P49" s="1651"/>
      <c r="Q49" s="1376"/>
      <c r="S49" s="1376"/>
      <c r="T49" s="1646"/>
      <c r="U49" s="1646"/>
      <c r="V49" s="1376"/>
      <c r="W49" s="1376"/>
      <c r="X49" s="1376"/>
      <c r="Y49" s="1376"/>
      <c r="Z49" s="1646"/>
      <c r="AA49" s="1376"/>
      <c r="AB49" s="1376"/>
      <c r="AC49" s="554"/>
      <c r="AD49" s="1376"/>
      <c r="AE49" s="1376"/>
      <c r="AF49" s="1376"/>
      <c r="AG49" s="1376"/>
      <c r="AH49" s="1376"/>
      <c r="AI49" s="1642"/>
      <c r="AJ49" s="632"/>
      <c r="AK49" s="632"/>
      <c r="AL49" s="632"/>
      <c r="AM49" s="632"/>
      <c r="AN49" s="1651">
        <v>11</v>
      </c>
    </row>
    <row s="1651" customFormat="1" customHeight="1" ht="11.549999999999999">
      <c r="A50" s="997"/>
      <c r="B50" s="997"/>
      <c r="C50" s="997"/>
      <c r="D50" s="997"/>
      <c r="E50" s="997"/>
      <c r="F50" s="1646"/>
      <c r="G50" s="1646"/>
      <c r="H50" s="361"/>
      <c r="N50" s="1651"/>
      <c r="O50" s="1651"/>
      <c r="P50" s="1651"/>
      <c r="Q50" s="1376"/>
      <c r="S50" s="1376"/>
      <c r="T50" s="1646"/>
      <c r="U50" s="1646"/>
      <c r="V50" s="1376"/>
      <c r="W50" s="1376"/>
      <c r="X50" s="1376"/>
      <c r="Y50" s="1376"/>
      <c r="Z50" s="1646"/>
      <c r="AA50" s="1376"/>
      <c r="AB50" s="1376"/>
      <c r="AC50" s="554"/>
      <c r="AD50" s="1376"/>
      <c r="AE50" s="1376"/>
      <c r="AF50" s="1376"/>
      <c r="AG50" s="1376"/>
      <c r="AH50" s="1376"/>
      <c r="AI50" s="1642"/>
      <c r="AJ50" s="632"/>
      <c r="AK50" s="632"/>
      <c r="AL50" s="632"/>
      <c r="AM50" s="632"/>
      <c r="AN50" s="1651">
        <v>11</v>
      </c>
    </row>
    <row s="1651" customFormat="1" customHeight="1" ht="11.549999999999999">
      <c r="A51" s="997"/>
      <c r="B51" s="997"/>
      <c r="C51" s="997"/>
      <c r="D51" s="997"/>
      <c r="E51" s="997"/>
      <c r="F51" s="1646"/>
      <c r="G51" s="1646"/>
      <c r="H51" s="361"/>
      <c r="N51" s="1651"/>
      <c r="O51" s="1651"/>
      <c r="P51" s="1651"/>
      <c r="Q51" s="1376"/>
      <c r="S51" s="1376"/>
      <c r="T51" s="1646"/>
      <c r="U51" s="1646"/>
      <c r="V51" s="1376"/>
      <c r="W51" s="1376"/>
      <c r="X51" s="1376"/>
      <c r="Y51" s="1376"/>
      <c r="Z51" s="1646"/>
      <c r="AA51" s="1376"/>
      <c r="AB51" s="1376"/>
      <c r="AC51" s="554"/>
      <c r="AD51" s="1376"/>
      <c r="AE51" s="1376"/>
      <c r="AF51" s="1376"/>
      <c r="AG51" s="1376"/>
      <c r="AH51" s="1376"/>
      <c r="AI51" s="1642"/>
      <c r="AJ51" s="632"/>
      <c r="AK51" s="632"/>
      <c r="AL51" s="632"/>
      <c r="AM51" s="632"/>
      <c r="AN51" s="1651">
        <v>11</v>
      </c>
    </row>
    <row s="1651" customFormat="1" customHeight="1" ht="11.549999999999999">
      <c r="A52" s="997"/>
      <c r="B52" s="997"/>
      <c r="C52" s="997"/>
      <c r="D52" s="997"/>
      <c r="E52" s="997"/>
      <c r="F52" s="1646"/>
      <c r="G52" s="1646"/>
      <c r="H52" s="361"/>
      <c r="N52" s="1651"/>
      <c r="O52" s="1651"/>
      <c r="P52" s="1651"/>
      <c r="Q52" s="1376"/>
      <c r="S52" s="1376"/>
      <c r="T52" s="1646"/>
      <c r="U52" s="1646"/>
      <c r="V52" s="1376"/>
      <c r="W52" s="1376"/>
      <c r="X52" s="1376"/>
      <c r="Y52" s="1376"/>
      <c r="Z52" s="1646"/>
      <c r="AA52" s="1376"/>
      <c r="AB52" s="1376"/>
      <c r="AC52" s="554"/>
      <c r="AD52" s="1376"/>
      <c r="AE52" s="1376"/>
      <c r="AF52" s="1376"/>
      <c r="AG52" s="1376"/>
      <c r="AH52" s="1376"/>
      <c r="AI52" s="1642"/>
      <c r="AJ52" s="632"/>
      <c r="AK52" s="632"/>
      <c r="AL52" s="632"/>
      <c r="AM52" s="632"/>
      <c r="AN52" s="1651">
        <v>11</v>
      </c>
    </row>
    <row s="1651" customFormat="1" customHeight="1" ht="11.549999999999999">
      <c r="A53" s="997"/>
      <c r="B53" s="997"/>
      <c r="C53" s="997"/>
      <c r="D53" s="997"/>
      <c r="E53" s="997"/>
      <c r="F53" s="1646"/>
      <c r="G53" s="1646"/>
      <c r="H53" s="361"/>
      <c r="N53" s="1651"/>
      <c r="O53" s="1651"/>
      <c r="P53" s="1651"/>
      <c r="Q53" s="1376"/>
      <c r="S53" s="1376"/>
      <c r="T53" s="1646"/>
      <c r="U53" s="1646"/>
      <c r="V53" s="1376"/>
      <c r="W53" s="1376"/>
      <c r="X53" s="1376"/>
      <c r="Y53" s="1376"/>
      <c r="Z53" s="1646"/>
      <c r="AA53" s="1376"/>
      <c r="AB53" s="1376"/>
      <c r="AC53" s="554"/>
      <c r="AD53" s="1376"/>
      <c r="AE53" s="1376"/>
      <c r="AF53" s="1376"/>
      <c r="AG53" s="1376"/>
      <c r="AH53" s="1376"/>
      <c r="AI53" s="1642"/>
      <c r="AJ53" s="632"/>
      <c r="AK53" s="632"/>
      <c r="AL53" s="632"/>
      <c r="AM53" s="632"/>
      <c r="AN53" s="1651">
        <v>11</v>
      </c>
    </row>
    <row s="1651" customFormat="1" customHeight="1" ht="11.549999999999999">
      <c r="A54" s="997"/>
      <c r="B54" s="997"/>
      <c r="C54" s="997"/>
      <c r="D54" s="997"/>
      <c r="E54" s="997"/>
      <c r="F54" s="1646"/>
      <c r="G54" s="1646"/>
      <c r="H54" s="361"/>
      <c r="N54" s="1651"/>
      <c r="O54" s="1651"/>
      <c r="P54" s="1651"/>
      <c r="Q54" s="1376"/>
      <c r="S54" s="1376"/>
      <c r="T54" s="1646"/>
      <c r="U54" s="1646"/>
      <c r="V54" s="1376"/>
      <c r="W54" s="1376"/>
      <c r="X54" s="1376"/>
      <c r="Y54" s="1376"/>
      <c r="Z54" s="1646"/>
      <c r="AA54" s="1376"/>
      <c r="AB54" s="1376"/>
      <c r="AC54" s="554"/>
      <c r="AD54" s="1376"/>
      <c r="AE54" s="1376"/>
      <c r="AF54" s="1376"/>
      <c r="AG54" s="1376"/>
      <c r="AH54" s="1376"/>
      <c r="AI54" s="1642"/>
      <c r="AJ54" s="632"/>
      <c r="AK54" s="632"/>
      <c r="AL54" s="632"/>
      <c r="AM54" s="632"/>
      <c r="AN54" s="1651">
        <v>11</v>
      </c>
    </row>
    <row s="1651" customFormat="1" customHeight="1" ht="11.549999999999999">
      <c r="A55" s="997"/>
      <c r="B55" s="997"/>
      <c r="C55" s="997"/>
      <c r="D55" s="997"/>
      <c r="E55" s="997"/>
      <c r="F55" s="1646"/>
      <c r="G55" s="1646"/>
      <c r="H55" s="361"/>
      <c r="N55" s="1651"/>
      <c r="O55" s="1651"/>
      <c r="P55" s="1651"/>
      <c r="Q55" s="1376"/>
      <c r="S55" s="1376"/>
      <c r="T55" s="1646"/>
      <c r="U55" s="1646"/>
      <c r="V55" s="1376"/>
      <c r="W55" s="1376"/>
      <c r="X55" s="1376"/>
      <c r="Y55" s="1376"/>
      <c r="Z55" s="1646"/>
      <c r="AA55" s="1376"/>
      <c r="AB55" s="1376"/>
      <c r="AC55" s="554"/>
      <c r="AD55" s="1376"/>
      <c r="AE55" s="1376"/>
      <c r="AF55" s="1376"/>
      <c r="AG55" s="1376"/>
      <c r="AH55" s="1376"/>
      <c r="AI55" s="1642"/>
      <c r="AJ55" s="632"/>
      <c r="AK55" s="632"/>
      <c r="AL55" s="632"/>
      <c r="AM55" s="632"/>
      <c r="AN55" s="1651">
        <v>11</v>
      </c>
    </row>
    <row s="1651" customFormat="1" customHeight="1" ht="11.549999999999999">
      <c r="A56" s="997"/>
      <c r="B56" s="997"/>
      <c r="C56" s="997"/>
      <c r="D56" s="997"/>
      <c r="E56" s="997"/>
      <c r="F56" s="1646"/>
      <c r="G56" s="1646"/>
      <c r="H56" s="361"/>
      <c r="N56" s="1651"/>
      <c r="O56" s="1651"/>
      <c r="P56" s="1651"/>
      <c r="Q56" s="1376"/>
      <c r="S56" s="1376"/>
      <c r="T56" s="1646"/>
      <c r="U56" s="1646"/>
      <c r="V56" s="1376"/>
      <c r="W56" s="1376"/>
      <c r="X56" s="1376"/>
      <c r="Y56" s="1376"/>
      <c r="Z56" s="1646"/>
      <c r="AA56" s="1376"/>
      <c r="AB56" s="1376"/>
      <c r="AC56" s="554"/>
      <c r="AD56" s="1376"/>
      <c r="AE56" s="1376"/>
      <c r="AF56" s="1376"/>
      <c r="AG56" s="1376"/>
      <c r="AH56" s="1376"/>
      <c r="AI56" s="1642"/>
      <c r="AJ56" s="632"/>
      <c r="AK56" s="632"/>
      <c r="AL56" s="632"/>
      <c r="AM56" s="632"/>
      <c r="AN56" s="1651">
        <v>11</v>
      </c>
    </row>
    <row s="1651" customFormat="1" customHeight="1" ht="11.549999999999999">
      <c r="A57" s="997"/>
      <c r="B57" s="997"/>
      <c r="C57" s="997"/>
      <c r="D57" s="997"/>
      <c r="E57" s="997"/>
      <c r="F57" s="1646"/>
      <c r="G57" s="1646"/>
      <c r="H57" s="361"/>
      <c r="N57" s="1651"/>
      <c r="O57" s="1651"/>
      <c r="P57" s="1651"/>
      <c r="Q57" s="1376"/>
      <c r="S57" s="1376"/>
      <c r="T57" s="1646"/>
      <c r="U57" s="1646"/>
      <c r="V57" s="1376"/>
      <c r="W57" s="1376"/>
      <c r="X57" s="1376"/>
      <c r="Y57" s="1376"/>
      <c r="Z57" s="1646"/>
      <c r="AA57" s="1376"/>
      <c r="AB57" s="1376"/>
      <c r="AC57" s="554"/>
      <c r="AD57" s="1376"/>
      <c r="AE57" s="1376"/>
      <c r="AF57" s="1376"/>
      <c r="AG57" s="1376"/>
      <c r="AH57" s="1376"/>
      <c r="AI57" s="1642"/>
      <c r="AJ57" s="632"/>
      <c r="AK57" s="632"/>
      <c r="AL57" s="632"/>
      <c r="AM57" s="632"/>
      <c r="AN57" s="1651">
        <v>11</v>
      </c>
    </row>
    <row s="1651" customFormat="1" customHeight="1" ht="11.549999999999999">
      <c r="A58" s="997"/>
      <c r="B58" s="997"/>
      <c r="C58" s="997"/>
      <c r="D58" s="997"/>
      <c r="E58" s="997"/>
      <c r="F58" s="1646"/>
      <c r="G58" s="1646"/>
      <c r="H58" s="361"/>
      <c r="N58" s="1651"/>
      <c r="O58" s="1651"/>
      <c r="P58" s="1651"/>
      <c r="Q58" s="1376"/>
      <c r="S58" s="1376"/>
      <c r="T58" s="1646"/>
      <c r="U58" s="1646"/>
      <c r="V58" s="1376"/>
      <c r="W58" s="1376"/>
      <c r="X58" s="1376"/>
      <c r="Y58" s="1376"/>
      <c r="Z58" s="1646"/>
      <c r="AA58" s="1376"/>
      <c r="AB58" s="1376"/>
      <c r="AC58" s="554"/>
      <c r="AD58" s="1376"/>
      <c r="AE58" s="1376"/>
      <c r="AF58" s="1376"/>
      <c r="AG58" s="1376"/>
      <c r="AH58" s="1376"/>
      <c r="AI58" s="1642"/>
      <c r="AJ58" s="632"/>
      <c r="AK58" s="632"/>
      <c r="AL58" s="632"/>
      <c r="AM58" s="632"/>
      <c r="AN58" s="1651">
        <v>11</v>
      </c>
    </row>
    <row s="1651" customFormat="1" customHeight="1" ht="11.549999999999999">
      <c r="A59" s="997"/>
      <c r="B59" s="997"/>
      <c r="C59" s="997"/>
      <c r="D59" s="997"/>
      <c r="E59" s="997"/>
      <c r="F59" s="1646"/>
      <c r="G59" s="1646"/>
      <c r="H59" s="361"/>
      <c r="N59" s="1651"/>
      <c r="O59" s="1651"/>
      <c r="P59" s="1651"/>
      <c r="Q59" s="1376"/>
      <c r="S59" s="1376"/>
      <c r="T59" s="1646"/>
      <c r="U59" s="1646"/>
      <c r="V59" s="1376"/>
      <c r="W59" s="1376"/>
      <c r="X59" s="1376"/>
      <c r="Y59" s="1376"/>
      <c r="Z59" s="1646"/>
      <c r="AA59" s="1376"/>
      <c r="AB59" s="1376"/>
      <c r="AC59" s="554"/>
      <c r="AD59" s="1376"/>
      <c r="AE59" s="1376"/>
      <c r="AF59" s="1376"/>
      <c r="AG59" s="1376"/>
      <c r="AH59" s="1376"/>
      <c r="AI59" s="1642"/>
      <c r="AJ59" s="632"/>
      <c r="AK59" s="632"/>
      <c r="AL59" s="632"/>
      <c r="AM59" s="632"/>
      <c r="AN59" s="1651">
        <v>11</v>
      </c>
    </row>
    <row s="1651" customFormat="1" customHeight="1" ht="11.549999999999999">
      <c r="A60" s="997"/>
      <c r="B60" s="997"/>
      <c r="C60" s="997"/>
      <c r="D60" s="997"/>
      <c r="E60" s="997"/>
      <c r="F60" s="1646"/>
      <c r="G60" s="1646"/>
      <c r="H60" s="361"/>
      <c r="N60" s="1651"/>
      <c r="O60" s="1651"/>
      <c r="P60" s="1651"/>
      <c r="Q60" s="1376"/>
      <c r="S60" s="1376"/>
      <c r="T60" s="1646"/>
      <c r="U60" s="1646"/>
      <c r="V60" s="1376"/>
      <c r="W60" s="1376"/>
      <c r="X60" s="1376"/>
      <c r="Y60" s="1376"/>
      <c r="Z60" s="1646"/>
      <c r="AA60" s="1376"/>
      <c r="AB60" s="1376"/>
      <c r="AC60" s="554"/>
      <c r="AD60" s="1376"/>
      <c r="AE60" s="1376"/>
      <c r="AF60" s="1376"/>
      <c r="AG60" s="1376"/>
      <c r="AH60" s="1376"/>
      <c r="AI60" s="1642"/>
      <c r="AJ60" s="632"/>
      <c r="AK60" s="632"/>
      <c r="AL60" s="632"/>
      <c r="AM60" s="632"/>
      <c r="AN60" s="1651">
        <v>11</v>
      </c>
    </row>
    <row s="1651" customFormat="1" customHeight="1" ht="11.549999999999999">
      <c r="A61" s="997"/>
      <c r="B61" s="997"/>
      <c r="C61" s="997"/>
      <c r="D61" s="997"/>
      <c r="E61" s="997"/>
      <c r="F61" s="1646"/>
      <c r="G61" s="1646"/>
      <c r="H61" s="361"/>
      <c r="N61" s="1651"/>
      <c r="O61" s="1651"/>
      <c r="P61" s="1651"/>
      <c r="Q61" s="1376"/>
      <c r="S61" s="1376"/>
      <c r="T61" s="1646"/>
      <c r="U61" s="1646"/>
      <c r="V61" s="1376"/>
      <c r="W61" s="1376"/>
      <c r="X61" s="1376"/>
      <c r="Y61" s="1376"/>
      <c r="Z61" s="1646"/>
      <c r="AA61" s="1376"/>
      <c r="AB61" s="1376"/>
      <c r="AC61" s="554"/>
      <c r="AD61" s="1376"/>
      <c r="AE61" s="1376"/>
      <c r="AF61" s="1376"/>
      <c r="AG61" s="1376"/>
      <c r="AH61" s="1376"/>
      <c r="AI61" s="1642"/>
      <c r="AJ61" s="632"/>
      <c r="AK61" s="632"/>
      <c r="AL61" s="632"/>
      <c r="AM61" s="632"/>
      <c r="AN61" s="1651">
        <v>11</v>
      </c>
    </row>
    <row s="1651" customFormat="1" customHeight="1" ht="11.549999999999999">
      <c r="A62" s="997"/>
      <c r="B62" s="997"/>
      <c r="C62" s="997"/>
      <c r="D62" s="997"/>
      <c r="E62" s="997"/>
      <c r="F62" s="1646"/>
      <c r="G62" s="1646"/>
      <c r="H62" s="361"/>
      <c r="N62" s="1651"/>
      <c r="O62" s="1651"/>
      <c r="P62" s="1651"/>
      <c r="Q62" s="1376"/>
      <c r="S62" s="1376"/>
      <c r="T62" s="1646"/>
      <c r="U62" s="1646"/>
      <c r="V62" s="1376"/>
      <c r="W62" s="1376"/>
      <c r="X62" s="1376"/>
      <c r="Y62" s="1376"/>
      <c r="Z62" s="1646"/>
      <c r="AA62" s="1376"/>
      <c r="AB62" s="1376"/>
      <c r="AC62" s="554"/>
      <c r="AD62" s="1376"/>
      <c r="AE62" s="1376"/>
      <c r="AF62" s="1376"/>
      <c r="AG62" s="1376"/>
      <c r="AH62" s="1376"/>
      <c r="AI62" s="1642"/>
      <c r="AJ62" s="632"/>
      <c r="AK62" s="632"/>
      <c r="AL62" s="632"/>
      <c r="AM62" s="632"/>
      <c r="AN62" s="1651">
        <v>11</v>
      </c>
    </row>
    <row s="1651" customFormat="1" customHeight="1" ht="11.549999999999999">
      <c r="A63" s="997"/>
      <c r="B63" s="997"/>
      <c r="C63" s="997"/>
      <c r="D63" s="997"/>
      <c r="E63" s="997"/>
      <c r="F63" s="1646"/>
      <c r="G63" s="1646"/>
      <c r="H63" s="361"/>
      <c r="N63" s="1651"/>
      <c r="O63" s="1651"/>
      <c r="P63" s="1651"/>
      <c r="Q63" s="1376"/>
      <c r="S63" s="1376"/>
      <c r="T63" s="1646"/>
      <c r="U63" s="1646"/>
      <c r="V63" s="1376"/>
      <c r="W63" s="1376"/>
      <c r="X63" s="1376"/>
      <c r="Y63" s="1376"/>
      <c r="Z63" s="1646"/>
      <c r="AA63" s="1376"/>
      <c r="AB63" s="1376"/>
      <c r="AC63" s="554"/>
      <c r="AD63" s="1376"/>
      <c r="AE63" s="1376"/>
      <c r="AF63" s="1376"/>
      <c r="AG63" s="1376"/>
      <c r="AH63" s="1376"/>
      <c r="AI63" s="1642"/>
      <c r="AJ63" s="632"/>
      <c r="AK63" s="632"/>
      <c r="AL63" s="632"/>
      <c r="AM63" s="632"/>
      <c r="AN63" s="1651">
        <v>11</v>
      </c>
    </row>
    <row s="1651" customFormat="1" customHeight="1" ht="11.549999999999999">
      <c r="A64" s="997"/>
      <c r="B64" s="997"/>
      <c r="C64" s="997"/>
      <c r="D64" s="997"/>
      <c r="E64" s="997"/>
      <c r="F64" s="1646"/>
      <c r="G64" s="1646"/>
      <c r="H64" s="361"/>
      <c r="N64" s="1651"/>
      <c r="O64" s="1651"/>
      <c r="P64" s="1651"/>
      <c r="Q64" s="1376"/>
      <c r="S64" s="1376"/>
      <c r="T64" s="1646"/>
      <c r="U64" s="1646"/>
      <c r="V64" s="1376"/>
      <c r="W64" s="1376"/>
      <c r="X64" s="1376"/>
      <c r="Y64" s="1376"/>
      <c r="Z64" s="1646"/>
      <c r="AA64" s="1376"/>
      <c r="AB64" s="1376"/>
      <c r="AC64" s="554"/>
      <c r="AD64" s="1376"/>
      <c r="AE64" s="1376"/>
      <c r="AF64" s="1376"/>
      <c r="AG64" s="1376"/>
      <c r="AH64" s="1376"/>
      <c r="AI64" s="1642"/>
      <c r="AJ64" s="632"/>
      <c r="AK64" s="632"/>
      <c r="AL64" s="632"/>
      <c r="AM64" s="632"/>
      <c r="AN64" s="1651">
        <v>11</v>
      </c>
    </row>
    <row s="1651" customFormat="1" customHeight="1" ht="11.549999999999999">
      <c r="A65" s="997"/>
      <c r="B65" s="997"/>
      <c r="C65" s="997"/>
      <c r="D65" s="997"/>
      <c r="E65" s="997"/>
      <c r="F65" s="1646"/>
      <c r="G65" s="1646"/>
      <c r="H65" s="361"/>
      <c r="N65" s="1651"/>
      <c r="O65" s="1651"/>
      <c r="P65" s="1651"/>
      <c r="Q65" s="1376"/>
      <c r="S65" s="1376"/>
      <c r="T65" s="1646"/>
      <c r="U65" s="1646"/>
      <c r="V65" s="1376"/>
      <c r="W65" s="1376"/>
      <c r="X65" s="1376"/>
      <c r="Y65" s="1376"/>
      <c r="Z65" s="1646"/>
      <c r="AA65" s="1376"/>
      <c r="AB65" s="1376"/>
      <c r="AC65" s="554"/>
      <c r="AD65" s="1376"/>
      <c r="AE65" s="1376"/>
      <c r="AF65" s="1376"/>
      <c r="AG65" s="1376"/>
      <c r="AH65" s="1376"/>
      <c r="AI65" s="1642"/>
      <c r="AJ65" s="632"/>
      <c r="AK65" s="632"/>
      <c r="AL65" s="632"/>
      <c r="AM65" s="632"/>
      <c r="AN65" s="1651">
        <v>11</v>
      </c>
    </row>
    <row s="1651" customFormat="1" customHeight="1" ht="11.549999999999999">
      <c r="A66" s="997"/>
      <c r="B66" s="997"/>
      <c r="C66" s="997"/>
      <c r="D66" s="997"/>
      <c r="E66" s="997"/>
      <c r="F66" s="1646"/>
      <c r="G66" s="1646"/>
      <c r="H66" s="361"/>
      <c r="N66" s="1651"/>
      <c r="O66" s="1651"/>
      <c r="P66" s="1651"/>
      <c r="Q66" s="1376"/>
      <c r="S66" s="1376"/>
      <c r="T66" s="1646"/>
      <c r="U66" s="1646"/>
      <c r="V66" s="1376"/>
      <c r="W66" s="1376"/>
      <c r="X66" s="1376"/>
      <c r="Y66" s="1376"/>
      <c r="Z66" s="1646"/>
      <c r="AA66" s="1376"/>
      <c r="AB66" s="1376"/>
      <c r="AC66" s="554"/>
      <c r="AD66" s="1376"/>
      <c r="AE66" s="1376"/>
      <c r="AF66" s="1376"/>
      <c r="AG66" s="1376"/>
      <c r="AH66" s="1376"/>
      <c r="AI66" s="1642"/>
      <c r="AJ66" s="632"/>
      <c r="AK66" s="632"/>
      <c r="AL66" s="632"/>
      <c r="AM66" s="632"/>
      <c r="AN66" s="1651">
        <v>11</v>
      </c>
    </row>
    <row s="1651" customFormat="1" customHeight="1" ht="11.549999999999999">
      <c r="A67" s="997"/>
      <c r="B67" s="997"/>
      <c r="C67" s="997"/>
      <c r="D67" s="997"/>
      <c r="E67" s="997"/>
      <c r="F67" s="1646"/>
      <c r="G67" s="1646"/>
      <c r="H67" s="361"/>
      <c r="N67" s="1651"/>
      <c r="O67" s="1651"/>
      <c r="P67" s="1651"/>
      <c r="Q67" s="1376"/>
      <c r="S67" s="1376"/>
      <c r="T67" s="1646"/>
      <c r="U67" s="1646"/>
      <c r="V67" s="1376"/>
      <c r="W67" s="1376"/>
      <c r="X67" s="1376"/>
      <c r="Y67" s="1376"/>
      <c r="Z67" s="1646"/>
      <c r="AA67" s="1376"/>
      <c r="AB67" s="1376"/>
      <c r="AC67" s="554"/>
      <c r="AD67" s="1376"/>
      <c r="AE67" s="1376"/>
      <c r="AF67" s="1376"/>
      <c r="AG67" s="1376"/>
      <c r="AH67" s="1376"/>
      <c r="AI67" s="1642"/>
      <c r="AJ67" s="632"/>
      <c r="AK67" s="632"/>
      <c r="AL67" s="632"/>
      <c r="AM67" s="632"/>
      <c r="AN67" s="1651">
        <v>11</v>
      </c>
    </row>
    <row s="1651" customFormat="1" customHeight="1" ht="11.549999999999999">
      <c r="A68" s="997"/>
      <c r="B68" s="997"/>
      <c r="C68" s="997"/>
      <c r="D68" s="997"/>
      <c r="E68" s="997"/>
      <c r="F68" s="1646"/>
      <c r="G68" s="1646"/>
      <c r="H68" s="361"/>
      <c r="N68" s="1651"/>
      <c r="O68" s="1651"/>
      <c r="P68" s="1651"/>
      <c r="Q68" s="1376"/>
      <c r="S68" s="1376"/>
      <c r="T68" s="1646"/>
      <c r="U68" s="1646"/>
      <c r="V68" s="1376"/>
      <c r="W68" s="1376"/>
      <c r="X68" s="1376"/>
      <c r="Y68" s="1376"/>
      <c r="Z68" s="1646"/>
      <c r="AA68" s="1376"/>
      <c r="AB68" s="1376"/>
      <c r="AC68" s="554"/>
      <c r="AD68" s="1376"/>
      <c r="AE68" s="1376"/>
      <c r="AF68" s="1376"/>
      <c r="AG68" s="1376"/>
      <c r="AH68" s="1376"/>
      <c r="AI68" s="1642"/>
      <c r="AJ68" s="632"/>
      <c r="AK68" s="632"/>
      <c r="AL68" s="632"/>
      <c r="AM68" s="632"/>
      <c r="AN68" s="1651">
        <v>11</v>
      </c>
    </row>
    <row s="1651" customFormat="1" customHeight="1" ht="11.549999999999999">
      <c r="A69" s="997"/>
      <c r="B69" s="997"/>
      <c r="C69" s="997"/>
      <c r="D69" s="997"/>
      <c r="E69" s="997"/>
      <c r="F69" s="1646"/>
      <c r="G69" s="1646"/>
      <c r="H69" s="361"/>
      <c r="N69" s="1651"/>
      <c r="O69" s="1651"/>
      <c r="P69" s="1651"/>
      <c r="Q69" s="1376"/>
      <c r="S69" s="1376"/>
      <c r="T69" s="1646"/>
      <c r="U69" s="1646"/>
      <c r="V69" s="1376"/>
      <c r="W69" s="1376"/>
      <c r="X69" s="1376"/>
      <c r="Y69" s="1376"/>
      <c r="Z69" s="1646"/>
      <c r="AA69" s="1376"/>
      <c r="AB69" s="1376"/>
      <c r="AC69" s="554"/>
      <c r="AD69" s="1376"/>
      <c r="AE69" s="1376"/>
      <c r="AF69" s="1376"/>
      <c r="AG69" s="1376"/>
      <c r="AH69" s="1376"/>
      <c r="AI69" s="1642"/>
      <c r="AJ69" s="632"/>
      <c r="AK69" s="632"/>
      <c r="AL69" s="632"/>
      <c r="AM69" s="632"/>
      <c r="AN69" s="1651">
        <v>11</v>
      </c>
    </row>
    <row s="1651" customFormat="1" customHeight="1" ht="11.549999999999999">
      <c r="A70" s="997"/>
      <c r="B70" s="997"/>
      <c r="C70" s="997"/>
      <c r="D70" s="997"/>
      <c r="E70" s="997"/>
      <c r="F70" s="1646"/>
      <c r="G70" s="1646"/>
      <c r="H70" s="361"/>
      <c r="N70" s="1651"/>
      <c r="O70" s="1651"/>
      <c r="P70" s="1651"/>
      <c r="Q70" s="1376"/>
      <c r="S70" s="1376"/>
      <c r="T70" s="1646"/>
      <c r="U70" s="1646"/>
      <c r="V70" s="1376"/>
      <c r="W70" s="1376"/>
      <c r="X70" s="1376"/>
      <c r="Y70" s="1376"/>
      <c r="Z70" s="1646"/>
      <c r="AA70" s="1376"/>
      <c r="AB70" s="1376"/>
      <c r="AC70" s="554"/>
      <c r="AD70" s="1376"/>
      <c r="AE70" s="1376"/>
      <c r="AF70" s="1376"/>
      <c r="AG70" s="1376"/>
      <c r="AH70" s="1376"/>
      <c r="AI70" s="1642"/>
      <c r="AJ70" s="632"/>
      <c r="AK70" s="632"/>
      <c r="AL70" s="632"/>
      <c r="AM70" s="632"/>
      <c r="AN70" s="1651">
        <v>11</v>
      </c>
    </row>
    <row s="1651" customFormat="1" customHeight="1" ht="11.549999999999999">
      <c r="A71" s="997"/>
      <c r="B71" s="997"/>
      <c r="C71" s="997"/>
      <c r="D71" s="997"/>
      <c r="E71" s="997"/>
      <c r="F71" s="1646"/>
      <c r="G71" s="1646"/>
      <c r="H71" s="361"/>
      <c r="N71" s="1651"/>
      <c r="O71" s="1651"/>
      <c r="P71" s="1651"/>
      <c r="Q71" s="1376"/>
      <c r="S71" s="1376"/>
      <c r="T71" s="1646"/>
      <c r="U71" s="1646"/>
      <c r="V71" s="1376"/>
      <c r="W71" s="1376"/>
      <c r="X71" s="1376"/>
      <c r="Y71" s="1376"/>
      <c r="Z71" s="1646"/>
      <c r="AA71" s="1376"/>
      <c r="AB71" s="1376"/>
      <c r="AC71" s="554"/>
      <c r="AD71" s="1376"/>
      <c r="AE71" s="1376"/>
      <c r="AF71" s="1376"/>
      <c r="AG71" s="1376"/>
      <c r="AH71" s="1376"/>
      <c r="AI71" s="1642"/>
      <c r="AJ71" s="632"/>
      <c r="AK71" s="632"/>
      <c r="AL71" s="632"/>
      <c r="AM71" s="632"/>
      <c r="AN71" s="1651">
        <v>11</v>
      </c>
    </row>
    <row s="1651" customFormat="1" customHeight="1" ht="11.549999999999999">
      <c r="A72" s="997"/>
      <c r="B72" s="997"/>
      <c r="C72" s="997"/>
      <c r="D72" s="997"/>
      <c r="E72" s="997"/>
      <c r="F72" s="1646"/>
      <c r="G72" s="1646"/>
      <c r="H72" s="361"/>
      <c r="N72" s="1651"/>
      <c r="O72" s="1651"/>
      <c r="P72" s="1651"/>
      <c r="Q72" s="1376"/>
      <c r="S72" s="1376"/>
      <c r="T72" s="1646"/>
      <c r="U72" s="1646"/>
      <c r="V72" s="1376"/>
      <c r="W72" s="1376"/>
      <c r="X72" s="1376"/>
      <c r="Y72" s="1376"/>
      <c r="Z72" s="1646"/>
      <c r="AA72" s="1376"/>
      <c r="AB72" s="1376"/>
      <c r="AC72" s="554"/>
      <c r="AD72" s="1376"/>
      <c r="AE72" s="1376"/>
      <c r="AF72" s="1376"/>
      <c r="AG72" s="1376"/>
      <c r="AH72" s="1376"/>
      <c r="AI72" s="1642"/>
      <c r="AJ72" s="632"/>
      <c r="AK72" s="632"/>
      <c r="AL72" s="632"/>
      <c r="AM72" s="632"/>
      <c r="AN72" s="1651">
        <v>11</v>
      </c>
    </row>
    <row s="1651" customFormat="1" customHeight="1" ht="11.549999999999999">
      <c r="A73" s="997"/>
      <c r="B73" s="997"/>
      <c r="C73" s="997"/>
      <c r="D73" s="997"/>
      <c r="E73" s="997"/>
      <c r="F73" s="1646"/>
      <c r="G73" s="1646"/>
      <c r="H73" s="361"/>
      <c r="N73" s="1651"/>
      <c r="O73" s="1651"/>
      <c r="P73" s="1651"/>
      <c r="Q73" s="1376"/>
      <c r="S73" s="1376"/>
      <c r="T73" s="1646"/>
      <c r="U73" s="1646"/>
      <c r="V73" s="1376"/>
      <c r="W73" s="1376"/>
      <c r="X73" s="1376"/>
      <c r="Y73" s="1376"/>
      <c r="Z73" s="1646"/>
      <c r="AA73" s="1376"/>
      <c r="AB73" s="1376"/>
      <c r="AC73" s="554"/>
      <c r="AD73" s="1376"/>
      <c r="AE73" s="1376"/>
      <c r="AF73" s="1376"/>
      <c r="AG73" s="1376"/>
      <c r="AH73" s="1376"/>
      <c r="AI73" s="1642"/>
      <c r="AJ73" s="632"/>
      <c r="AK73" s="632"/>
      <c r="AL73" s="632"/>
      <c r="AM73" s="632"/>
      <c r="AN73" s="1651">
        <v>11</v>
      </c>
    </row>
    <row s="1651" customFormat="1" customHeight="1" ht="11.549999999999999">
      <c r="A74" s="997"/>
      <c r="B74" s="997"/>
      <c r="C74" s="997"/>
      <c r="D74" s="997"/>
      <c r="E74" s="997"/>
      <c r="F74" s="1646"/>
      <c r="G74" s="1646"/>
      <c r="H74" s="361"/>
      <c r="N74" s="1651"/>
      <c r="O74" s="1651"/>
      <c r="P74" s="1651"/>
      <c r="Q74" s="1376"/>
      <c r="S74" s="1376"/>
      <c r="T74" s="1646"/>
      <c r="U74" s="1646"/>
      <c r="V74" s="1376"/>
      <c r="W74" s="1376"/>
      <c r="X74" s="1376"/>
      <c r="Y74" s="1376"/>
      <c r="Z74" s="1646"/>
      <c r="AA74" s="1376"/>
      <c r="AB74" s="1376"/>
      <c r="AC74" s="554"/>
      <c r="AD74" s="1376"/>
      <c r="AE74" s="1376"/>
      <c r="AF74" s="1376"/>
      <c r="AG74" s="1376"/>
      <c r="AH74" s="1376"/>
      <c r="AI74" s="1642"/>
      <c r="AJ74" s="632"/>
      <c r="AK74" s="632"/>
      <c r="AL74" s="632"/>
      <c r="AM74" s="632"/>
      <c r="AN74" s="1651">
        <v>11</v>
      </c>
    </row>
    <row s="1651" customFormat="1" customHeight="1" ht="11.549999999999999">
      <c r="A75" s="997"/>
      <c r="B75" s="997"/>
      <c r="C75" s="997"/>
      <c r="D75" s="997"/>
      <c r="E75" s="997"/>
      <c r="F75" s="1646"/>
      <c r="G75" s="1646"/>
      <c r="H75" s="361"/>
      <c r="N75" s="1651"/>
      <c r="O75" s="1651"/>
      <c r="P75" s="1651"/>
      <c r="Q75" s="1376"/>
      <c r="S75" s="1376"/>
      <c r="T75" s="1646"/>
      <c r="U75" s="1646"/>
      <c r="V75" s="1376"/>
      <c r="W75" s="1376"/>
      <c r="X75" s="1376"/>
      <c r="Y75" s="1376"/>
      <c r="Z75" s="1646"/>
      <c r="AA75" s="1376"/>
      <c r="AB75" s="1376"/>
      <c r="AC75" s="554"/>
      <c r="AD75" s="1376"/>
      <c r="AE75" s="1376"/>
      <c r="AF75" s="1376"/>
      <c r="AG75" s="1376"/>
      <c r="AH75" s="1376"/>
      <c r="AI75" s="1642"/>
      <c r="AJ75" s="632"/>
      <c r="AK75" s="632"/>
      <c r="AL75" s="632"/>
      <c r="AM75" s="632"/>
      <c r="AN75" s="1651">
        <v>11</v>
      </c>
    </row>
    <row s="1651" customFormat="1" customHeight="1" ht="11.549999999999999">
      <c r="A76" s="997"/>
      <c r="B76" s="997"/>
      <c r="C76" s="997"/>
      <c r="D76" s="997"/>
      <c r="E76" s="997"/>
      <c r="F76" s="1646"/>
      <c r="G76" s="1646"/>
      <c r="H76" s="361"/>
      <c r="N76" s="1651"/>
      <c r="O76" s="1651"/>
      <c r="P76" s="1651"/>
      <c r="Q76" s="1376"/>
      <c r="S76" s="1376"/>
      <c r="T76" s="1646"/>
      <c r="U76" s="1646"/>
      <c r="V76" s="1376"/>
      <c r="W76" s="1376"/>
      <c r="X76" s="1376"/>
      <c r="Y76" s="1376"/>
      <c r="Z76" s="1646"/>
      <c r="AA76" s="1376"/>
      <c r="AB76" s="1376"/>
      <c r="AC76" s="554"/>
      <c r="AD76" s="1376"/>
      <c r="AE76" s="1376"/>
      <c r="AF76" s="1376"/>
      <c r="AG76" s="1376"/>
      <c r="AH76" s="1376"/>
      <c r="AI76" s="1642"/>
      <c r="AJ76" s="632"/>
      <c r="AK76" s="632"/>
      <c r="AL76" s="632"/>
      <c r="AM76" s="632"/>
      <c r="AN76" s="1651">
        <v>11</v>
      </c>
    </row>
    <row s="1651" customFormat="1" customHeight="1" ht="11.549999999999999">
      <c r="A77" s="997"/>
      <c r="B77" s="997"/>
      <c r="C77" s="997"/>
      <c r="D77" s="997"/>
      <c r="E77" s="997"/>
      <c r="F77" s="1646"/>
      <c r="G77" s="1646"/>
      <c r="H77" s="361"/>
      <c r="N77" s="1651"/>
      <c r="O77" s="1651"/>
      <c r="P77" s="1651"/>
      <c r="Q77" s="1376"/>
      <c r="S77" s="1376"/>
      <c r="T77" s="1646"/>
      <c r="U77" s="1646"/>
      <c r="V77" s="1376"/>
      <c r="W77" s="1376"/>
      <c r="X77" s="1376"/>
      <c r="Y77" s="1376"/>
      <c r="Z77" s="1646"/>
      <c r="AA77" s="1376"/>
      <c r="AB77" s="1376"/>
      <c r="AC77" s="554"/>
      <c r="AD77" s="1376"/>
      <c r="AE77" s="1376"/>
      <c r="AF77" s="1376"/>
      <c r="AG77" s="1376"/>
      <c r="AH77" s="1376"/>
      <c r="AI77" s="1642"/>
      <c r="AJ77" s="632"/>
      <c r="AK77" s="632"/>
      <c r="AL77" s="632"/>
      <c r="AM77" s="632"/>
      <c r="AN77" s="1651">
        <v>11</v>
      </c>
    </row>
    <row s="1651" customFormat="1" customHeight="1" ht="11.549999999999999">
      <c r="A78" s="997"/>
      <c r="B78" s="997"/>
      <c r="C78" s="997"/>
      <c r="D78" s="997"/>
      <c r="E78" s="997"/>
      <c r="F78" s="1646"/>
      <c r="G78" s="1646"/>
      <c r="H78" s="361"/>
      <c r="N78" s="1651"/>
      <c r="O78" s="1651"/>
      <c r="P78" s="1651"/>
      <c r="Q78" s="1376"/>
      <c r="S78" s="1376"/>
      <c r="T78" s="1646"/>
      <c r="U78" s="1646"/>
      <c r="V78" s="1376"/>
      <c r="W78" s="1376"/>
      <c r="X78" s="1376"/>
      <c r="Y78" s="1376"/>
      <c r="Z78" s="1646"/>
      <c r="AA78" s="1376"/>
      <c r="AB78" s="1376"/>
      <c r="AC78" s="554"/>
      <c r="AD78" s="1376"/>
      <c r="AE78" s="1376"/>
      <c r="AF78" s="1376"/>
      <c r="AG78" s="1376"/>
      <c r="AH78" s="1376"/>
      <c r="AI78" s="1642"/>
      <c r="AJ78" s="632"/>
      <c r="AK78" s="632"/>
      <c r="AL78" s="632"/>
      <c r="AM78" s="632"/>
      <c r="AN78" s="1651">
        <v>11</v>
      </c>
    </row>
    <row s="1651" customFormat="1" customHeight="1" ht="11.549999999999999">
      <c r="A79" s="997"/>
      <c r="B79" s="997"/>
      <c r="C79" s="997"/>
      <c r="D79" s="997"/>
      <c r="E79" s="997"/>
      <c r="F79" s="1646"/>
      <c r="G79" s="1646"/>
      <c r="H79" s="361"/>
      <c r="N79" s="1651"/>
      <c r="O79" s="1651"/>
      <c r="P79" s="1651"/>
      <c r="Q79" s="1376"/>
      <c r="S79" s="1376"/>
      <c r="T79" s="1646"/>
      <c r="U79" s="1646"/>
      <c r="V79" s="1376"/>
      <c r="W79" s="1376"/>
      <c r="X79" s="1376"/>
      <c r="Y79" s="1376"/>
      <c r="Z79" s="1646"/>
      <c r="AA79" s="1376"/>
      <c r="AB79" s="1376"/>
      <c r="AC79" s="554"/>
      <c r="AD79" s="1376"/>
      <c r="AE79" s="1376"/>
      <c r="AF79" s="1376"/>
      <c r="AG79" s="1376"/>
      <c r="AH79" s="1376"/>
      <c r="AI79" s="1642"/>
      <c r="AJ79" s="632"/>
      <c r="AK79" s="632"/>
      <c r="AL79" s="632"/>
      <c r="AM79" s="632"/>
      <c r="AN79" s="1651">
        <v>11</v>
      </c>
    </row>
    <row s="1651" customFormat="1" customHeight="1" ht="11.549999999999999">
      <c r="A80" s="997"/>
      <c r="B80" s="997"/>
      <c r="C80" s="997"/>
      <c r="D80" s="997"/>
      <c r="E80" s="997"/>
      <c r="F80" s="1646"/>
      <c r="G80" s="1646"/>
      <c r="H80" s="361"/>
      <c r="N80" s="1651"/>
      <c r="O80" s="1651"/>
      <c r="P80" s="1651"/>
      <c r="Q80" s="1376"/>
      <c r="S80" s="1376"/>
      <c r="T80" s="1646"/>
      <c r="U80" s="1646"/>
      <c r="V80" s="1376"/>
      <c r="W80" s="1376"/>
      <c r="X80" s="1376"/>
      <c r="Y80" s="1376"/>
      <c r="Z80" s="1646"/>
      <c r="AA80" s="1376"/>
      <c r="AB80" s="1376"/>
      <c r="AC80" s="554"/>
      <c r="AD80" s="1376"/>
      <c r="AE80" s="1376"/>
      <c r="AF80" s="1376"/>
      <c r="AG80" s="1376"/>
      <c r="AH80" s="1376"/>
      <c r="AI80" s="1642"/>
      <c r="AJ80" s="632"/>
      <c r="AK80" s="632"/>
      <c r="AL80" s="632"/>
      <c r="AM80" s="632"/>
      <c r="AN80" s="1651">
        <v>11</v>
      </c>
    </row>
    <row s="1651" customFormat="1" customHeight="1" ht="11.549999999999999">
      <c r="A81" s="997"/>
      <c r="B81" s="997"/>
      <c r="C81" s="997"/>
      <c r="D81" s="997"/>
      <c r="E81" s="997"/>
      <c r="F81" s="1646"/>
      <c r="G81" s="1646"/>
      <c r="H81" s="361"/>
      <c r="N81" s="1651"/>
      <c r="O81" s="1651"/>
      <c r="P81" s="1651"/>
      <c r="Q81" s="1376"/>
      <c r="S81" s="1376"/>
      <c r="T81" s="1646"/>
      <c r="U81" s="1646"/>
      <c r="V81" s="1376"/>
      <c r="W81" s="1376"/>
      <c r="X81" s="1376"/>
      <c r="Y81" s="1376"/>
      <c r="Z81" s="1646"/>
      <c r="AA81" s="1376"/>
      <c r="AB81" s="1376"/>
      <c r="AC81" s="554"/>
      <c r="AD81" s="1376"/>
      <c r="AE81" s="1376"/>
      <c r="AF81" s="1376"/>
      <c r="AG81" s="1376"/>
      <c r="AH81" s="1376"/>
      <c r="AI81" s="1642"/>
      <c r="AJ81" s="632"/>
      <c r="AK81" s="632"/>
      <c r="AL81" s="632"/>
      <c r="AM81" s="632"/>
      <c r="AN81" s="1651">
        <v>11</v>
      </c>
    </row>
    <row s="1651" customFormat="1" customHeight="1" ht="11.549999999999999">
      <c r="A82" s="997"/>
      <c r="B82" s="997"/>
      <c r="C82" s="997"/>
      <c r="D82" s="997"/>
      <c r="E82" s="997"/>
      <c r="F82" s="1646"/>
      <c r="G82" s="1646"/>
      <c r="H82" s="361"/>
      <c r="N82" s="1651"/>
      <c r="O82" s="1651"/>
      <c r="P82" s="1651"/>
      <c r="Q82" s="1376"/>
      <c r="S82" s="1376"/>
      <c r="T82" s="1646"/>
      <c r="U82" s="1646"/>
      <c r="V82" s="1376"/>
      <c r="W82" s="1376"/>
      <c r="X82" s="1376"/>
      <c r="Y82" s="1376"/>
      <c r="Z82" s="1646"/>
      <c r="AA82" s="1376"/>
      <c r="AB82" s="1376"/>
      <c r="AC82" s="554"/>
      <c r="AD82" s="1376"/>
      <c r="AE82" s="1376"/>
      <c r="AF82" s="1376"/>
      <c r="AG82" s="1376"/>
      <c r="AH82" s="1376"/>
      <c r="AI82" s="1642"/>
      <c r="AJ82" s="632"/>
      <c r="AK82" s="632"/>
      <c r="AL82" s="632"/>
      <c r="AM82" s="632"/>
      <c r="AN82" s="1651">
        <v>11</v>
      </c>
    </row>
    <row s="1651" customFormat="1" customHeight="1" ht="11.549999999999999">
      <c r="A83" s="997"/>
      <c r="B83" s="997"/>
      <c r="C83" s="997"/>
      <c r="D83" s="997"/>
      <c r="E83" s="997"/>
      <c r="F83" s="1646"/>
      <c r="G83" s="1646"/>
      <c r="H83" s="361"/>
      <c r="N83" s="1651"/>
      <c r="O83" s="1651"/>
      <c r="P83" s="1651"/>
      <c r="Q83" s="1376"/>
      <c r="S83" s="1376"/>
      <c r="T83" s="1646"/>
      <c r="U83" s="1646"/>
      <c r="V83" s="1376"/>
      <c r="W83" s="1376"/>
      <c r="X83" s="1376"/>
      <c r="Y83" s="1376"/>
      <c r="Z83" s="1646"/>
      <c r="AA83" s="1376"/>
      <c r="AB83" s="1376"/>
      <c r="AC83" s="554"/>
      <c r="AD83" s="1376"/>
      <c r="AE83" s="1376"/>
      <c r="AF83" s="1376"/>
      <c r="AG83" s="1376"/>
      <c r="AH83" s="1376"/>
      <c r="AI83" s="1642"/>
      <c r="AJ83" s="632"/>
      <c r="AK83" s="632"/>
      <c r="AL83" s="632"/>
      <c r="AM83" s="632"/>
      <c r="AN83" s="1651">
        <v>11</v>
      </c>
    </row>
    <row s="1651" customFormat="1" customHeight="1" ht="11.549999999999999">
      <c r="A84" s="997"/>
      <c r="B84" s="997"/>
      <c r="C84" s="997"/>
      <c r="D84" s="997"/>
      <c r="E84" s="997"/>
      <c r="F84" s="1646"/>
      <c r="G84" s="1646"/>
      <c r="H84" s="361"/>
      <c r="N84" s="1651"/>
      <c r="O84" s="1651"/>
      <c r="P84" s="1651"/>
      <c r="Q84" s="1376"/>
      <c r="S84" s="1376"/>
      <c r="T84" s="1646"/>
      <c r="U84" s="1646"/>
      <c r="V84" s="1376"/>
      <c r="W84" s="1376"/>
      <c r="X84" s="1376"/>
      <c r="Y84" s="1376"/>
      <c r="Z84" s="1646"/>
      <c r="AA84" s="1376"/>
      <c r="AB84" s="1376"/>
      <c r="AC84" s="554"/>
      <c r="AD84" s="1376"/>
      <c r="AE84" s="1376"/>
      <c r="AF84" s="1376"/>
      <c r="AG84" s="1376"/>
      <c r="AH84" s="1376"/>
      <c r="AI84" s="1642"/>
      <c r="AJ84" s="632"/>
      <c r="AK84" s="632"/>
      <c r="AL84" s="632"/>
      <c r="AM84" s="632"/>
      <c r="AN84" s="1651">
        <v>11</v>
      </c>
    </row>
    <row s="1651" customFormat="1" customHeight="1" ht="11.549999999999999">
      <c r="A85" s="997"/>
      <c r="B85" s="997"/>
      <c r="C85" s="997"/>
      <c r="D85" s="997"/>
      <c r="E85" s="997"/>
      <c r="F85" s="1646"/>
      <c r="G85" s="1646"/>
      <c r="H85" s="361"/>
      <c r="N85" s="1651"/>
      <c r="O85" s="1651"/>
      <c r="P85" s="1651"/>
      <c r="Q85" s="1376"/>
      <c r="S85" s="1376"/>
      <c r="T85" s="1646"/>
      <c r="U85" s="1646"/>
      <c r="V85" s="1376"/>
      <c r="W85" s="1376"/>
      <c r="X85" s="1376"/>
      <c r="Y85" s="1376"/>
      <c r="Z85" s="1646"/>
      <c r="AA85" s="1376"/>
      <c r="AB85" s="1376"/>
      <c r="AC85" s="554"/>
      <c r="AD85" s="1376"/>
      <c r="AE85" s="1376"/>
      <c r="AF85" s="1376"/>
      <c r="AG85" s="1376"/>
      <c r="AH85" s="1376"/>
      <c r="AI85" s="1642"/>
      <c r="AJ85" s="632"/>
      <c r="AK85" s="632"/>
      <c r="AL85" s="632"/>
      <c r="AM85" s="632"/>
      <c r="AN85" s="1651">
        <v>11</v>
      </c>
    </row>
    <row s="1651" customFormat="1" customHeight="1" ht="11.549999999999999">
      <c r="A86" s="997"/>
      <c r="B86" s="997"/>
      <c r="C86" s="997"/>
      <c r="D86" s="997"/>
      <c r="E86" s="997"/>
      <c r="F86" s="1646"/>
      <c r="G86" s="1646"/>
      <c r="H86" s="361"/>
      <c r="N86" s="1651"/>
      <c r="O86" s="1651"/>
      <c r="P86" s="1651"/>
      <c r="Q86" s="1376"/>
      <c r="S86" s="1376"/>
      <c r="T86" s="1646"/>
      <c r="U86" s="1646"/>
      <c r="V86" s="1376"/>
      <c r="W86" s="1376"/>
      <c r="X86" s="1376"/>
      <c r="Y86" s="1376"/>
      <c r="Z86" s="1646"/>
      <c r="AA86" s="1376"/>
      <c r="AB86" s="1376"/>
      <c r="AC86" s="554"/>
      <c r="AD86" s="1376"/>
      <c r="AE86" s="1376"/>
      <c r="AF86" s="1376"/>
      <c r="AG86" s="1376"/>
      <c r="AH86" s="1376"/>
      <c r="AI86" s="1642"/>
      <c r="AJ86" s="632"/>
      <c r="AK86" s="632"/>
      <c r="AL86" s="632"/>
      <c r="AM86" s="632"/>
      <c r="AN86" s="1651">
        <v>11</v>
      </c>
    </row>
    <row s="1651" customFormat="1" customHeight="1" ht="11.549999999999999">
      <c r="A87" s="997"/>
      <c r="B87" s="997"/>
      <c r="C87" s="997"/>
      <c r="D87" s="997"/>
      <c r="E87" s="997"/>
      <c r="F87" s="1646"/>
      <c r="G87" s="1646"/>
      <c r="H87" s="361"/>
      <c r="N87" s="1651"/>
      <c r="O87" s="1651"/>
      <c r="P87" s="1651"/>
      <c r="Q87" s="1376"/>
      <c r="S87" s="1376"/>
      <c r="T87" s="1646"/>
      <c r="U87" s="1646"/>
      <c r="V87" s="1376"/>
      <c r="W87" s="1376"/>
      <c r="X87" s="1376"/>
      <c r="Y87" s="1376"/>
      <c r="Z87" s="1646"/>
      <c r="AA87" s="1376"/>
      <c r="AB87" s="1376"/>
      <c r="AC87" s="554"/>
      <c r="AD87" s="1376"/>
      <c r="AE87" s="1376"/>
      <c r="AF87" s="1376"/>
      <c r="AG87" s="1376"/>
      <c r="AH87" s="1376"/>
      <c r="AI87" s="1642"/>
      <c r="AJ87" s="632"/>
      <c r="AK87" s="632"/>
      <c r="AL87" s="632"/>
      <c r="AM87" s="632"/>
      <c r="AN87" s="1651">
        <v>11</v>
      </c>
    </row>
    <row s="1651" customFormat="1" customHeight="1" ht="11.549999999999999">
      <c r="A88" s="997"/>
      <c r="B88" s="997"/>
      <c r="C88" s="997"/>
      <c r="D88" s="997"/>
      <c r="E88" s="997"/>
      <c r="F88" s="1646"/>
      <c r="G88" s="1646"/>
      <c r="H88" s="361"/>
      <c r="N88" s="1651"/>
      <c r="O88" s="1651"/>
      <c r="P88" s="1651"/>
      <c r="Q88" s="1376"/>
      <c r="S88" s="1376"/>
      <c r="T88" s="1646"/>
      <c r="U88" s="1646"/>
      <c r="V88" s="1376"/>
      <c r="W88" s="1376"/>
      <c r="X88" s="1376"/>
      <c r="Y88" s="1376"/>
      <c r="Z88" s="1646"/>
      <c r="AA88" s="1376"/>
      <c r="AB88" s="1376"/>
      <c r="AC88" s="554"/>
      <c r="AD88" s="1376"/>
      <c r="AE88" s="1376"/>
      <c r="AF88" s="1376"/>
      <c r="AG88" s="1376"/>
      <c r="AH88" s="1376"/>
      <c r="AI88" s="1642"/>
      <c r="AJ88" s="632"/>
      <c r="AK88" s="632"/>
      <c r="AL88" s="632"/>
      <c r="AM88" s="632"/>
      <c r="AN88" s="1651">
        <v>11</v>
      </c>
    </row>
    <row s="1651" customFormat="1" customHeight="1" ht="11.549999999999999">
      <c r="A89" s="997"/>
      <c r="B89" s="997"/>
      <c r="C89" s="997"/>
      <c r="D89" s="997"/>
      <c r="E89" s="997"/>
      <c r="F89" s="1646"/>
      <c r="G89" s="1646"/>
      <c r="H89" s="361"/>
      <c r="N89" s="1651"/>
      <c r="O89" s="1651"/>
      <c r="P89" s="1651"/>
      <c r="Q89" s="1376"/>
      <c r="S89" s="1376"/>
      <c r="T89" s="1646"/>
      <c r="U89" s="1646"/>
      <c r="V89" s="1376"/>
      <c r="W89" s="1376"/>
      <c r="X89" s="1376"/>
      <c r="Y89" s="1376"/>
      <c r="Z89" s="1646"/>
      <c r="AA89" s="1376"/>
      <c r="AB89" s="1376"/>
      <c r="AC89" s="554"/>
      <c r="AD89" s="1376"/>
      <c r="AE89" s="1376"/>
      <c r="AF89" s="1376"/>
      <c r="AG89" s="1376"/>
      <c r="AH89" s="1376"/>
      <c r="AI89" s="1642"/>
      <c r="AJ89" s="632"/>
      <c r="AK89" s="632"/>
      <c r="AL89" s="632"/>
      <c r="AM89" s="632"/>
      <c r="AN89" s="1651">
        <v>11</v>
      </c>
    </row>
    <row s="1651" customFormat="1" customHeight="1" ht="11.549999999999999">
      <c r="A90" s="997"/>
      <c r="B90" s="997"/>
      <c r="C90" s="997"/>
      <c r="D90" s="997"/>
      <c r="E90" s="997"/>
      <c r="F90" s="1646"/>
      <c r="G90" s="1646"/>
      <c r="H90" s="361"/>
      <c r="N90" s="1651"/>
      <c r="O90" s="1651"/>
      <c r="P90" s="1651"/>
      <c r="Q90" s="1376"/>
      <c r="S90" s="1376"/>
      <c r="T90" s="1646"/>
      <c r="U90" s="1646"/>
      <c r="V90" s="1376"/>
      <c r="W90" s="1376"/>
      <c r="X90" s="1376"/>
      <c r="Y90" s="1376"/>
      <c r="Z90" s="1646"/>
      <c r="AA90" s="1376"/>
      <c r="AB90" s="1376"/>
      <c r="AC90" s="554"/>
      <c r="AD90" s="1376"/>
      <c r="AE90" s="1376"/>
      <c r="AF90" s="1376"/>
      <c r="AG90" s="1376"/>
      <c r="AH90" s="1376"/>
      <c r="AI90" s="1642"/>
      <c r="AJ90" s="632"/>
      <c r="AK90" s="632"/>
      <c r="AL90" s="632"/>
      <c r="AM90" s="632"/>
      <c r="AN90" s="1651">
        <v>11</v>
      </c>
    </row>
    <row s="1651" customFormat="1" customHeight="1" ht="11.549999999999999">
      <c r="A91" s="997"/>
      <c r="B91" s="997"/>
      <c r="C91" s="997"/>
      <c r="D91" s="997"/>
      <c r="E91" s="997"/>
      <c r="F91" s="1646"/>
      <c r="G91" s="1646"/>
      <c r="H91" s="361"/>
      <c r="N91" s="1651"/>
      <c r="O91" s="1651"/>
      <c r="P91" s="1651"/>
      <c r="Q91" s="1376"/>
      <c r="S91" s="1376"/>
      <c r="T91" s="1646"/>
      <c r="U91" s="1646"/>
      <c r="V91" s="1376"/>
      <c r="W91" s="1376"/>
      <c r="X91" s="1376"/>
      <c r="Y91" s="1376"/>
      <c r="Z91" s="1646"/>
      <c r="AA91" s="1376"/>
      <c r="AB91" s="1376"/>
      <c r="AC91" s="554"/>
      <c r="AD91" s="1376"/>
      <c r="AE91" s="1376"/>
      <c r="AF91" s="1376"/>
      <c r="AG91" s="1376"/>
      <c r="AH91" s="1376"/>
      <c r="AI91" s="1642"/>
      <c r="AJ91" s="632"/>
      <c r="AK91" s="632"/>
      <c r="AL91" s="632"/>
      <c r="AM91" s="632"/>
      <c r="AN91" s="1651">
        <v>11</v>
      </c>
    </row>
    <row s="1651" customFormat="1" customHeight="1" ht="11.549999999999999">
      <c r="A92" s="997"/>
      <c r="B92" s="997"/>
      <c r="C92" s="997"/>
      <c r="D92" s="997"/>
      <c r="E92" s="997"/>
      <c r="F92" s="1646"/>
      <c r="G92" s="1646"/>
      <c r="H92" s="361"/>
      <c r="N92" s="1651"/>
      <c r="O92" s="1651"/>
      <c r="P92" s="1651"/>
      <c r="Q92" s="1376"/>
      <c r="S92" s="1376"/>
      <c r="T92" s="1646"/>
      <c r="U92" s="1646"/>
      <c r="V92" s="1376"/>
      <c r="W92" s="1376"/>
      <c r="X92" s="1376"/>
      <c r="Y92" s="1376"/>
      <c r="Z92" s="1646"/>
      <c r="AA92" s="1376"/>
      <c r="AB92" s="1376"/>
      <c r="AC92" s="554"/>
      <c r="AD92" s="1376"/>
      <c r="AE92" s="1376"/>
      <c r="AF92" s="1376"/>
      <c r="AG92" s="1376"/>
      <c r="AH92" s="1376"/>
      <c r="AI92" s="1642"/>
      <c r="AJ92" s="632"/>
      <c r="AK92" s="632"/>
      <c r="AL92" s="632"/>
      <c r="AM92" s="632"/>
      <c r="AN92" s="1651">
        <v>11</v>
      </c>
    </row>
    <row s="1651" customFormat="1" customHeight="1" ht="11.549999999999999">
      <c r="A93" s="997"/>
      <c r="B93" s="997"/>
      <c r="C93" s="997"/>
      <c r="D93" s="997"/>
      <c r="E93" s="997"/>
      <c r="F93" s="1646"/>
      <c r="G93" s="1646"/>
      <c r="H93" s="361"/>
      <c r="N93" s="1651"/>
      <c r="O93" s="1651"/>
      <c r="P93" s="1651"/>
      <c r="Q93" s="1376"/>
      <c r="S93" s="1376"/>
      <c r="T93" s="1646"/>
      <c r="U93" s="1646"/>
      <c r="V93" s="1376"/>
      <c r="W93" s="1376"/>
      <c r="X93" s="1376"/>
      <c r="Y93" s="1376"/>
      <c r="Z93" s="1646"/>
      <c r="AA93" s="1376"/>
      <c r="AB93" s="1376"/>
      <c r="AC93" s="554"/>
      <c r="AD93" s="1376"/>
      <c r="AE93" s="1376"/>
      <c r="AF93" s="1376"/>
      <c r="AG93" s="1376"/>
      <c r="AH93" s="1376"/>
      <c r="AI93" s="1642"/>
      <c r="AJ93" s="632"/>
      <c r="AK93" s="632"/>
      <c r="AL93" s="632"/>
      <c r="AM93" s="632"/>
      <c r="AN93" s="1651">
        <v>11</v>
      </c>
    </row>
    <row s="1651" customFormat="1" customHeight="1" ht="11.549999999999999">
      <c r="A94" s="997"/>
      <c r="B94" s="997"/>
      <c r="C94" s="997"/>
      <c r="D94" s="997"/>
      <c r="E94" s="997"/>
      <c r="F94" s="1646"/>
      <c r="G94" s="1646"/>
      <c r="H94" s="361"/>
      <c r="N94" s="1651"/>
      <c r="O94" s="1651"/>
      <c r="P94" s="1651"/>
      <c r="Q94" s="1376"/>
      <c r="S94" s="1376"/>
      <c r="T94" s="1646"/>
      <c r="U94" s="1646"/>
      <c r="V94" s="1376"/>
      <c r="W94" s="1376"/>
      <c r="X94" s="1376"/>
      <c r="Y94" s="1376"/>
      <c r="Z94" s="1646"/>
      <c r="AA94" s="1376"/>
      <c r="AB94" s="1376"/>
      <c r="AC94" s="554"/>
      <c r="AD94" s="1376"/>
      <c r="AE94" s="1376"/>
      <c r="AF94" s="1376"/>
      <c r="AG94" s="1376"/>
      <c r="AH94" s="1376"/>
      <c r="AI94" s="1642"/>
      <c r="AJ94" s="632"/>
      <c r="AK94" s="632"/>
      <c r="AL94" s="632"/>
      <c r="AM94" s="632"/>
      <c r="AN94" s="1651">
        <v>11</v>
      </c>
    </row>
    <row s="1651" customFormat="1" customHeight="1" ht="11.549999999999999">
      <c r="A95" s="997"/>
      <c r="B95" s="997"/>
      <c r="C95" s="997"/>
      <c r="D95" s="997"/>
      <c r="E95" s="997"/>
      <c r="F95" s="1646"/>
      <c r="G95" s="1646"/>
      <c r="H95" s="361"/>
      <c r="N95" s="1651"/>
      <c r="O95" s="1651"/>
      <c r="P95" s="1651"/>
      <c r="Q95" s="1376"/>
      <c r="S95" s="1376"/>
      <c r="T95" s="1646"/>
      <c r="U95" s="1646"/>
      <c r="V95" s="1376"/>
      <c r="W95" s="1376"/>
      <c r="X95" s="1376"/>
      <c r="Y95" s="1376"/>
      <c r="Z95" s="1646"/>
      <c r="AA95" s="1376"/>
      <c r="AB95" s="1376"/>
      <c r="AC95" s="554"/>
      <c r="AD95" s="1376"/>
      <c r="AE95" s="1376"/>
      <c r="AF95" s="1376"/>
      <c r="AG95" s="1376"/>
      <c r="AH95" s="1376"/>
      <c r="AI95" s="1642"/>
      <c r="AJ95" s="632"/>
      <c r="AK95" s="632"/>
      <c r="AL95" s="632"/>
      <c r="AM95" s="632"/>
      <c r="AN95" s="1651">
        <v>11</v>
      </c>
    </row>
    <row s="1651" customFormat="1" customHeight="1" ht="11.549999999999999">
      <c r="A96" s="997"/>
      <c r="B96" s="997"/>
      <c r="C96" s="997"/>
      <c r="D96" s="997"/>
      <c r="E96" s="997"/>
      <c r="F96" s="1646"/>
      <c r="G96" s="1646"/>
      <c r="H96" s="361"/>
      <c r="N96" s="1651"/>
      <c r="O96" s="1651"/>
      <c r="P96" s="1651"/>
      <c r="Q96" s="1376"/>
      <c r="S96" s="1376"/>
      <c r="T96" s="1646"/>
      <c r="U96" s="1646"/>
      <c r="V96" s="1376"/>
      <c r="W96" s="1376"/>
      <c r="X96" s="1376"/>
      <c r="Y96" s="1376"/>
      <c r="Z96" s="1646"/>
      <c r="AA96" s="1376"/>
      <c r="AB96" s="1376"/>
      <c r="AC96" s="554"/>
      <c r="AD96" s="1376"/>
      <c r="AE96" s="1376"/>
      <c r="AF96" s="1376"/>
      <c r="AG96" s="1376"/>
      <c r="AH96" s="1376"/>
      <c r="AI96" s="1642"/>
      <c r="AJ96" s="632"/>
      <c r="AK96" s="632"/>
      <c r="AL96" s="632"/>
      <c r="AM96" s="632"/>
      <c r="AN96" s="1651">
        <v>11</v>
      </c>
    </row>
    <row s="1651" customFormat="1" customHeight="1" ht="11.549999999999999">
      <c r="A97" s="997"/>
      <c r="B97" s="997"/>
      <c r="C97" s="997"/>
      <c r="D97" s="997"/>
      <c r="E97" s="997"/>
      <c r="F97" s="1646"/>
      <c r="G97" s="1646"/>
      <c r="H97" s="361"/>
      <c r="N97" s="1651"/>
      <c r="O97" s="1651"/>
      <c r="P97" s="1651"/>
      <c r="Q97" s="1376"/>
      <c r="S97" s="1376"/>
      <c r="T97" s="1646"/>
      <c r="U97" s="1646"/>
      <c r="V97" s="1376"/>
      <c r="W97" s="1376"/>
      <c r="X97" s="1376"/>
      <c r="Y97" s="1376"/>
      <c r="Z97" s="1646"/>
      <c r="AA97" s="1376"/>
      <c r="AB97" s="1376"/>
      <c r="AC97" s="554"/>
      <c r="AD97" s="1376"/>
      <c r="AE97" s="1376"/>
      <c r="AF97" s="1376"/>
      <c r="AG97" s="1376"/>
      <c r="AH97" s="1376"/>
      <c r="AI97" s="1642"/>
      <c r="AJ97" s="632"/>
      <c r="AK97" s="632"/>
      <c r="AL97" s="632"/>
      <c r="AM97" s="632"/>
      <c r="AN97" s="1651">
        <v>11</v>
      </c>
    </row>
    <row s="1651" customFormat="1" customHeight="1" ht="11.549999999999999">
      <c r="A98" s="997"/>
      <c r="B98" s="997"/>
      <c r="C98" s="997"/>
      <c r="D98" s="997"/>
      <c r="E98" s="997"/>
      <c r="F98" s="1646"/>
      <c r="G98" s="1646"/>
      <c r="H98" s="361"/>
      <c r="N98" s="1651"/>
      <c r="O98" s="1651"/>
      <c r="P98" s="1651"/>
      <c r="Q98" s="1376"/>
      <c r="S98" s="1376"/>
      <c r="T98" s="1646"/>
      <c r="U98" s="1646"/>
      <c r="V98" s="1376"/>
      <c r="W98" s="1376"/>
      <c r="X98" s="1376"/>
      <c r="Y98" s="1376"/>
      <c r="Z98" s="1646"/>
      <c r="AA98" s="1376"/>
      <c r="AB98" s="1376"/>
      <c r="AC98" s="554"/>
      <c r="AD98" s="1376"/>
      <c r="AE98" s="1376"/>
      <c r="AF98" s="1376"/>
      <c r="AG98" s="1376"/>
      <c r="AH98" s="1376"/>
      <c r="AI98" s="1642"/>
      <c r="AJ98" s="632"/>
      <c r="AK98" s="632"/>
      <c r="AL98" s="632"/>
      <c r="AM98" s="632"/>
      <c r="AN98" s="1651">
        <v>11</v>
      </c>
    </row>
    <row s="1651" customFormat="1" customHeight="1" ht="11.549999999999999">
      <c r="A99" s="997"/>
      <c r="B99" s="997"/>
      <c r="C99" s="997"/>
      <c r="D99" s="997"/>
      <c r="E99" s="997"/>
      <c r="F99" s="1646"/>
      <c r="G99" s="1646"/>
      <c r="H99" s="361"/>
      <c r="N99" s="1651"/>
      <c r="O99" s="1651"/>
      <c r="P99" s="1651"/>
      <c r="Q99" s="1376"/>
      <c r="S99" s="1376"/>
      <c r="T99" s="1646"/>
      <c r="U99" s="1646"/>
      <c r="V99" s="1376"/>
      <c r="W99" s="1376"/>
      <c r="X99" s="1376"/>
      <c r="Y99" s="1376"/>
      <c r="Z99" s="1646"/>
      <c r="AA99" s="1376"/>
      <c r="AB99" s="1376"/>
      <c r="AC99" s="554"/>
      <c r="AD99" s="1376"/>
      <c r="AE99" s="1376"/>
      <c r="AF99" s="1376"/>
      <c r="AG99" s="1376"/>
      <c r="AH99" s="1376"/>
      <c r="AI99" s="1642"/>
      <c r="AJ99" s="632"/>
      <c r="AK99" s="632"/>
      <c r="AL99" s="632"/>
      <c r="AM99" s="632"/>
      <c r="AN99" s="1651">
        <v>11</v>
      </c>
    </row>
    <row s="1651" customFormat="1" customHeight="1" ht="11.549999999999999">
      <c r="A100" s="997"/>
      <c r="B100" s="997"/>
      <c r="C100" s="997"/>
      <c r="D100" s="997"/>
      <c r="E100" s="997"/>
      <c r="F100" s="1646"/>
      <c r="G100" s="1646"/>
      <c r="H100" s="361"/>
      <c r="N100" s="1651"/>
      <c r="O100" s="1651"/>
      <c r="P100" s="1651"/>
      <c r="Q100" s="1376"/>
      <c r="S100" s="1376"/>
      <c r="T100" s="1646"/>
      <c r="U100" s="1646"/>
      <c r="V100" s="1376"/>
      <c r="W100" s="1376"/>
      <c r="X100" s="1376"/>
      <c r="Y100" s="1376"/>
      <c r="Z100" s="1646"/>
      <c r="AA100" s="1376"/>
      <c r="AB100" s="1376"/>
      <c r="AC100" s="554"/>
      <c r="AD100" s="1376"/>
      <c r="AE100" s="1376"/>
      <c r="AF100" s="1376"/>
      <c r="AG100" s="1376"/>
      <c r="AH100" s="1376"/>
      <c r="AI100" s="1642"/>
      <c r="AJ100" s="632"/>
      <c r="AK100" s="632"/>
      <c r="AL100" s="632"/>
      <c r="AM100" s="632"/>
      <c r="AN100" s="1651">
        <v>11</v>
      </c>
    </row>
    <row s="1651" customFormat="1" customHeight="1" ht="11.549999999999999">
      <c r="A101" s="997"/>
      <c r="B101" s="997"/>
      <c r="C101" s="997"/>
      <c r="D101" s="997"/>
      <c r="E101" s="997"/>
      <c r="F101" s="1646"/>
      <c r="G101" s="1646"/>
      <c r="H101" s="361"/>
      <c r="N101" s="1651"/>
      <c r="O101" s="1651"/>
      <c r="P101" s="1651"/>
      <c r="Q101" s="1376"/>
      <c r="S101" s="1376"/>
      <c r="T101" s="1646"/>
      <c r="U101" s="1646"/>
      <c r="V101" s="1376"/>
      <c r="W101" s="1376"/>
      <c r="X101" s="1376"/>
      <c r="Y101" s="1376"/>
      <c r="Z101" s="1646"/>
      <c r="AA101" s="1376"/>
      <c r="AB101" s="1376"/>
      <c r="AC101" s="554"/>
      <c r="AD101" s="1376"/>
      <c r="AE101" s="1376"/>
      <c r="AF101" s="1376"/>
      <c r="AG101" s="1376"/>
      <c r="AH101" s="1376"/>
      <c r="AI101" s="1642"/>
      <c r="AJ101" s="632"/>
      <c r="AK101" s="632"/>
      <c r="AL101" s="632"/>
      <c r="AM101" s="632"/>
      <c r="AN101" s="1651">
        <v>11</v>
      </c>
    </row>
    <row s="1651" customFormat="1" customHeight="1" ht="11.549999999999999">
      <c r="A102" s="997"/>
      <c r="B102" s="997"/>
      <c r="C102" s="997"/>
      <c r="D102" s="997"/>
      <c r="E102" s="997"/>
      <c r="F102" s="1646"/>
      <c r="G102" s="1646"/>
      <c r="H102" s="361"/>
      <c r="N102" s="1651"/>
      <c r="O102" s="1651"/>
      <c r="P102" s="1651"/>
      <c r="Q102" s="1376"/>
      <c r="S102" s="1376"/>
      <c r="T102" s="1646"/>
      <c r="U102" s="1646"/>
      <c r="V102" s="1376"/>
      <c r="W102" s="1376"/>
      <c r="X102" s="1376"/>
      <c r="Y102" s="1376"/>
      <c r="Z102" s="1646"/>
      <c r="AA102" s="1376"/>
      <c r="AB102" s="1376"/>
      <c r="AC102" s="554"/>
      <c r="AD102" s="1376"/>
      <c r="AE102" s="1376"/>
      <c r="AF102" s="1376"/>
      <c r="AG102" s="1376"/>
      <c r="AH102" s="1376"/>
      <c r="AI102" s="1642"/>
      <c r="AJ102" s="632"/>
      <c r="AK102" s="632"/>
      <c r="AL102" s="632"/>
      <c r="AM102" s="632"/>
      <c r="AN102" s="1651">
        <v>11</v>
      </c>
    </row>
    <row s="1651" customFormat="1" customHeight="1" ht="11.549999999999999">
      <c r="A103" s="997"/>
      <c r="B103" s="997"/>
      <c r="C103" s="997"/>
      <c r="D103" s="997"/>
      <c r="E103" s="997"/>
      <c r="F103" s="1646"/>
      <c r="G103" s="1646"/>
      <c r="H103" s="361"/>
      <c r="N103" s="1651"/>
      <c r="O103" s="1651"/>
      <c r="P103" s="1651"/>
      <c r="Q103" s="1376"/>
      <c r="S103" s="1376"/>
      <c r="T103" s="1646"/>
      <c r="U103" s="1646"/>
      <c r="V103" s="1376"/>
      <c r="W103" s="1376"/>
      <c r="X103" s="1376"/>
      <c r="Y103" s="1376"/>
      <c r="Z103" s="1646"/>
      <c r="AA103" s="1376"/>
      <c r="AB103" s="1376"/>
      <c r="AC103" s="554"/>
      <c r="AD103" s="1376"/>
      <c r="AE103" s="1376"/>
      <c r="AF103" s="1376"/>
      <c r="AG103" s="1376"/>
      <c r="AH103" s="1376"/>
      <c r="AI103" s="1642"/>
      <c r="AJ103" s="632"/>
      <c r="AK103" s="632"/>
      <c r="AL103" s="632"/>
      <c r="AM103" s="632"/>
      <c r="AN103" s="1651">
        <v>11</v>
      </c>
    </row>
    <row s="1651" customFormat="1" customHeight="1" ht="11.549999999999999">
      <c r="A104" s="997"/>
      <c r="B104" s="997"/>
      <c r="C104" s="997"/>
      <c r="D104" s="997"/>
      <c r="E104" s="997"/>
      <c r="F104" s="1646"/>
      <c r="G104" s="1646"/>
      <c r="H104" s="361"/>
      <c r="N104" s="1651"/>
      <c r="O104" s="1651"/>
      <c r="P104" s="1651"/>
      <c r="Q104" s="1376"/>
      <c r="S104" s="1376"/>
      <c r="T104" s="1646"/>
      <c r="U104" s="1646"/>
      <c r="V104" s="1376"/>
      <c r="W104" s="1376"/>
      <c r="X104" s="1376"/>
      <c r="Y104" s="1376"/>
      <c r="Z104" s="1646"/>
      <c r="AA104" s="1376"/>
      <c r="AB104" s="1376"/>
      <c r="AC104" s="554"/>
      <c r="AD104" s="1376"/>
      <c r="AE104" s="1376"/>
      <c r="AF104" s="1376"/>
      <c r="AG104" s="1376"/>
      <c r="AH104" s="1376"/>
      <c r="AI104" s="1642"/>
      <c r="AJ104" s="632"/>
      <c r="AK104" s="632"/>
      <c r="AL104" s="632"/>
      <c r="AM104" s="632"/>
      <c r="AN104" s="1651">
        <v>11</v>
      </c>
    </row>
    <row s="1651" customFormat="1" customHeight="1" ht="11.549999999999999">
      <c r="A105" s="997"/>
      <c r="B105" s="997"/>
      <c r="C105" s="997"/>
      <c r="D105" s="997"/>
      <c r="E105" s="997"/>
      <c r="F105" s="1646"/>
      <c r="G105" s="1646"/>
      <c r="H105" s="361"/>
      <c r="N105" s="1651"/>
      <c r="O105" s="1651"/>
      <c r="P105" s="1651"/>
      <c r="Q105" s="1376"/>
      <c r="S105" s="1376"/>
      <c r="T105" s="1646"/>
      <c r="U105" s="1646"/>
      <c r="V105" s="1376"/>
      <c r="W105" s="1376"/>
      <c r="X105" s="1376"/>
      <c r="Y105" s="1376"/>
      <c r="Z105" s="1646"/>
      <c r="AA105" s="1376"/>
      <c r="AB105" s="1376"/>
      <c r="AC105" s="554"/>
      <c r="AD105" s="1376"/>
      <c r="AE105" s="1376"/>
      <c r="AF105" s="1376"/>
      <c r="AG105" s="1376"/>
      <c r="AH105" s="1376"/>
      <c r="AI105" s="1642"/>
      <c r="AJ105" s="632"/>
      <c r="AK105" s="632"/>
      <c r="AL105" s="632"/>
      <c r="AM105" s="632"/>
      <c r="AN105" s="1651">
        <v>11</v>
      </c>
    </row>
    <row s="1651" customFormat="1" customHeight="1" ht="11.549999999999999">
      <c r="A106" s="997"/>
      <c r="B106" s="997"/>
      <c r="C106" s="997"/>
      <c r="D106" s="997"/>
      <c r="E106" s="997"/>
      <c r="F106" s="1646"/>
      <c r="G106" s="1646"/>
      <c r="H106" s="361"/>
      <c r="N106" s="1651"/>
      <c r="O106" s="1651"/>
      <c r="P106" s="1651"/>
      <c r="Q106" s="1376"/>
      <c r="S106" s="1376"/>
      <c r="T106" s="1646"/>
      <c r="U106" s="1646"/>
      <c r="V106" s="1376"/>
      <c r="W106" s="1376"/>
      <c r="X106" s="1376"/>
      <c r="Y106" s="1376"/>
      <c r="Z106" s="1646"/>
      <c r="AA106" s="1376"/>
      <c r="AB106" s="1376"/>
      <c r="AC106" s="554"/>
      <c r="AD106" s="1376"/>
      <c r="AE106" s="1376"/>
      <c r="AF106" s="1376"/>
      <c r="AG106" s="1376"/>
      <c r="AH106" s="1376"/>
      <c r="AI106" s="1642"/>
      <c r="AJ106" s="632"/>
      <c r="AK106" s="632"/>
      <c r="AL106" s="632"/>
      <c r="AM106" s="632"/>
      <c r="AN106" s="1651">
        <v>11</v>
      </c>
    </row>
    <row s="1651" customFormat="1" customHeight="1" ht="11.549999999999999">
      <c r="A107" s="997"/>
      <c r="B107" s="997"/>
      <c r="C107" s="997"/>
      <c r="D107" s="997"/>
      <c r="E107" s="997"/>
      <c r="F107" s="1646"/>
      <c r="G107" s="1646"/>
      <c r="H107" s="361"/>
      <c r="N107" s="1651"/>
      <c r="O107" s="1651"/>
      <c r="P107" s="1651"/>
      <c r="Q107" s="1376"/>
      <c r="S107" s="1376"/>
      <c r="T107" s="1646"/>
      <c r="U107" s="1646"/>
      <c r="V107" s="1376"/>
      <c r="W107" s="1376"/>
      <c r="X107" s="1376"/>
      <c r="Y107" s="1376"/>
      <c r="Z107" s="1646"/>
      <c r="AA107" s="1376"/>
      <c r="AB107" s="1376"/>
      <c r="AC107" s="554"/>
      <c r="AD107" s="1376"/>
      <c r="AE107" s="1376"/>
      <c r="AF107" s="1376"/>
      <c r="AG107" s="1376"/>
      <c r="AH107" s="1376"/>
      <c r="AI107" s="1642"/>
      <c r="AJ107" s="632"/>
      <c r="AK107" s="632"/>
      <c r="AL107" s="632"/>
      <c r="AM107" s="632"/>
      <c r="AN107" s="1651">
        <v>11</v>
      </c>
    </row>
    <row s="1651" customFormat="1" customHeight="1" ht="11.549999999999999">
      <c r="A108" s="997"/>
      <c r="B108" s="997"/>
      <c r="C108" s="997"/>
      <c r="D108" s="997"/>
      <c r="E108" s="997"/>
      <c r="F108" s="1646"/>
      <c r="G108" s="1646"/>
      <c r="H108" s="361"/>
      <c r="N108" s="1651"/>
      <c r="O108" s="1651"/>
      <c r="P108" s="1651"/>
      <c r="Q108" s="1376"/>
      <c r="S108" s="1376"/>
      <c r="T108" s="1646"/>
      <c r="U108" s="1646"/>
      <c r="V108" s="1376"/>
      <c r="W108" s="1376"/>
      <c r="X108" s="1376"/>
      <c r="Y108" s="1376"/>
      <c r="Z108" s="1646"/>
      <c r="AA108" s="1376"/>
      <c r="AB108" s="1376"/>
      <c r="AC108" s="554"/>
      <c r="AD108" s="1376"/>
      <c r="AE108" s="1376"/>
      <c r="AF108" s="1376"/>
      <c r="AG108" s="1376"/>
      <c r="AH108" s="1376"/>
      <c r="AI108" s="1642"/>
      <c r="AJ108" s="632"/>
      <c r="AK108" s="632"/>
      <c r="AL108" s="632"/>
      <c r="AM108" s="632"/>
      <c r="AN108" s="1651">
        <v>11</v>
      </c>
    </row>
    <row s="1651" customFormat="1" customHeight="1" ht="11.549999999999999">
      <c r="A109" s="997"/>
      <c r="B109" s="997"/>
      <c r="C109" s="997"/>
      <c r="D109" s="997"/>
      <c r="E109" s="997"/>
      <c r="F109" s="1646"/>
      <c r="G109" s="1646"/>
      <c r="H109" s="361"/>
      <c r="N109" s="1651"/>
      <c r="O109" s="1651"/>
      <c r="P109" s="1651"/>
      <c r="Q109" s="1376"/>
      <c r="S109" s="1376"/>
      <c r="T109" s="1646"/>
      <c r="U109" s="1646"/>
      <c r="V109" s="1376"/>
      <c r="W109" s="1376"/>
      <c r="X109" s="1376"/>
      <c r="Y109" s="1376"/>
      <c r="Z109" s="1646"/>
      <c r="AA109" s="1376"/>
      <c r="AB109" s="1376"/>
      <c r="AC109" s="554"/>
      <c r="AD109" s="1376"/>
      <c r="AE109" s="1376"/>
      <c r="AF109" s="1376"/>
      <c r="AG109" s="1376"/>
      <c r="AH109" s="1376"/>
      <c r="AI109" s="1642"/>
      <c r="AJ109" s="632"/>
      <c r="AK109" s="632"/>
      <c r="AL109" s="632"/>
      <c r="AM109" s="632"/>
      <c r="AN109" s="1651">
        <v>11</v>
      </c>
    </row>
    <row s="1651" customFormat="1" customHeight="1" ht="11.549999999999999">
      <c r="A110" s="997"/>
      <c r="B110" s="997"/>
      <c r="C110" s="997"/>
      <c r="D110" s="997"/>
      <c r="E110" s="997"/>
      <c r="F110" s="1646"/>
      <c r="G110" s="1646"/>
      <c r="H110" s="361"/>
      <c r="N110" s="1651"/>
      <c r="O110" s="1651"/>
      <c r="P110" s="1651"/>
      <c r="Q110" s="1376"/>
      <c r="S110" s="1376"/>
      <c r="T110" s="1646"/>
      <c r="U110" s="1646"/>
      <c r="V110" s="1376"/>
      <c r="W110" s="1376"/>
      <c r="X110" s="1376"/>
      <c r="Y110" s="1376"/>
      <c r="Z110" s="1646"/>
      <c r="AA110" s="1376"/>
      <c r="AB110" s="1376"/>
      <c r="AC110" s="554"/>
      <c r="AD110" s="1376"/>
      <c r="AE110" s="1376"/>
      <c r="AF110" s="1376"/>
      <c r="AG110" s="1376"/>
      <c r="AH110" s="1376"/>
      <c r="AI110" s="1642"/>
      <c r="AJ110" s="632"/>
      <c r="AK110" s="632"/>
      <c r="AL110" s="632"/>
      <c r="AM110" s="632"/>
      <c r="AN110" s="1651">
        <v>11</v>
      </c>
    </row>
    <row s="1651" customFormat="1" customHeight="1" ht="11.549999999999999">
      <c r="A111" s="997"/>
      <c r="B111" s="997"/>
      <c r="C111" s="997"/>
      <c r="D111" s="997"/>
      <c r="E111" s="997"/>
      <c r="F111" s="1646"/>
      <c r="G111" s="1646"/>
      <c r="H111" s="361"/>
      <c r="N111" s="1651"/>
      <c r="O111" s="1651"/>
      <c r="P111" s="1651"/>
      <c r="Q111" s="1376"/>
      <c r="S111" s="1376"/>
      <c r="T111" s="1646"/>
      <c r="U111" s="1646"/>
      <c r="V111" s="1376"/>
      <c r="W111" s="1376"/>
      <c r="X111" s="1376"/>
      <c r="Y111" s="1376"/>
      <c r="Z111" s="1646"/>
      <c r="AA111" s="1376"/>
      <c r="AB111" s="1376"/>
      <c r="AC111" s="554"/>
      <c r="AD111" s="1376"/>
      <c r="AE111" s="1376"/>
      <c r="AF111" s="1376"/>
      <c r="AG111" s="1376"/>
      <c r="AH111" s="1376"/>
      <c r="AI111" s="1642"/>
      <c r="AJ111" s="632"/>
      <c r="AK111" s="632"/>
      <c r="AL111" s="632"/>
      <c r="AM111" s="632"/>
      <c r="AN111" s="1651">
        <v>11</v>
      </c>
    </row>
    <row s="1651" customFormat="1" customHeight="1" ht="11.549999999999999">
      <c r="A112" s="997"/>
      <c r="B112" s="997"/>
      <c r="C112" s="997"/>
      <c r="D112" s="997"/>
      <c r="E112" s="997"/>
      <c r="F112" s="1646"/>
      <c r="G112" s="1646"/>
      <c r="H112" s="361"/>
      <c r="N112" s="1651"/>
      <c r="O112" s="1651"/>
      <c r="P112" s="1651"/>
      <c r="Q112" s="1376"/>
      <c r="S112" s="1376"/>
      <c r="T112" s="1646"/>
      <c r="U112" s="1646"/>
      <c r="V112" s="1376"/>
      <c r="W112" s="1376"/>
      <c r="X112" s="1376"/>
      <c r="Y112" s="1376"/>
      <c r="Z112" s="1646"/>
      <c r="AA112" s="1376"/>
      <c r="AB112" s="1376"/>
      <c r="AC112" s="554"/>
      <c r="AD112" s="1376"/>
      <c r="AE112" s="1376"/>
      <c r="AF112" s="1376"/>
      <c r="AG112" s="1376"/>
      <c r="AH112" s="1376"/>
      <c r="AI112" s="1642"/>
      <c r="AJ112" s="632"/>
      <c r="AK112" s="632"/>
      <c r="AL112" s="632"/>
      <c r="AM112" s="632"/>
      <c r="AN112" s="1651">
        <v>11</v>
      </c>
    </row>
    <row s="1651" customFormat="1" customHeight="1" ht="11.549999999999999">
      <c r="A113" s="997"/>
      <c r="B113" s="997"/>
      <c r="C113" s="997"/>
      <c r="D113" s="997"/>
      <c r="E113" s="997"/>
      <c r="F113" s="1646"/>
      <c r="G113" s="1646"/>
      <c r="H113" s="361"/>
      <c r="N113" s="1651"/>
      <c r="O113" s="1651"/>
      <c r="P113" s="1651"/>
      <c r="Q113" s="1376"/>
      <c r="S113" s="1376"/>
      <c r="T113" s="1646"/>
      <c r="U113" s="1646"/>
      <c r="V113" s="1376"/>
      <c r="W113" s="1376"/>
      <c r="X113" s="1376"/>
      <c r="Y113" s="1376"/>
      <c r="Z113" s="1646"/>
      <c r="AA113" s="1376"/>
      <c r="AB113" s="1376"/>
      <c r="AC113" s="554"/>
      <c r="AD113" s="1376"/>
      <c r="AE113" s="1376"/>
      <c r="AF113" s="1376"/>
      <c r="AG113" s="1376"/>
      <c r="AH113" s="1376"/>
      <c r="AI113" s="1642"/>
      <c r="AJ113" s="632"/>
      <c r="AK113" s="632"/>
      <c r="AL113" s="632"/>
      <c r="AM113" s="632"/>
      <c r="AN113" s="1651">
        <v>11</v>
      </c>
    </row>
    <row s="1651" customFormat="1" customHeight="1" ht="11.549999999999999">
      <c r="A114" s="997"/>
      <c r="B114" s="997"/>
      <c r="C114" s="997"/>
      <c r="D114" s="997"/>
      <c r="E114" s="997"/>
      <c r="F114" s="1646"/>
      <c r="G114" s="1646"/>
      <c r="H114" s="361"/>
      <c r="N114" s="1651"/>
      <c r="O114" s="1651"/>
      <c r="P114" s="1651"/>
      <c r="Q114" s="1376"/>
      <c r="S114" s="1376"/>
      <c r="T114" s="1646"/>
      <c r="U114" s="1646"/>
      <c r="V114" s="1376"/>
      <c r="W114" s="1376"/>
      <c r="X114" s="1376"/>
      <c r="Y114" s="1376"/>
      <c r="Z114" s="1646"/>
      <c r="AA114" s="1376"/>
      <c r="AB114" s="1376"/>
      <c r="AC114" s="554"/>
      <c r="AD114" s="1376"/>
      <c r="AE114" s="1376"/>
      <c r="AF114" s="1376"/>
      <c r="AG114" s="1376"/>
      <c r="AH114" s="1376"/>
      <c r="AI114" s="1642"/>
      <c r="AJ114" s="632"/>
      <c r="AK114" s="632"/>
      <c r="AL114" s="632"/>
      <c r="AM114" s="632"/>
      <c r="AN114" s="1651">
        <v>11</v>
      </c>
    </row>
    <row s="1651" customFormat="1" customHeight="1" ht="11.549999999999999">
      <c r="A115" s="997"/>
      <c r="B115" s="997"/>
      <c r="C115" s="997"/>
      <c r="D115" s="997"/>
      <c r="E115" s="997"/>
      <c r="F115" s="1646"/>
      <c r="G115" s="1646"/>
      <c r="H115" s="361"/>
      <c r="N115" s="1651"/>
      <c r="O115" s="1651"/>
      <c r="P115" s="1651"/>
      <c r="Q115" s="1376"/>
      <c r="S115" s="1376"/>
      <c r="T115" s="1646"/>
      <c r="U115" s="1646"/>
      <c r="V115" s="1376"/>
      <c r="W115" s="1376"/>
      <c r="X115" s="1376"/>
      <c r="Y115" s="1376"/>
      <c r="Z115" s="1646"/>
      <c r="AA115" s="1376"/>
      <c r="AB115" s="1376"/>
      <c r="AC115" s="554"/>
      <c r="AD115" s="1376"/>
      <c r="AE115" s="1376"/>
      <c r="AF115" s="1376"/>
      <c r="AG115" s="1376"/>
      <c r="AH115" s="1376"/>
      <c r="AI115" s="1642"/>
      <c r="AJ115" s="632"/>
      <c r="AK115" s="632"/>
      <c r="AL115" s="632"/>
      <c r="AM115" s="632"/>
      <c r="AN115" s="1651">
        <v>11</v>
      </c>
    </row>
    <row s="1651" customFormat="1" customHeight="1" ht="11.549999999999999">
      <c r="A116" s="997"/>
      <c r="B116" s="997"/>
      <c r="C116" s="997"/>
      <c r="D116" s="997"/>
      <c r="E116" s="997"/>
      <c r="F116" s="1646"/>
      <c r="G116" s="1646"/>
      <c r="H116" s="361"/>
      <c r="N116" s="1651"/>
      <c r="O116" s="1651"/>
      <c r="P116" s="1651"/>
      <c r="Q116" s="1376"/>
      <c r="S116" s="1376"/>
      <c r="T116" s="1646"/>
      <c r="U116" s="1646"/>
      <c r="V116" s="1376"/>
      <c r="W116" s="1376"/>
      <c r="X116" s="1376"/>
      <c r="Y116" s="1376"/>
      <c r="Z116" s="1646"/>
      <c r="AA116" s="1376"/>
      <c r="AB116" s="1376"/>
      <c r="AC116" s="554"/>
      <c r="AD116" s="1376"/>
      <c r="AE116" s="1376"/>
      <c r="AF116" s="1376"/>
      <c r="AG116" s="1376"/>
      <c r="AH116" s="1376"/>
      <c r="AI116" s="1642"/>
      <c r="AJ116" s="632"/>
      <c r="AK116" s="632"/>
      <c r="AL116" s="632"/>
      <c r="AM116" s="632"/>
      <c r="AN116" s="1651">
        <v>11</v>
      </c>
    </row>
    <row s="1651" customFormat="1" customHeight="1" ht="11.549999999999999">
      <c r="A117" s="997"/>
      <c r="B117" s="997"/>
      <c r="C117" s="997"/>
      <c r="D117" s="997"/>
      <c r="E117" s="997"/>
      <c r="F117" s="1646"/>
      <c r="G117" s="1646"/>
      <c r="H117" s="361"/>
      <c r="N117" s="1651"/>
      <c r="O117" s="1651"/>
      <c r="P117" s="1651"/>
      <c r="Q117" s="1376"/>
      <c r="S117" s="1376"/>
      <c r="T117" s="1646"/>
      <c r="U117" s="1646"/>
      <c r="V117" s="1376"/>
      <c r="W117" s="1376"/>
      <c r="X117" s="1376"/>
      <c r="Y117" s="1376"/>
      <c r="Z117" s="1646"/>
      <c r="AA117" s="1376"/>
      <c r="AB117" s="1376"/>
      <c r="AC117" s="554"/>
      <c r="AD117" s="1376"/>
      <c r="AE117" s="1376"/>
      <c r="AF117" s="1376"/>
      <c r="AG117" s="1376"/>
      <c r="AH117" s="1376"/>
      <c r="AI117" s="1642"/>
      <c r="AJ117" s="632"/>
      <c r="AK117" s="632"/>
      <c r="AL117" s="632"/>
      <c r="AM117" s="632"/>
      <c r="AN117" s="1651">
        <v>11</v>
      </c>
    </row>
    <row s="1651" customFormat="1" customHeight="1" ht="11.549999999999999">
      <c r="A118" s="997"/>
      <c r="B118" s="997"/>
      <c r="C118" s="997"/>
      <c r="D118" s="997"/>
      <c r="E118" s="997"/>
      <c r="F118" s="1646"/>
      <c r="G118" s="1646"/>
      <c r="H118" s="361"/>
      <c r="N118" s="1651"/>
      <c r="O118" s="1651"/>
      <c r="P118" s="1651"/>
      <c r="Q118" s="1376"/>
      <c r="S118" s="1376"/>
      <c r="T118" s="1646"/>
      <c r="U118" s="1646"/>
      <c r="V118" s="1376"/>
      <c r="W118" s="1376"/>
      <c r="X118" s="1376"/>
      <c r="Y118" s="1376"/>
      <c r="Z118" s="1646"/>
      <c r="AA118" s="1376"/>
      <c r="AB118" s="1376"/>
      <c r="AC118" s="554"/>
      <c r="AD118" s="1376"/>
      <c r="AE118" s="1376"/>
      <c r="AF118" s="1376"/>
      <c r="AG118" s="1376"/>
      <c r="AH118" s="1376"/>
      <c r="AI118" s="1642"/>
      <c r="AJ118" s="632"/>
      <c r="AK118" s="632"/>
      <c r="AL118" s="632"/>
      <c r="AM118" s="632"/>
      <c r="AN118" s="1651">
        <v>11</v>
      </c>
    </row>
    <row s="1651" customFormat="1" customHeight="1" ht="11.549999999999999">
      <c r="A119" s="997"/>
      <c r="B119" s="997"/>
      <c r="C119" s="997"/>
      <c r="D119" s="997"/>
      <c r="E119" s="997"/>
      <c r="F119" s="1646"/>
      <c r="G119" s="1646"/>
      <c r="H119" s="361"/>
      <c r="N119" s="1651"/>
      <c r="O119" s="1651"/>
      <c r="P119" s="1651"/>
      <c r="Q119" s="1376"/>
      <c r="S119" s="1376"/>
      <c r="T119" s="1646"/>
      <c r="U119" s="1646"/>
      <c r="V119" s="1376"/>
      <c r="W119" s="1376"/>
      <c r="X119" s="1376"/>
      <c r="Y119" s="1376"/>
      <c r="Z119" s="1646"/>
      <c r="AA119" s="1376"/>
      <c r="AB119" s="1376"/>
      <c r="AC119" s="554"/>
      <c r="AD119" s="1376"/>
      <c r="AE119" s="1376"/>
      <c r="AF119" s="1376"/>
      <c r="AG119" s="1376"/>
      <c r="AH119" s="1376"/>
      <c r="AI119" s="1642"/>
      <c r="AJ119" s="632"/>
      <c r="AK119" s="632"/>
      <c r="AL119" s="632"/>
      <c r="AM119" s="632"/>
      <c r="AN119" s="1651">
        <v>11</v>
      </c>
    </row>
    <row s="1651" customFormat="1" customHeight="1" ht="11.549999999999999">
      <c r="A120" s="997"/>
      <c r="B120" s="997"/>
      <c r="C120" s="997"/>
      <c r="D120" s="997"/>
      <c r="E120" s="997"/>
      <c r="F120" s="1646"/>
      <c r="G120" s="1646"/>
      <c r="H120" s="361"/>
      <c r="N120" s="1651"/>
      <c r="O120" s="1651"/>
      <c r="P120" s="1651"/>
      <c r="Q120" s="1376"/>
      <c r="S120" s="1376"/>
      <c r="T120" s="1646"/>
      <c r="U120" s="1646"/>
      <c r="V120" s="1376"/>
      <c r="W120" s="1376"/>
      <c r="X120" s="1376"/>
      <c r="Y120" s="1376"/>
      <c r="Z120" s="1646"/>
      <c r="AA120" s="1376"/>
      <c r="AB120" s="1376"/>
      <c r="AC120" s="554"/>
      <c r="AD120" s="1376"/>
      <c r="AE120" s="1376"/>
      <c r="AF120" s="1376"/>
      <c r="AG120" s="1376"/>
      <c r="AH120" s="1376"/>
      <c r="AI120" s="1642"/>
      <c r="AJ120" s="632"/>
      <c r="AK120" s="632"/>
      <c r="AL120" s="632"/>
      <c r="AM120" s="632"/>
      <c r="AN120" s="1651">
        <v>11</v>
      </c>
    </row>
    <row s="1651" customFormat="1" customHeight="1" ht="11.549999999999999">
      <c r="A121" s="997"/>
      <c r="B121" s="997"/>
      <c r="C121" s="997"/>
      <c r="D121" s="997"/>
      <c r="E121" s="997"/>
      <c r="F121" s="1646"/>
      <c r="G121" s="1646"/>
      <c r="H121" s="361"/>
      <c r="N121" s="1651"/>
      <c r="O121" s="1651"/>
      <c r="P121" s="1651"/>
      <c r="Q121" s="1376"/>
      <c r="S121" s="1376"/>
      <c r="T121" s="1646"/>
      <c r="U121" s="1646"/>
      <c r="V121" s="1376"/>
      <c r="W121" s="1376"/>
      <c r="X121" s="1376"/>
      <c r="Y121" s="1376"/>
      <c r="Z121" s="1646"/>
      <c r="AA121" s="1376"/>
      <c r="AB121" s="1376"/>
      <c r="AC121" s="554"/>
      <c r="AD121" s="1376"/>
      <c r="AE121" s="1376"/>
      <c r="AF121" s="1376"/>
      <c r="AG121" s="1376"/>
      <c r="AH121" s="1376"/>
      <c r="AI121" s="1642"/>
      <c r="AJ121" s="632"/>
      <c r="AK121" s="632"/>
      <c r="AL121" s="632"/>
      <c r="AM121" s="632"/>
      <c r="AN121" s="1651">
        <v>11</v>
      </c>
    </row>
    <row s="1651" customFormat="1" customHeight="1" ht="11.549999999999999">
      <c r="A122" s="997"/>
      <c r="B122" s="997"/>
      <c r="C122" s="997"/>
      <c r="D122" s="997"/>
      <c r="E122" s="997"/>
      <c r="F122" s="1646"/>
      <c r="G122" s="1646"/>
      <c r="H122" s="361"/>
      <c r="N122" s="1651"/>
      <c r="O122" s="1651"/>
      <c r="P122" s="1651"/>
      <c r="Q122" s="1376"/>
      <c r="S122" s="1376"/>
      <c r="T122" s="1646"/>
      <c r="U122" s="1646"/>
      <c r="V122" s="1376"/>
      <c r="W122" s="1376"/>
      <c r="X122" s="1376"/>
      <c r="Y122" s="1376"/>
      <c r="Z122" s="1646"/>
      <c r="AA122" s="1376"/>
      <c r="AB122" s="1376"/>
      <c r="AC122" s="554"/>
      <c r="AD122" s="1376"/>
      <c r="AE122" s="1376"/>
      <c r="AF122" s="1376"/>
      <c r="AG122" s="1376"/>
      <c r="AH122" s="1376"/>
      <c r="AI122" s="1642"/>
      <c r="AJ122" s="632"/>
      <c r="AK122" s="632"/>
      <c r="AL122" s="632"/>
      <c r="AM122" s="632"/>
      <c r="AN122" s="1651">
        <v>11</v>
      </c>
    </row>
    <row s="1651" customFormat="1" customHeight="1" ht="11.549999999999999">
      <c r="A123" s="997"/>
      <c r="B123" s="997"/>
      <c r="C123" s="997"/>
      <c r="D123" s="997"/>
      <c r="E123" s="997"/>
      <c r="F123" s="1646"/>
      <c r="G123" s="1646"/>
      <c r="H123" s="361"/>
      <c r="N123" s="1651"/>
      <c r="O123" s="1651"/>
      <c r="P123" s="1651"/>
      <c r="Q123" s="1376"/>
      <c r="S123" s="1376"/>
      <c r="T123" s="1646"/>
      <c r="U123" s="1646"/>
      <c r="V123" s="1376"/>
      <c r="W123" s="1376"/>
      <c r="X123" s="1376"/>
      <c r="Y123" s="1376"/>
      <c r="Z123" s="1646"/>
      <c r="AA123" s="1376"/>
      <c r="AB123" s="1376"/>
      <c r="AC123" s="554"/>
      <c r="AD123" s="1376"/>
      <c r="AE123" s="1376"/>
      <c r="AF123" s="1376"/>
      <c r="AG123" s="1376"/>
      <c r="AH123" s="1376"/>
      <c r="AI123" s="1642"/>
      <c r="AJ123" s="632"/>
      <c r="AK123" s="632"/>
      <c r="AL123" s="632"/>
      <c r="AM123" s="632"/>
      <c r="AN123" s="1651">
        <v>11</v>
      </c>
    </row>
    <row s="1651" customFormat="1" customHeight="1" ht="11.549999999999999">
      <c r="A124" s="997"/>
      <c r="B124" s="997"/>
      <c r="C124" s="997"/>
      <c r="D124" s="997"/>
      <c r="E124" s="997"/>
      <c r="F124" s="1646"/>
      <c r="G124" s="1646"/>
      <c r="H124" s="361"/>
      <c r="N124" s="1651"/>
      <c r="O124" s="1651"/>
      <c r="P124" s="1651"/>
      <c r="Q124" s="1376"/>
      <c r="S124" s="1376"/>
      <c r="T124" s="1646"/>
      <c r="U124" s="1646"/>
      <c r="V124" s="1376"/>
      <c r="W124" s="1376"/>
      <c r="X124" s="1376"/>
      <c r="Y124" s="1376"/>
      <c r="Z124" s="1646"/>
      <c r="AA124" s="1376"/>
      <c r="AB124" s="1376"/>
      <c r="AC124" s="554"/>
      <c r="AD124" s="1376"/>
      <c r="AE124" s="1376"/>
      <c r="AF124" s="1376"/>
      <c r="AG124" s="1376"/>
      <c r="AH124" s="1376"/>
      <c r="AI124" s="1642"/>
      <c r="AJ124" s="632"/>
      <c r="AK124" s="632"/>
      <c r="AL124" s="632"/>
      <c r="AM124" s="632"/>
      <c r="AN124" s="1651">
        <v>11</v>
      </c>
    </row>
    <row s="1651" customFormat="1" customHeight="1" ht="11.549999999999999">
      <c r="A125" s="997"/>
      <c r="B125" s="997"/>
      <c r="C125" s="997"/>
      <c r="D125" s="997"/>
      <c r="E125" s="997"/>
      <c r="F125" s="1646"/>
      <c r="G125" s="1646"/>
      <c r="H125" s="361"/>
      <c r="N125" s="1651"/>
      <c r="O125" s="1651"/>
      <c r="P125" s="1651"/>
      <c r="Q125" s="1376"/>
      <c r="S125" s="1376"/>
      <c r="T125" s="1646"/>
      <c r="U125" s="1646"/>
      <c r="V125" s="1376"/>
      <c r="W125" s="1376"/>
      <c r="X125" s="1376"/>
      <c r="Y125" s="1376"/>
      <c r="Z125" s="1646"/>
      <c r="AA125" s="1376"/>
      <c r="AB125" s="1376"/>
      <c r="AC125" s="554"/>
      <c r="AD125" s="1376"/>
      <c r="AE125" s="1376"/>
      <c r="AF125" s="1376"/>
      <c r="AG125" s="1376"/>
      <c r="AH125" s="1376"/>
      <c r="AI125" s="1642"/>
      <c r="AJ125" s="632"/>
      <c r="AK125" s="632"/>
      <c r="AL125" s="632"/>
      <c r="AM125" s="632"/>
      <c r="AN125" s="1651">
        <v>11</v>
      </c>
    </row>
    <row s="1651" customFormat="1" customHeight="1" ht="11.549999999999999">
      <c r="A126" s="997"/>
      <c r="B126" s="997"/>
      <c r="C126" s="997"/>
      <c r="D126" s="997"/>
      <c r="E126" s="997"/>
      <c r="F126" s="1646"/>
      <c r="G126" s="1646"/>
      <c r="H126" s="361"/>
      <c r="N126" s="1651"/>
      <c r="O126" s="1651"/>
      <c r="P126" s="1651"/>
      <c r="Q126" s="1376"/>
      <c r="S126" s="1376"/>
      <c r="T126" s="1646"/>
      <c r="U126" s="1646"/>
      <c r="V126" s="1376"/>
      <c r="W126" s="1376"/>
      <c r="X126" s="1376"/>
      <c r="Y126" s="1376"/>
      <c r="Z126" s="1646"/>
      <c r="AA126" s="1376"/>
      <c r="AB126" s="1376"/>
      <c r="AC126" s="554"/>
      <c r="AD126" s="1376"/>
      <c r="AE126" s="1376"/>
      <c r="AF126" s="1376"/>
      <c r="AG126" s="1376"/>
      <c r="AH126" s="1376"/>
      <c r="AI126" s="1642"/>
      <c r="AJ126" s="632"/>
      <c r="AK126" s="632"/>
      <c r="AL126" s="632"/>
      <c r="AM126" s="632"/>
      <c r="AN126" s="1651">
        <v>11</v>
      </c>
    </row>
    <row s="1651" customFormat="1" customHeight="1" ht="11.549999999999999">
      <c r="A127" s="997"/>
      <c r="B127" s="997"/>
      <c r="C127" s="997"/>
      <c r="D127" s="997"/>
      <c r="E127" s="997"/>
      <c r="F127" s="1646"/>
      <c r="G127" s="1646"/>
      <c r="H127" s="361"/>
      <c r="N127" s="1651"/>
      <c r="O127" s="1651"/>
      <c r="P127" s="1651"/>
      <c r="Q127" s="1376"/>
      <c r="S127" s="1376"/>
      <c r="T127" s="1646"/>
      <c r="U127" s="1646"/>
      <c r="V127" s="1376"/>
      <c r="W127" s="1376"/>
      <c r="X127" s="1376"/>
      <c r="Y127" s="1376"/>
      <c r="Z127" s="1646"/>
      <c r="AA127" s="1376"/>
      <c r="AB127" s="1376"/>
      <c r="AC127" s="554"/>
      <c r="AD127" s="1376"/>
      <c r="AE127" s="1376"/>
      <c r="AF127" s="1376"/>
      <c r="AG127" s="1376"/>
      <c r="AH127" s="1376"/>
      <c r="AI127" s="1642"/>
      <c r="AJ127" s="632"/>
      <c r="AK127" s="632"/>
      <c r="AL127" s="632"/>
      <c r="AM127" s="632"/>
      <c r="AN127" s="1651">
        <v>11</v>
      </c>
    </row>
    <row s="1651" customFormat="1" customHeight="1" ht="11.549999999999999">
      <c r="A128" s="997"/>
      <c r="B128" s="997"/>
      <c r="C128" s="997"/>
      <c r="D128" s="997"/>
      <c r="E128" s="997"/>
      <c r="F128" s="1646"/>
      <c r="G128" s="1646"/>
      <c r="H128" s="361"/>
      <c r="N128" s="1651"/>
      <c r="O128" s="1651"/>
      <c r="P128" s="1651"/>
      <c r="Q128" s="1376"/>
      <c r="S128" s="1376"/>
      <c r="T128" s="1646"/>
      <c r="U128" s="1646"/>
      <c r="V128" s="1376"/>
      <c r="W128" s="1376"/>
      <c r="X128" s="1376"/>
      <c r="Y128" s="1376"/>
      <c r="Z128" s="1646"/>
      <c r="AA128" s="1376"/>
      <c r="AB128" s="1376"/>
      <c r="AC128" s="554"/>
      <c r="AD128" s="1376"/>
      <c r="AE128" s="1376"/>
      <c r="AF128" s="1376"/>
      <c r="AG128" s="1376"/>
      <c r="AH128" s="1376"/>
      <c r="AI128" s="1642"/>
      <c r="AJ128" s="632"/>
      <c r="AK128" s="632"/>
      <c r="AL128" s="632"/>
      <c r="AM128" s="632"/>
      <c r="AN128" s="1651">
        <v>11</v>
      </c>
    </row>
    <row s="1651" customFormat="1" customHeight="1" ht="11.549999999999999">
      <c r="A129" s="997"/>
      <c r="B129" s="997"/>
      <c r="C129" s="997"/>
      <c r="D129" s="997"/>
      <c r="E129" s="997"/>
      <c r="F129" s="1646"/>
      <c r="G129" s="1646"/>
      <c r="H129" s="361"/>
      <c r="N129" s="1651"/>
      <c r="O129" s="1651"/>
      <c r="P129" s="1651"/>
      <c r="Q129" s="1376"/>
      <c r="S129" s="1376"/>
      <c r="T129" s="1646"/>
      <c r="U129" s="1646"/>
      <c r="V129" s="1376"/>
      <c r="W129" s="1376"/>
      <c r="X129" s="1376"/>
      <c r="Y129" s="1376"/>
      <c r="Z129" s="1646"/>
      <c r="AA129" s="1376"/>
      <c r="AB129" s="1376"/>
      <c r="AC129" s="554"/>
      <c r="AD129" s="1376"/>
      <c r="AE129" s="1376"/>
      <c r="AF129" s="1376"/>
      <c r="AG129" s="1376"/>
      <c r="AH129" s="1376"/>
      <c r="AI129" s="1642"/>
      <c r="AJ129" s="632"/>
      <c r="AK129" s="632"/>
      <c r="AL129" s="632"/>
      <c r="AM129" s="632"/>
      <c r="AN129" s="1651">
        <v>11</v>
      </c>
    </row>
    <row s="1651" customFormat="1" customHeight="1" ht="11.549999999999999">
      <c r="A130" s="997"/>
      <c r="B130" s="997"/>
      <c r="C130" s="997"/>
      <c r="D130" s="997"/>
      <c r="E130" s="997"/>
      <c r="F130" s="1646"/>
      <c r="G130" s="1646"/>
      <c r="H130" s="361"/>
      <c r="N130" s="1651"/>
      <c r="O130" s="1651"/>
      <c r="P130" s="1651"/>
      <c r="Q130" s="1376"/>
      <c r="S130" s="1376"/>
      <c r="T130" s="1646"/>
      <c r="U130" s="1646"/>
      <c r="V130" s="1376"/>
      <c r="W130" s="1376"/>
      <c r="X130" s="1376"/>
      <c r="Y130" s="1376"/>
      <c r="Z130" s="1646"/>
      <c r="AA130" s="1376"/>
      <c r="AB130" s="1376"/>
      <c r="AC130" s="554"/>
      <c r="AD130" s="1376"/>
      <c r="AE130" s="1376"/>
      <c r="AF130" s="1376"/>
      <c r="AG130" s="1376"/>
      <c r="AH130" s="1376"/>
      <c r="AI130" s="1642"/>
      <c r="AJ130" s="632"/>
      <c r="AK130" s="632"/>
      <c r="AL130" s="632"/>
      <c r="AM130" s="632"/>
      <c r="AN130" s="1651">
        <v>11</v>
      </c>
    </row>
    <row s="1651" customFormat="1" customHeight="1" ht="11.549999999999999">
      <c r="A131" s="997"/>
      <c r="B131" s="997"/>
      <c r="C131" s="997"/>
      <c r="D131" s="997"/>
      <c r="E131" s="997"/>
      <c r="F131" s="1646"/>
      <c r="G131" s="1646"/>
      <c r="H131" s="361"/>
      <c r="N131" s="1651"/>
      <c r="O131" s="1651"/>
      <c r="P131" s="1651"/>
      <c r="Q131" s="1376"/>
      <c r="S131" s="1376"/>
      <c r="T131" s="1646"/>
      <c r="U131" s="1646"/>
      <c r="V131" s="1376"/>
      <c r="W131" s="1376"/>
      <c r="X131" s="1376"/>
      <c r="Y131" s="1376"/>
      <c r="Z131" s="1646"/>
      <c r="AA131" s="1376"/>
      <c r="AB131" s="1376"/>
      <c r="AC131" s="554"/>
      <c r="AD131" s="1376"/>
      <c r="AE131" s="1376"/>
      <c r="AF131" s="1376"/>
      <c r="AG131" s="1376"/>
      <c r="AH131" s="1376"/>
      <c r="AI131" s="1642"/>
      <c r="AJ131" s="632"/>
      <c r="AK131" s="632"/>
      <c r="AL131" s="632"/>
      <c r="AM131" s="632"/>
      <c r="AN131" s="1651">
        <v>11</v>
      </c>
    </row>
    <row s="1651" customFormat="1" customHeight="1" ht="11.549999999999999">
      <c r="A132" s="997"/>
      <c r="B132" s="997"/>
      <c r="C132" s="997"/>
      <c r="D132" s="997"/>
      <c r="E132" s="997"/>
      <c r="F132" s="1646"/>
      <c r="G132" s="1646"/>
      <c r="H132" s="361"/>
      <c r="N132" s="1651"/>
      <c r="O132" s="1651"/>
      <c r="P132" s="1651"/>
      <c r="Q132" s="1376"/>
      <c r="S132" s="1376"/>
      <c r="T132" s="1646"/>
      <c r="U132" s="1646"/>
      <c r="V132" s="1376"/>
      <c r="W132" s="1376"/>
      <c r="X132" s="1376"/>
      <c r="Y132" s="1376"/>
      <c r="Z132" s="1646"/>
      <c r="AA132" s="1376"/>
      <c r="AB132" s="1376"/>
      <c r="AC132" s="554"/>
      <c r="AD132" s="1376"/>
      <c r="AE132" s="1376"/>
      <c r="AF132" s="1376"/>
      <c r="AG132" s="1376"/>
      <c r="AH132" s="1376"/>
      <c r="AI132" s="1642"/>
      <c r="AJ132" s="632"/>
      <c r="AK132" s="632"/>
      <c r="AL132" s="632"/>
      <c r="AM132" s="632"/>
      <c r="AN132" s="1651">
        <v>11</v>
      </c>
    </row>
    <row s="1651" customFormat="1" customHeight="1" ht="11.549999999999999">
      <c r="A133" s="997"/>
      <c r="B133" s="997"/>
      <c r="C133" s="997"/>
      <c r="D133" s="997"/>
      <c r="E133" s="997"/>
      <c r="F133" s="1646"/>
      <c r="G133" s="1646"/>
      <c r="H133" s="361"/>
      <c r="N133" s="1651"/>
      <c r="O133" s="1651"/>
      <c r="P133" s="1651"/>
      <c r="Q133" s="1376"/>
      <c r="S133" s="1376"/>
      <c r="T133" s="1646"/>
      <c r="U133" s="1646"/>
      <c r="V133" s="1376"/>
      <c r="W133" s="1376"/>
      <c r="X133" s="1376"/>
      <c r="Y133" s="1376"/>
      <c r="Z133" s="1646"/>
      <c r="AA133" s="1376"/>
      <c r="AB133" s="1376"/>
      <c r="AC133" s="554"/>
      <c r="AD133" s="1376"/>
      <c r="AE133" s="1376"/>
      <c r="AF133" s="1376"/>
      <c r="AG133" s="1376"/>
      <c r="AH133" s="1376"/>
      <c r="AI133" s="1642"/>
      <c r="AJ133" s="632"/>
      <c r="AK133" s="632"/>
      <c r="AL133" s="632"/>
      <c r="AM133" s="632"/>
      <c r="AN133" s="1651">
        <v>11</v>
      </c>
    </row>
    <row s="1651" customFormat="1" customHeight="1" ht="11.549999999999999">
      <c r="A134" s="997"/>
      <c r="B134" s="997"/>
      <c r="C134" s="997"/>
      <c r="D134" s="997"/>
      <c r="E134" s="997"/>
      <c r="F134" s="1646"/>
      <c r="G134" s="1646"/>
      <c r="H134" s="361"/>
      <c r="N134" s="1651"/>
      <c r="O134" s="1651"/>
      <c r="P134" s="1651"/>
      <c r="Q134" s="1376"/>
      <c r="S134" s="1376"/>
      <c r="T134" s="1646"/>
      <c r="U134" s="1646"/>
      <c r="V134" s="1376"/>
      <c r="W134" s="1376"/>
      <c r="X134" s="1376"/>
      <c r="Y134" s="1376"/>
      <c r="Z134" s="1646"/>
      <c r="AA134" s="1376"/>
      <c r="AB134" s="1376"/>
      <c r="AC134" s="554"/>
      <c r="AD134" s="1376"/>
      <c r="AE134" s="1376"/>
      <c r="AF134" s="1376"/>
      <c r="AG134" s="1376"/>
      <c r="AH134" s="1376"/>
      <c r="AI134" s="1642"/>
      <c r="AJ134" s="632"/>
      <c r="AK134" s="632"/>
      <c r="AL134" s="632"/>
      <c r="AM134" s="632"/>
      <c r="AN134" s="1651">
        <v>11</v>
      </c>
    </row>
    <row s="1651" customFormat="1" customHeight="1" ht="11.549999999999999">
      <c r="A135" s="997"/>
      <c r="B135" s="997"/>
      <c r="C135" s="997"/>
      <c r="D135" s="997"/>
      <c r="E135" s="997"/>
      <c r="F135" s="1646"/>
      <c r="G135" s="1646"/>
      <c r="H135" s="361"/>
      <c r="N135" s="1651"/>
      <c r="O135" s="1651"/>
      <c r="P135" s="1651"/>
      <c r="Q135" s="1376"/>
      <c r="S135" s="1376"/>
      <c r="T135" s="1646"/>
      <c r="U135" s="1646"/>
      <c r="V135" s="1376"/>
      <c r="W135" s="1376"/>
      <c r="X135" s="1376"/>
      <c r="Y135" s="1376"/>
      <c r="Z135" s="1646"/>
      <c r="AA135" s="1376"/>
      <c r="AB135" s="1376"/>
      <c r="AC135" s="554"/>
      <c r="AD135" s="1376"/>
      <c r="AE135" s="1376"/>
      <c r="AF135" s="1376"/>
      <c r="AG135" s="1376"/>
      <c r="AH135" s="1376"/>
      <c r="AI135" s="1642"/>
      <c r="AJ135" s="632"/>
      <c r="AK135" s="632"/>
      <c r="AL135" s="632"/>
      <c r="AM135" s="632"/>
      <c r="AN135" s="1651">
        <v>11</v>
      </c>
    </row>
    <row s="1651" customFormat="1" customHeight="1" ht="11.549999999999999">
      <c r="A136" s="997"/>
      <c r="B136" s="997"/>
      <c r="C136" s="997"/>
      <c r="D136" s="997"/>
      <c r="E136" s="997"/>
      <c r="F136" s="1646"/>
      <c r="G136" s="1646"/>
      <c r="H136" s="361"/>
      <c r="N136" s="1651"/>
      <c r="O136" s="1651"/>
      <c r="P136" s="1651"/>
      <c r="Q136" s="1376"/>
      <c r="S136" s="1376"/>
      <c r="T136" s="1646"/>
      <c r="U136" s="1646"/>
      <c r="V136" s="1376"/>
      <c r="W136" s="1376"/>
      <c r="X136" s="1376"/>
      <c r="Y136" s="1376"/>
      <c r="Z136" s="1646"/>
      <c r="AA136" s="1376"/>
      <c r="AB136" s="1376"/>
      <c r="AC136" s="554"/>
      <c r="AD136" s="1376"/>
      <c r="AE136" s="1376"/>
      <c r="AF136" s="1376"/>
      <c r="AG136" s="1376"/>
      <c r="AH136" s="1376"/>
      <c r="AI136" s="1642"/>
      <c r="AJ136" s="632"/>
      <c r="AK136" s="632"/>
      <c r="AL136" s="632"/>
      <c r="AM136" s="632"/>
      <c r="AN136" s="1651">
        <v>11</v>
      </c>
    </row>
    <row s="1651" customFormat="1" customHeight="1" ht="11.549999999999999">
      <c r="A137" s="997"/>
      <c r="B137" s="997"/>
      <c r="C137" s="997"/>
      <c r="D137" s="997"/>
      <c r="E137" s="997"/>
      <c r="F137" s="1646"/>
      <c r="G137" s="1646"/>
      <c r="H137" s="361"/>
      <c r="N137" s="1651"/>
      <c r="O137" s="1651"/>
      <c r="P137" s="1651"/>
      <c r="Q137" s="1376"/>
      <c r="S137" s="1376"/>
      <c r="T137" s="1646"/>
      <c r="U137" s="1646"/>
      <c r="V137" s="1376"/>
      <c r="W137" s="1376"/>
      <c r="X137" s="1376"/>
      <c r="Y137" s="1376"/>
      <c r="Z137" s="1646"/>
      <c r="AA137" s="1376"/>
      <c r="AB137" s="1376"/>
      <c r="AC137" s="554"/>
      <c r="AD137" s="1376"/>
      <c r="AE137" s="1376"/>
      <c r="AF137" s="1376"/>
      <c r="AG137" s="1376"/>
      <c r="AH137" s="1376"/>
      <c r="AI137" s="1642"/>
      <c r="AJ137" s="632"/>
      <c r="AK137" s="632"/>
      <c r="AL137" s="632"/>
      <c r="AM137" s="632"/>
      <c r="AN137" s="1651">
        <v>11</v>
      </c>
    </row>
    <row s="1651" customFormat="1" customHeight="1" ht="11.549999999999999">
      <c r="A138" s="997"/>
      <c r="B138" s="997"/>
      <c r="C138" s="997"/>
      <c r="D138" s="997"/>
      <c r="E138" s="997"/>
      <c r="F138" s="1646"/>
      <c r="G138" s="1646"/>
      <c r="H138" s="361"/>
      <c r="N138" s="1651"/>
      <c r="O138" s="1651"/>
      <c r="P138" s="1651"/>
      <c r="Q138" s="1376"/>
      <c r="S138" s="1376"/>
      <c r="T138" s="1646"/>
      <c r="U138" s="1646"/>
      <c r="V138" s="1376"/>
      <c r="W138" s="1376"/>
      <c r="X138" s="1376"/>
      <c r="Y138" s="1376"/>
      <c r="Z138" s="1646"/>
      <c r="AA138" s="1376"/>
      <c r="AB138" s="1376"/>
      <c r="AC138" s="554"/>
      <c r="AD138" s="1376"/>
      <c r="AE138" s="1376"/>
      <c r="AF138" s="1376"/>
      <c r="AG138" s="1376"/>
      <c r="AH138" s="1376"/>
      <c r="AI138" s="1642"/>
      <c r="AJ138" s="632"/>
      <c r="AK138" s="632"/>
      <c r="AL138" s="632"/>
      <c r="AM138" s="632"/>
      <c r="AN138" s="1651">
        <v>11</v>
      </c>
    </row>
    <row s="1651" customFormat="1" customHeight="1" ht="11.549999999999999">
      <c r="A139" s="997"/>
      <c r="B139" s="997"/>
      <c r="C139" s="997"/>
      <c r="D139" s="997"/>
      <c r="E139" s="997"/>
      <c r="F139" s="1646"/>
      <c r="G139" s="1646"/>
      <c r="H139" s="361"/>
      <c r="N139" s="1651"/>
      <c r="O139" s="1651"/>
      <c r="P139" s="1651"/>
      <c r="Q139" s="1376"/>
      <c r="S139" s="1376"/>
      <c r="T139" s="1646"/>
      <c r="U139" s="1646"/>
      <c r="V139" s="1376"/>
      <c r="W139" s="1376"/>
      <c r="X139" s="1376"/>
      <c r="Y139" s="1376"/>
      <c r="Z139" s="1646"/>
      <c r="AA139" s="1376"/>
      <c r="AB139" s="1376"/>
      <c r="AC139" s="554"/>
      <c r="AD139" s="1376"/>
      <c r="AE139" s="1376"/>
      <c r="AF139" s="1376"/>
      <c r="AG139" s="1376"/>
      <c r="AH139" s="1376"/>
      <c r="AI139" s="1642"/>
      <c r="AJ139" s="632"/>
      <c r="AK139" s="632"/>
      <c r="AL139" s="632"/>
      <c r="AM139" s="632"/>
      <c r="AN139" s="1651">
        <v>11</v>
      </c>
    </row>
    <row s="1651" customFormat="1" customHeight="1" ht="11.549999999999999">
      <c r="A140" s="997"/>
      <c r="B140" s="997"/>
      <c r="C140" s="997"/>
      <c r="D140" s="997"/>
      <c r="E140" s="997"/>
      <c r="F140" s="1646"/>
      <c r="G140" s="1646"/>
      <c r="H140" s="361"/>
      <c r="N140" s="1651"/>
      <c r="O140" s="1651"/>
      <c r="P140" s="1651"/>
      <c r="Q140" s="1376"/>
      <c r="S140" s="1376"/>
      <c r="T140" s="1646"/>
      <c r="U140" s="1646"/>
      <c r="V140" s="1376"/>
      <c r="W140" s="1376"/>
      <c r="X140" s="1376"/>
      <c r="Y140" s="1376"/>
      <c r="Z140" s="1646"/>
      <c r="AA140" s="1376"/>
      <c r="AB140" s="1376"/>
      <c r="AC140" s="554"/>
      <c r="AD140" s="1376"/>
      <c r="AE140" s="1376"/>
      <c r="AF140" s="1376"/>
      <c r="AG140" s="1376"/>
      <c r="AH140" s="1376"/>
      <c r="AI140" s="1642"/>
      <c r="AJ140" s="632"/>
      <c r="AK140" s="632"/>
      <c r="AL140" s="632"/>
      <c r="AM140" s="632"/>
      <c r="AN140" s="1651">
        <v>11</v>
      </c>
    </row>
    <row s="1651" customFormat="1" customHeight="1" ht="11.549999999999999">
      <c r="A141" s="997"/>
      <c r="B141" s="997"/>
      <c r="C141" s="997"/>
      <c r="D141" s="997"/>
      <c r="E141" s="997"/>
      <c r="F141" s="1646"/>
      <c r="G141" s="1646"/>
      <c r="H141" s="361"/>
      <c r="N141" s="1651"/>
      <c r="O141" s="1651"/>
      <c r="P141" s="1651"/>
      <c r="Q141" s="1376"/>
      <c r="S141" s="1376"/>
      <c r="T141" s="1646"/>
      <c r="U141" s="1646"/>
      <c r="V141" s="1376"/>
      <c r="W141" s="1376"/>
      <c r="X141" s="1376"/>
      <c r="Y141" s="1376"/>
      <c r="Z141" s="1646"/>
      <c r="AA141" s="1376"/>
      <c r="AB141" s="1376"/>
      <c r="AC141" s="554"/>
      <c r="AD141" s="1376"/>
      <c r="AE141" s="1376"/>
      <c r="AF141" s="1376"/>
      <c r="AG141" s="1376"/>
      <c r="AH141" s="1376"/>
      <c r="AI141" s="1642"/>
      <c r="AJ141" s="632"/>
      <c r="AK141" s="632"/>
      <c r="AL141" s="632"/>
      <c r="AM141" s="632"/>
      <c r="AN141" s="1651">
        <v>11</v>
      </c>
    </row>
    <row s="1651" customFormat="1" customHeight="1" ht="11.549999999999999">
      <c r="A142" s="997"/>
      <c r="B142" s="997"/>
      <c r="C142" s="997"/>
      <c r="D142" s="997"/>
      <c r="E142" s="997"/>
      <c r="F142" s="1646"/>
      <c r="G142" s="1646"/>
      <c r="H142" s="361"/>
      <c r="N142" s="1651"/>
      <c r="O142" s="1651"/>
      <c r="P142" s="1651"/>
      <c r="Q142" s="1376"/>
      <c r="S142" s="1376"/>
      <c r="T142" s="1646"/>
      <c r="U142" s="1646"/>
      <c r="V142" s="1376"/>
      <c r="W142" s="1376"/>
      <c r="X142" s="1376"/>
      <c r="Y142" s="1376"/>
      <c r="Z142" s="1646"/>
      <c r="AA142" s="1376"/>
      <c r="AB142" s="1376"/>
      <c r="AC142" s="554"/>
      <c r="AD142" s="1376"/>
      <c r="AE142" s="1376"/>
      <c r="AF142" s="1376"/>
      <c r="AG142" s="1376"/>
      <c r="AH142" s="1376"/>
      <c r="AI142" s="1642"/>
      <c r="AJ142" s="632"/>
      <c r="AK142" s="632"/>
      <c r="AL142" s="632"/>
      <c r="AM142" s="632"/>
      <c r="AN142" s="1651">
        <v>11</v>
      </c>
    </row>
    <row s="1651" customFormat="1" customHeight="1" ht="11.549999999999999">
      <c r="A143" s="997"/>
      <c r="B143" s="997"/>
      <c r="C143" s="997"/>
      <c r="D143" s="997"/>
      <c r="E143" s="997"/>
      <c r="F143" s="1646"/>
      <c r="G143" s="1646"/>
      <c r="H143" s="361"/>
      <c r="N143" s="1651"/>
      <c r="O143" s="1651"/>
      <c r="P143" s="1651"/>
      <c r="Q143" s="1376"/>
      <c r="S143" s="1376"/>
      <c r="T143" s="1646"/>
      <c r="U143" s="1646"/>
      <c r="V143" s="1376"/>
      <c r="W143" s="1376"/>
      <c r="X143" s="1376"/>
      <c r="Y143" s="1376"/>
      <c r="Z143" s="1646"/>
      <c r="AA143" s="1376"/>
      <c r="AB143" s="1376"/>
      <c r="AC143" s="554"/>
      <c r="AD143" s="1376"/>
      <c r="AE143" s="1376"/>
      <c r="AF143" s="1376"/>
      <c r="AG143" s="1376"/>
      <c r="AH143" s="1376"/>
      <c r="AI143" s="1642"/>
      <c r="AJ143" s="632"/>
      <c r="AK143" s="632"/>
      <c r="AL143" s="632"/>
      <c r="AM143" s="632"/>
      <c r="AN143" s="1651">
        <v>11</v>
      </c>
    </row>
    <row s="1651" customFormat="1" customHeight="1" ht="11.549999999999999">
      <c r="A144" s="997"/>
      <c r="B144" s="997"/>
      <c r="C144" s="997"/>
      <c r="D144" s="997"/>
      <c r="E144" s="997"/>
      <c r="F144" s="1646"/>
      <c r="G144" s="1646"/>
      <c r="H144" s="361"/>
      <c r="N144" s="1651"/>
      <c r="O144" s="1651"/>
      <c r="P144" s="1651"/>
      <c r="Q144" s="1376"/>
      <c r="S144" s="1376"/>
      <c r="T144" s="1646"/>
      <c r="U144" s="1646"/>
      <c r="V144" s="1376"/>
      <c r="W144" s="1376"/>
      <c r="X144" s="1376"/>
      <c r="Y144" s="1376"/>
      <c r="Z144" s="1646"/>
      <c r="AA144" s="1376"/>
      <c r="AB144" s="1376"/>
      <c r="AC144" s="554"/>
      <c r="AD144" s="1376"/>
      <c r="AE144" s="1376"/>
      <c r="AF144" s="1376"/>
      <c r="AG144" s="1376"/>
      <c r="AH144" s="1376"/>
      <c r="AI144" s="1642"/>
      <c r="AJ144" s="632"/>
      <c r="AK144" s="632"/>
      <c r="AL144" s="632"/>
      <c r="AM144" s="632"/>
      <c r="AN144" s="1651">
        <v>11</v>
      </c>
    </row>
    <row s="1651" customFormat="1" customHeight="1" ht="11.549999999999999">
      <c r="A145" s="997"/>
      <c r="B145" s="997"/>
      <c r="C145" s="997"/>
      <c r="D145" s="997"/>
      <c r="E145" s="997"/>
      <c r="F145" s="1646"/>
      <c r="G145" s="1646"/>
      <c r="H145" s="361"/>
      <c r="N145" s="1651"/>
      <c r="O145" s="1651"/>
      <c r="P145" s="1651"/>
      <c r="Q145" s="1376"/>
      <c r="S145" s="1376"/>
      <c r="T145" s="1646"/>
      <c r="U145" s="1646"/>
      <c r="V145" s="1376"/>
      <c r="W145" s="1376"/>
      <c r="X145" s="1376"/>
      <c r="Y145" s="1376"/>
      <c r="Z145" s="1646"/>
      <c r="AA145" s="1376"/>
      <c r="AB145" s="1376"/>
      <c r="AC145" s="554"/>
      <c r="AD145" s="1376"/>
      <c r="AE145" s="1376"/>
      <c r="AF145" s="1376"/>
      <c r="AG145" s="1376"/>
      <c r="AH145" s="1376"/>
      <c r="AI145" s="1642"/>
      <c r="AJ145" s="632"/>
      <c r="AK145" s="632"/>
      <c r="AL145" s="632"/>
      <c r="AM145" s="632"/>
      <c r="AN145" s="1651">
        <v>11</v>
      </c>
    </row>
    <row s="1651" customFormat="1" customHeight="1" ht="11.549999999999999">
      <c r="A146" s="997"/>
      <c r="B146" s="997"/>
      <c r="C146" s="997"/>
      <c r="D146" s="997"/>
      <c r="E146" s="997"/>
      <c r="F146" s="1646"/>
      <c r="G146" s="1646"/>
      <c r="H146" s="361"/>
      <c r="N146" s="1651"/>
      <c r="O146" s="1651"/>
      <c r="P146" s="1651"/>
      <c r="Q146" s="1376"/>
      <c r="S146" s="1376"/>
      <c r="T146" s="1646"/>
      <c r="U146" s="1646"/>
      <c r="V146" s="1376"/>
      <c r="W146" s="1376"/>
      <c r="X146" s="1376"/>
      <c r="Y146" s="1376"/>
      <c r="Z146" s="1646"/>
      <c r="AA146" s="1376"/>
      <c r="AB146" s="1376"/>
      <c r="AC146" s="554"/>
      <c r="AD146" s="1376"/>
      <c r="AE146" s="1376"/>
      <c r="AF146" s="1376"/>
      <c r="AG146" s="1376"/>
      <c r="AH146" s="1376"/>
      <c r="AI146" s="1642"/>
      <c r="AJ146" s="632"/>
      <c r="AK146" s="632"/>
      <c r="AL146" s="632"/>
      <c r="AM146" s="632"/>
      <c r="AN146" s="1651">
        <v>11</v>
      </c>
    </row>
    <row s="1651" customFormat="1" customHeight="1" ht="11.549999999999999">
      <c r="A147" s="997"/>
      <c r="B147" s="997"/>
      <c r="C147" s="997"/>
      <c r="D147" s="997"/>
      <c r="E147" s="997"/>
      <c r="F147" s="1646"/>
      <c r="G147" s="1646"/>
      <c r="H147" s="361"/>
      <c r="N147" s="1651"/>
      <c r="O147" s="1651"/>
      <c r="P147" s="1651"/>
      <c r="Q147" s="1376"/>
      <c r="S147" s="1376"/>
      <c r="T147" s="1646"/>
      <c r="U147" s="1646"/>
      <c r="V147" s="1376"/>
      <c r="W147" s="1376"/>
      <c r="X147" s="1376"/>
      <c r="Y147" s="1376"/>
      <c r="Z147" s="1646"/>
      <c r="AA147" s="1376"/>
      <c r="AB147" s="1376"/>
      <c r="AC147" s="554"/>
      <c r="AD147" s="1376"/>
      <c r="AE147" s="1376"/>
      <c r="AF147" s="1376"/>
      <c r="AG147" s="1376"/>
      <c r="AH147" s="1376"/>
      <c r="AI147" s="1642"/>
      <c r="AJ147" s="632"/>
      <c r="AK147" s="632"/>
      <c r="AL147" s="632"/>
      <c r="AM147" s="632"/>
      <c r="AN147" s="1651">
        <v>11</v>
      </c>
    </row>
    <row s="1651" customFormat="1" customHeight="1" ht="11.549999999999999">
      <c r="A148" s="997"/>
      <c r="B148" s="997"/>
      <c r="C148" s="997"/>
      <c r="D148" s="997"/>
      <c r="E148" s="997"/>
      <c r="F148" s="1646"/>
      <c r="G148" s="1646"/>
      <c r="H148" s="361"/>
      <c r="N148" s="1651"/>
      <c r="O148" s="1651"/>
      <c r="P148" s="1651"/>
      <c r="Q148" s="1376"/>
      <c r="S148" s="1376"/>
      <c r="T148" s="1646"/>
      <c r="U148" s="1646"/>
      <c r="V148" s="1376"/>
      <c r="W148" s="1376"/>
      <c r="X148" s="1376"/>
      <c r="Y148" s="1376"/>
      <c r="Z148" s="1646"/>
      <c r="AA148" s="1376"/>
      <c r="AB148" s="1376"/>
      <c r="AC148" s="554"/>
      <c r="AD148" s="1376"/>
      <c r="AE148" s="1376"/>
      <c r="AF148" s="1376"/>
      <c r="AG148" s="1376"/>
      <c r="AH148" s="1376"/>
      <c r="AI148" s="1642"/>
      <c r="AJ148" s="632"/>
      <c r="AK148" s="632"/>
      <c r="AL148" s="632"/>
      <c r="AM148" s="632"/>
      <c r="AN148" s="1651">
        <v>11</v>
      </c>
    </row>
    <row s="1651" customFormat="1" customHeight="1" ht="11.549999999999999">
      <c r="A149" s="997"/>
      <c r="B149" s="997"/>
      <c r="C149" s="997"/>
      <c r="D149" s="997"/>
      <c r="E149" s="997"/>
      <c r="F149" s="1646"/>
      <c r="G149" s="1646"/>
      <c r="H149" s="361"/>
      <c r="N149" s="1651"/>
      <c r="O149" s="1651"/>
      <c r="P149" s="1651"/>
      <c r="Q149" s="1376"/>
      <c r="S149" s="1376"/>
      <c r="T149" s="1646"/>
      <c r="U149" s="1646"/>
      <c r="V149" s="1376"/>
      <c r="W149" s="1376"/>
      <c r="X149" s="1376"/>
      <c r="Y149" s="1376"/>
      <c r="Z149" s="1646"/>
      <c r="AA149" s="1376"/>
      <c r="AB149" s="1376"/>
      <c r="AC149" s="554"/>
      <c r="AD149" s="1376"/>
      <c r="AE149" s="1376"/>
      <c r="AF149" s="1376"/>
      <c r="AG149" s="1376"/>
      <c r="AH149" s="1376"/>
      <c r="AI149" s="1642"/>
      <c r="AJ149" s="632"/>
      <c r="AK149" s="632"/>
      <c r="AL149" s="632"/>
      <c r="AM149" s="632"/>
      <c r="AN149" s="1651">
        <v>11</v>
      </c>
    </row>
    <row s="1651" customFormat="1" customHeight="1" ht="11.549999999999999">
      <c r="A150" s="997"/>
      <c r="B150" s="997"/>
      <c r="C150" s="997"/>
      <c r="D150" s="997"/>
      <c r="E150" s="997"/>
      <c r="F150" s="1646"/>
      <c r="G150" s="1646"/>
      <c r="H150" s="361"/>
      <c r="N150" s="1651"/>
      <c r="O150" s="1651"/>
      <c r="P150" s="1651"/>
      <c r="Q150" s="1376"/>
      <c r="S150" s="1376"/>
      <c r="T150" s="1646"/>
      <c r="U150" s="1646"/>
      <c r="V150" s="1376"/>
      <c r="W150" s="1376"/>
      <c r="X150" s="1376"/>
      <c r="Y150" s="1376"/>
      <c r="Z150" s="1646"/>
      <c r="AA150" s="1376"/>
      <c r="AB150" s="1376"/>
      <c r="AC150" s="554"/>
      <c r="AD150" s="1376"/>
      <c r="AE150" s="1376"/>
      <c r="AF150" s="1376"/>
      <c r="AG150" s="1376"/>
      <c r="AH150" s="1376"/>
      <c r="AI150" s="1642"/>
      <c r="AJ150" s="632"/>
      <c r="AK150" s="632"/>
      <c r="AL150" s="632"/>
      <c r="AM150" s="632"/>
      <c r="AN150" s="1651">
        <v>11</v>
      </c>
    </row>
    <row s="1651" customFormat="1" customHeight="1" ht="11.549999999999999">
      <c r="A151" s="997"/>
      <c r="B151" s="997"/>
      <c r="C151" s="997"/>
      <c r="D151" s="997"/>
      <c r="E151" s="997"/>
      <c r="F151" s="1646"/>
      <c r="G151" s="1646"/>
      <c r="H151" s="361"/>
      <c r="N151" s="1651"/>
      <c r="O151" s="1651"/>
      <c r="P151" s="1651"/>
      <c r="Q151" s="1376"/>
      <c r="S151" s="1376"/>
      <c r="T151" s="1646"/>
      <c r="U151" s="1646"/>
      <c r="V151" s="1376"/>
      <c r="W151" s="1376"/>
      <c r="X151" s="1376"/>
      <c r="Y151" s="1376"/>
      <c r="Z151" s="1646"/>
      <c r="AA151" s="1376"/>
      <c r="AB151" s="1376"/>
      <c r="AC151" s="554"/>
      <c r="AD151" s="1376"/>
      <c r="AE151" s="1376"/>
      <c r="AF151" s="1376"/>
      <c r="AG151" s="1376"/>
      <c r="AH151" s="1376"/>
      <c r="AI151" s="1642"/>
      <c r="AJ151" s="632"/>
      <c r="AK151" s="632"/>
      <c r="AL151" s="632"/>
      <c r="AM151" s="632"/>
      <c r="AN151" s="1651">
        <v>11</v>
      </c>
    </row>
    <row s="1651" customFormat="1" customHeight="1" ht="11.549999999999999">
      <c r="A152" s="997"/>
      <c r="B152" s="997"/>
      <c r="C152" s="997"/>
      <c r="D152" s="997"/>
      <c r="E152" s="997"/>
      <c r="F152" s="1646"/>
      <c r="G152" s="1646"/>
      <c r="H152" s="361"/>
      <c r="N152" s="1651"/>
      <c r="O152" s="1651"/>
      <c r="P152" s="1651"/>
      <c r="Q152" s="1376"/>
      <c r="S152" s="1376"/>
      <c r="T152" s="1646"/>
      <c r="U152" s="1646"/>
      <c r="V152" s="1376"/>
      <c r="W152" s="1376"/>
      <c r="X152" s="1376"/>
      <c r="Y152" s="1376"/>
      <c r="Z152" s="1646"/>
      <c r="AA152" s="1376"/>
      <c r="AB152" s="1376"/>
      <c r="AC152" s="554"/>
      <c r="AD152" s="1376"/>
      <c r="AE152" s="1376"/>
      <c r="AF152" s="1376"/>
      <c r="AG152" s="1376"/>
      <c r="AH152" s="1376"/>
      <c r="AI152" s="1642"/>
      <c r="AJ152" s="632"/>
      <c r="AK152" s="632"/>
      <c r="AL152" s="632"/>
      <c r="AM152" s="632"/>
      <c r="AN152" s="1651">
        <v>11</v>
      </c>
    </row>
    <row s="1651" customFormat="1" customHeight="1" ht="11.549999999999999">
      <c r="A153" s="997"/>
      <c r="B153" s="997"/>
      <c r="C153" s="997"/>
      <c r="D153" s="997"/>
      <c r="E153" s="997"/>
      <c r="F153" s="1646"/>
      <c r="G153" s="1646"/>
      <c r="H153" s="361"/>
      <c r="N153" s="1651"/>
      <c r="O153" s="1651"/>
      <c r="P153" s="1651"/>
      <c r="Q153" s="1376"/>
      <c r="S153" s="1376"/>
      <c r="T153" s="1646"/>
      <c r="U153" s="1646"/>
      <c r="V153" s="1376"/>
      <c r="W153" s="1376"/>
      <c r="X153" s="1376"/>
      <c r="Y153" s="1376"/>
      <c r="Z153" s="1646"/>
      <c r="AA153" s="1376"/>
      <c r="AB153" s="1376"/>
      <c r="AC153" s="554"/>
      <c r="AD153" s="1376"/>
      <c r="AE153" s="1376"/>
      <c r="AF153" s="1376"/>
      <c r="AG153" s="1376"/>
      <c r="AH153" s="1376"/>
      <c r="AI153" s="1642"/>
      <c r="AJ153" s="632"/>
      <c r="AK153" s="632"/>
      <c r="AL153" s="632"/>
      <c r="AM153" s="632"/>
      <c r="AN153" s="1651">
        <v>11</v>
      </c>
    </row>
    <row s="1651" customFormat="1" customHeight="1" ht="11.549999999999999">
      <c r="A154" s="997"/>
      <c r="B154" s="997"/>
      <c r="C154" s="997"/>
      <c r="D154" s="997"/>
      <c r="E154" s="997"/>
      <c r="F154" s="1646"/>
      <c r="G154" s="1646"/>
      <c r="H154" s="361"/>
      <c r="N154" s="1651"/>
      <c r="O154" s="1651"/>
      <c r="P154" s="1651"/>
      <c r="Q154" s="1376"/>
      <c r="S154" s="1376"/>
      <c r="T154" s="1646"/>
      <c r="U154" s="1646"/>
      <c r="V154" s="1376"/>
      <c r="W154" s="1376"/>
      <c r="X154" s="1376"/>
      <c r="Y154" s="1376"/>
      <c r="Z154" s="1646"/>
      <c r="AA154" s="1376"/>
      <c r="AB154" s="1376"/>
      <c r="AC154" s="554"/>
      <c r="AD154" s="1376"/>
      <c r="AE154" s="1376"/>
      <c r="AF154" s="1376"/>
      <c r="AG154" s="1376"/>
      <c r="AH154" s="1376"/>
      <c r="AI154" s="1642"/>
      <c r="AJ154" s="632"/>
      <c r="AK154" s="632"/>
      <c r="AL154" s="632"/>
      <c r="AM154" s="632"/>
      <c r="AN154" s="1651">
        <v>11</v>
      </c>
    </row>
    <row s="1651" customFormat="1" customHeight="1" ht="11.549999999999999">
      <c r="A155" s="997"/>
      <c r="B155" s="997"/>
      <c r="C155" s="997"/>
      <c r="D155" s="997"/>
      <c r="E155" s="997"/>
      <c r="F155" s="1646"/>
      <c r="G155" s="1646"/>
      <c r="H155" s="361"/>
      <c r="N155" s="1651"/>
      <c r="O155" s="1651"/>
      <c r="P155" s="1651"/>
      <c r="Q155" s="1376"/>
      <c r="S155" s="1376"/>
      <c r="T155" s="1646"/>
      <c r="U155" s="1646"/>
      <c r="V155" s="1376"/>
      <c r="W155" s="1376"/>
      <c r="X155" s="1376"/>
      <c r="Y155" s="1376"/>
      <c r="Z155" s="1646"/>
      <c r="AA155" s="1376"/>
      <c r="AB155" s="1376"/>
      <c r="AC155" s="554"/>
      <c r="AD155" s="1376"/>
      <c r="AE155" s="1376"/>
      <c r="AF155" s="1376"/>
      <c r="AG155" s="1376"/>
      <c r="AH155" s="1376"/>
      <c r="AI155" s="1642"/>
      <c r="AJ155" s="632"/>
      <c r="AK155" s="632"/>
      <c r="AL155" s="632"/>
      <c r="AM155" s="632"/>
      <c r="AN155" s="1651">
        <v>11</v>
      </c>
    </row>
    <row s="1651" customFormat="1" customHeight="1" ht="11.549999999999999">
      <c r="A156" s="997"/>
      <c r="B156" s="997"/>
      <c r="C156" s="997"/>
      <c r="D156" s="997"/>
      <c r="E156" s="997"/>
      <c r="F156" s="1646"/>
      <c r="G156" s="1646"/>
      <c r="H156" s="361"/>
      <c r="N156" s="1651"/>
      <c r="O156" s="1651"/>
      <c r="P156" s="1651"/>
      <c r="Q156" s="1376"/>
      <c r="S156" s="1376"/>
      <c r="T156" s="1646"/>
      <c r="U156" s="1646"/>
      <c r="V156" s="1376"/>
      <c r="W156" s="1376"/>
      <c r="X156" s="1376"/>
      <c r="Y156" s="1376"/>
      <c r="Z156" s="1646"/>
      <c r="AA156" s="1376"/>
      <c r="AB156" s="1376"/>
      <c r="AC156" s="554"/>
      <c r="AD156" s="1376"/>
      <c r="AE156" s="1376"/>
      <c r="AF156" s="1376"/>
      <c r="AG156" s="1376"/>
      <c r="AH156" s="1376"/>
      <c r="AI156" s="1642"/>
      <c r="AJ156" s="632"/>
      <c r="AK156" s="632"/>
      <c r="AL156" s="632"/>
      <c r="AM156" s="632"/>
      <c r="AN156" s="1651">
        <v>11</v>
      </c>
    </row>
    <row s="1651" customFormat="1" customHeight="1" ht="11.549999999999999">
      <c r="A157" s="997"/>
      <c r="B157" s="997"/>
      <c r="C157" s="997"/>
      <c r="D157" s="997"/>
      <c r="E157" s="997"/>
      <c r="F157" s="1646"/>
      <c r="G157" s="1646"/>
      <c r="H157" s="361"/>
      <c r="N157" s="1651"/>
      <c r="O157" s="1651"/>
      <c r="P157" s="1651"/>
      <c r="Q157" s="1376"/>
      <c r="S157" s="1376"/>
      <c r="T157" s="1646"/>
      <c r="U157" s="1646"/>
      <c r="V157" s="1376"/>
      <c r="W157" s="1376"/>
      <c r="X157" s="1376"/>
      <c r="Y157" s="1376"/>
      <c r="Z157" s="1646"/>
      <c r="AA157" s="1376"/>
      <c r="AB157" s="1376"/>
      <c r="AC157" s="554"/>
      <c r="AD157" s="1376"/>
      <c r="AE157" s="1376"/>
      <c r="AF157" s="1376"/>
      <c r="AG157" s="1376"/>
      <c r="AH157" s="1376"/>
      <c r="AI157" s="1642"/>
      <c r="AJ157" s="632"/>
      <c r="AK157" s="632"/>
      <c r="AL157" s="632"/>
      <c r="AM157" s="632"/>
      <c r="AN157" s="1651">
        <v>11</v>
      </c>
    </row>
    <row s="1651" customFormat="1" customHeight="1" ht="11.549999999999999">
      <c r="A158" s="997"/>
      <c r="B158" s="997"/>
      <c r="C158" s="997"/>
      <c r="D158" s="997"/>
      <c r="E158" s="997"/>
      <c r="F158" s="1646"/>
      <c r="G158" s="1646"/>
      <c r="H158" s="361"/>
      <c r="N158" s="1651"/>
      <c r="O158" s="1651"/>
      <c r="P158" s="1651"/>
      <c r="Q158" s="1376"/>
      <c r="S158" s="1376"/>
      <c r="T158" s="1646"/>
      <c r="U158" s="1646"/>
      <c r="V158" s="1376"/>
      <c r="W158" s="1376"/>
      <c r="X158" s="1376"/>
      <c r="Y158" s="1376"/>
      <c r="Z158" s="1646"/>
      <c r="AA158" s="1376"/>
      <c r="AB158" s="1376"/>
      <c r="AC158" s="554"/>
      <c r="AD158" s="1376"/>
      <c r="AE158" s="1376"/>
      <c r="AF158" s="1376"/>
      <c r="AG158" s="1376"/>
      <c r="AH158" s="1376"/>
      <c r="AI158" s="1642"/>
      <c r="AJ158" s="632"/>
      <c r="AK158" s="632"/>
      <c r="AL158" s="632"/>
      <c r="AM158" s="632"/>
      <c r="AN158" s="1651">
        <v>11</v>
      </c>
    </row>
    <row s="1651" customFormat="1" customHeight="1" ht="11.549999999999999">
      <c r="A159" s="997"/>
      <c r="B159" s="997"/>
      <c r="C159" s="997"/>
      <c r="D159" s="997"/>
      <c r="E159" s="997"/>
      <c r="F159" s="1646"/>
      <c r="G159" s="1646"/>
      <c r="H159" s="361"/>
      <c r="N159" s="1651"/>
      <c r="O159" s="1651"/>
      <c r="P159" s="1651"/>
      <c r="Q159" s="1376"/>
      <c r="S159" s="1376"/>
      <c r="T159" s="1646"/>
      <c r="U159" s="1646"/>
      <c r="V159" s="1376"/>
      <c r="W159" s="1376"/>
      <c r="X159" s="1376"/>
      <c r="Y159" s="1376"/>
      <c r="Z159" s="1646"/>
      <c r="AA159" s="1376"/>
      <c r="AB159" s="1376"/>
      <c r="AC159" s="554"/>
      <c r="AD159" s="1376"/>
      <c r="AE159" s="1376"/>
      <c r="AF159" s="1376"/>
      <c r="AG159" s="1376"/>
      <c r="AH159" s="1376"/>
      <c r="AI159" s="1642"/>
      <c r="AJ159" s="632"/>
      <c r="AK159" s="632"/>
      <c r="AL159" s="632"/>
      <c r="AM159" s="632"/>
      <c r="AN159" s="1651">
        <v>11</v>
      </c>
    </row>
    <row s="1651" customFormat="1" customHeight="1" ht="11.549999999999999">
      <c r="A160" s="997"/>
      <c r="B160" s="997"/>
      <c r="C160" s="997"/>
      <c r="D160" s="997"/>
      <c r="E160" s="997"/>
      <c r="F160" s="1646"/>
      <c r="G160" s="1646"/>
      <c r="H160" s="361"/>
      <c r="N160" s="1651"/>
      <c r="O160" s="1651"/>
      <c r="P160" s="1651"/>
      <c r="Q160" s="1376"/>
      <c r="S160" s="1376"/>
      <c r="T160" s="1646"/>
      <c r="U160" s="1646"/>
      <c r="V160" s="1376"/>
      <c r="W160" s="1376"/>
      <c r="X160" s="1376"/>
      <c r="Y160" s="1376"/>
      <c r="Z160" s="1646"/>
      <c r="AA160" s="1376"/>
      <c r="AB160" s="1376"/>
      <c r="AC160" s="554"/>
      <c r="AD160" s="1376"/>
      <c r="AE160" s="1376"/>
      <c r="AF160" s="1376"/>
      <c r="AG160" s="1376"/>
      <c r="AH160" s="1376"/>
      <c r="AI160" s="1642"/>
      <c r="AJ160" s="632"/>
      <c r="AK160" s="632"/>
      <c r="AL160" s="632"/>
      <c r="AM160" s="632"/>
      <c r="AN160" s="1651">
        <v>11</v>
      </c>
    </row>
    <row s="1651" customFormat="1" customHeight="1" ht="11.549999999999999">
      <c r="A161" s="997"/>
      <c r="B161" s="997"/>
      <c r="C161" s="997"/>
      <c r="D161" s="997"/>
      <c r="E161" s="997"/>
      <c r="F161" s="1646"/>
      <c r="G161" s="1646"/>
      <c r="H161" s="361"/>
      <c r="N161" s="1651"/>
      <c r="O161" s="1651"/>
      <c r="P161" s="1651"/>
      <c r="Q161" s="1376"/>
      <c r="S161" s="1376"/>
      <c r="T161" s="1646"/>
      <c r="U161" s="1646"/>
      <c r="V161" s="1376"/>
      <c r="W161" s="1376"/>
      <c r="X161" s="1376"/>
      <c r="Y161" s="1376"/>
      <c r="Z161" s="1646"/>
      <c r="AA161" s="1376"/>
      <c r="AB161" s="1376"/>
      <c r="AC161" s="554"/>
      <c r="AD161" s="1376"/>
      <c r="AE161" s="1376"/>
      <c r="AF161" s="1376"/>
      <c r="AG161" s="1376"/>
      <c r="AH161" s="1376"/>
      <c r="AI161" s="1642"/>
      <c r="AJ161" s="632"/>
      <c r="AK161" s="632"/>
      <c r="AL161" s="632"/>
      <c r="AM161" s="632"/>
      <c r="AN161" s="1651">
        <v>11</v>
      </c>
    </row>
    <row s="1651" customFormat="1" customHeight="1" ht="11.549999999999999">
      <c r="A162" s="997"/>
      <c r="B162" s="997"/>
      <c r="C162" s="997"/>
      <c r="D162" s="997"/>
      <c r="E162" s="997"/>
      <c r="F162" s="1646"/>
      <c r="G162" s="1646"/>
      <c r="H162" s="361"/>
      <c r="N162" s="1651"/>
      <c r="O162" s="1651"/>
      <c r="P162" s="1651"/>
      <c r="Q162" s="1376"/>
      <c r="S162" s="1376"/>
      <c r="T162" s="1646"/>
      <c r="U162" s="1646"/>
      <c r="V162" s="1376"/>
      <c r="W162" s="1376"/>
      <c r="X162" s="1376"/>
      <c r="Y162" s="1376"/>
      <c r="Z162" s="1646"/>
      <c r="AA162" s="1376"/>
      <c r="AB162" s="1376"/>
      <c r="AC162" s="554"/>
      <c r="AD162" s="1376"/>
      <c r="AE162" s="1376"/>
      <c r="AF162" s="1376"/>
      <c r="AG162" s="1376"/>
      <c r="AH162" s="1376"/>
      <c r="AI162" s="1642"/>
      <c r="AJ162" s="632"/>
      <c r="AK162" s="632"/>
      <c r="AL162" s="632"/>
      <c r="AM162" s="632"/>
      <c r="AN162" s="1651">
        <v>11</v>
      </c>
    </row>
    <row s="1651" customFormat="1" customHeight="1" ht="11.549999999999999">
      <c r="A163" s="997"/>
      <c r="B163" s="997"/>
      <c r="C163" s="997"/>
      <c r="D163" s="997"/>
      <c r="E163" s="997"/>
      <c r="F163" s="1646"/>
      <c r="G163" s="1646"/>
      <c r="H163" s="361"/>
      <c r="N163" s="1651"/>
      <c r="O163" s="1651"/>
      <c r="P163" s="1651"/>
      <c r="Q163" s="1376"/>
      <c r="S163" s="1376"/>
      <c r="T163" s="1646"/>
      <c r="U163" s="1646"/>
      <c r="V163" s="1376"/>
      <c r="W163" s="1376"/>
      <c r="X163" s="1376"/>
      <c r="Y163" s="1376"/>
      <c r="Z163" s="1646"/>
      <c r="AA163" s="1376"/>
      <c r="AB163" s="1376"/>
      <c r="AC163" s="554"/>
      <c r="AD163" s="1376"/>
      <c r="AE163" s="1376"/>
      <c r="AF163" s="1376"/>
      <c r="AG163" s="1376"/>
      <c r="AH163" s="1376"/>
      <c r="AI163" s="1642"/>
      <c r="AJ163" s="632"/>
      <c r="AK163" s="632"/>
      <c r="AL163" s="632"/>
      <c r="AM163" s="632"/>
      <c r="AN163" s="1651">
        <v>11</v>
      </c>
    </row>
    <row s="1651" customFormat="1" customHeight="1" ht="11.549999999999999">
      <c r="A164" s="997"/>
      <c r="B164" s="997"/>
      <c r="C164" s="997"/>
      <c r="D164" s="997"/>
      <c r="E164" s="997"/>
      <c r="F164" s="1646"/>
      <c r="G164" s="1646"/>
      <c r="H164" s="361"/>
      <c r="N164" s="1651"/>
      <c r="O164" s="1651"/>
      <c r="P164" s="1651"/>
      <c r="Q164" s="1376"/>
      <c r="S164" s="1376"/>
      <c r="T164" s="1646"/>
      <c r="U164" s="1646"/>
      <c r="V164" s="1376"/>
      <c r="W164" s="1376"/>
      <c r="X164" s="1376"/>
      <c r="Y164" s="1376"/>
      <c r="Z164" s="1646"/>
      <c r="AA164" s="1376"/>
      <c r="AB164" s="1376"/>
      <c r="AC164" s="554"/>
      <c r="AD164" s="1376"/>
      <c r="AE164" s="1376"/>
      <c r="AF164" s="1376"/>
      <c r="AG164" s="1376"/>
      <c r="AH164" s="1376"/>
      <c r="AI164" s="1642"/>
      <c r="AJ164" s="632"/>
      <c r="AK164" s="632"/>
      <c r="AL164" s="632"/>
      <c r="AM164" s="632"/>
      <c r="AN164" s="1651">
        <v>11</v>
      </c>
    </row>
    <row s="1651" customFormat="1" customHeight="1" ht="11.549999999999999">
      <c r="A165" s="997"/>
      <c r="B165" s="997"/>
      <c r="C165" s="997"/>
      <c r="D165" s="997"/>
      <c r="E165" s="997"/>
      <c r="F165" s="1646"/>
      <c r="G165" s="1646"/>
      <c r="H165" s="361"/>
      <c r="N165" s="1651"/>
      <c r="O165" s="1651"/>
      <c r="P165" s="1651"/>
      <c r="Q165" s="1376"/>
      <c r="S165" s="1376"/>
      <c r="T165" s="1646"/>
      <c r="U165" s="1646"/>
      <c r="V165" s="1376"/>
      <c r="W165" s="1376"/>
      <c r="X165" s="1376"/>
      <c r="Y165" s="1376"/>
      <c r="Z165" s="1646"/>
      <c r="AA165" s="1376"/>
      <c r="AB165" s="1376"/>
      <c r="AC165" s="554"/>
      <c r="AD165" s="1376"/>
      <c r="AE165" s="1376"/>
      <c r="AF165" s="1376"/>
      <c r="AG165" s="1376"/>
      <c r="AH165" s="1376"/>
      <c r="AI165" s="1642"/>
      <c r="AJ165" s="632"/>
      <c r="AK165" s="632"/>
      <c r="AL165" s="632"/>
      <c r="AM165" s="632"/>
      <c r="AN165" s="1651">
        <v>11</v>
      </c>
    </row>
    <row s="1651" customFormat="1" customHeight="1" ht="11.549999999999999">
      <c r="A166" s="997"/>
      <c r="B166" s="997"/>
      <c r="C166" s="997"/>
      <c r="D166" s="997"/>
      <c r="E166" s="997"/>
      <c r="F166" s="1646"/>
      <c r="G166" s="1646"/>
      <c r="H166" s="361"/>
      <c r="N166" s="1651"/>
      <c r="O166" s="1651"/>
      <c r="P166" s="1651"/>
      <c r="Q166" s="1376"/>
      <c r="S166" s="1376"/>
      <c r="T166" s="1646"/>
      <c r="U166" s="1646"/>
      <c r="V166" s="1376"/>
      <c r="W166" s="1376"/>
      <c r="X166" s="1376"/>
      <c r="Y166" s="1376"/>
      <c r="Z166" s="1646"/>
      <c r="AA166" s="1376"/>
      <c r="AB166" s="1376"/>
      <c r="AC166" s="554"/>
      <c r="AD166" s="1376"/>
      <c r="AE166" s="1376"/>
      <c r="AF166" s="1376"/>
      <c r="AG166" s="1376"/>
      <c r="AH166" s="1376"/>
      <c r="AI166" s="1642"/>
      <c r="AJ166" s="632"/>
      <c r="AK166" s="632"/>
      <c r="AL166" s="632"/>
      <c r="AM166" s="632"/>
      <c r="AN166" s="1651">
        <v>11</v>
      </c>
    </row>
    <row s="1651" customFormat="1" customHeight="1" ht="11.549999999999999">
      <c r="A167" s="997"/>
      <c r="B167" s="997"/>
      <c r="C167" s="997"/>
      <c r="D167" s="997"/>
      <c r="E167" s="997"/>
      <c r="F167" s="1646"/>
      <c r="G167" s="1646"/>
      <c r="H167" s="361"/>
      <c r="N167" s="1651"/>
      <c r="O167" s="1651"/>
      <c r="P167" s="1651"/>
      <c r="Q167" s="1376"/>
      <c r="S167" s="1376"/>
      <c r="T167" s="1646"/>
      <c r="U167" s="1646"/>
      <c r="V167" s="1376"/>
      <c r="W167" s="1376"/>
      <c r="X167" s="1376"/>
      <c r="Y167" s="1376"/>
      <c r="Z167" s="1646"/>
      <c r="AA167" s="1376"/>
      <c r="AB167" s="1376"/>
      <c r="AC167" s="554"/>
      <c r="AD167" s="1376"/>
      <c r="AE167" s="1376"/>
      <c r="AF167" s="1376"/>
      <c r="AG167" s="1376"/>
      <c r="AH167" s="1376"/>
      <c r="AI167" s="1642"/>
      <c r="AJ167" s="632"/>
      <c r="AK167" s="632"/>
      <c r="AL167" s="632"/>
      <c r="AM167" s="632"/>
      <c r="AN167" s="1651">
        <v>11</v>
      </c>
    </row>
    <row s="1651" customFormat="1" customHeight="1" ht="11.549999999999999">
      <c r="A168" s="997"/>
      <c r="B168" s="997"/>
      <c r="C168" s="997"/>
      <c r="D168" s="997"/>
      <c r="E168" s="997"/>
      <c r="F168" s="1646"/>
      <c r="G168" s="1646"/>
      <c r="H168" s="361"/>
      <c r="N168" s="1651"/>
      <c r="O168" s="1651"/>
      <c r="P168" s="1651"/>
      <c r="Q168" s="1376"/>
      <c r="S168" s="1376"/>
      <c r="T168" s="1646"/>
      <c r="U168" s="1646"/>
      <c r="V168" s="1376"/>
      <c r="W168" s="1376"/>
      <c r="X168" s="1376"/>
      <c r="Y168" s="1376"/>
      <c r="Z168" s="1646"/>
      <c r="AA168" s="1376"/>
      <c r="AB168" s="1376"/>
      <c r="AC168" s="554"/>
      <c r="AD168" s="1376"/>
      <c r="AE168" s="1376"/>
      <c r="AF168" s="1376"/>
      <c r="AG168" s="1376"/>
      <c r="AH168" s="1376"/>
      <c r="AI168" s="1642"/>
      <c r="AJ168" s="632"/>
      <c r="AK168" s="632"/>
      <c r="AL168" s="632"/>
      <c r="AM168" s="632"/>
      <c r="AN168" s="1651">
        <v>11</v>
      </c>
    </row>
    <row s="1651" customFormat="1" customHeight="1" ht="11.549999999999999">
      <c r="A169" s="997"/>
      <c r="B169" s="997"/>
      <c r="C169" s="997"/>
      <c r="D169" s="997"/>
      <c r="E169" s="997"/>
      <c r="F169" s="1646"/>
      <c r="G169" s="1646"/>
      <c r="H169" s="361"/>
      <c r="N169" s="1651"/>
      <c r="O169" s="1651"/>
      <c r="P169" s="1651"/>
      <c r="Q169" s="1376"/>
      <c r="S169" s="1376"/>
      <c r="T169" s="1646"/>
      <c r="U169" s="1646"/>
      <c r="V169" s="1376"/>
      <c r="W169" s="1376"/>
      <c r="X169" s="1376"/>
      <c r="Y169" s="1376"/>
      <c r="Z169" s="1646"/>
      <c r="AA169" s="1376"/>
      <c r="AB169" s="1376"/>
      <c r="AC169" s="554"/>
      <c r="AD169" s="1376"/>
      <c r="AE169" s="1376"/>
      <c r="AF169" s="1376"/>
      <c r="AG169" s="1376"/>
      <c r="AH169" s="1376"/>
      <c r="AI169" s="1642"/>
      <c r="AJ169" s="632"/>
      <c r="AK169" s="632"/>
      <c r="AL169" s="632"/>
      <c r="AM169" s="632"/>
      <c r="AN169" s="1651">
        <v>11</v>
      </c>
    </row>
    <row s="1651" customFormat="1" customHeight="1" ht="11.549999999999999">
      <c r="A170" s="997"/>
      <c r="B170" s="997"/>
      <c r="C170" s="997"/>
      <c r="D170" s="997"/>
      <c r="E170" s="997"/>
      <c r="F170" s="1646"/>
      <c r="G170" s="1646"/>
      <c r="H170" s="361"/>
      <c r="N170" s="1651"/>
      <c r="O170" s="1651"/>
      <c r="P170" s="1651"/>
      <c r="Q170" s="1376"/>
      <c r="S170" s="1376"/>
      <c r="T170" s="1646"/>
      <c r="U170" s="1646"/>
      <c r="V170" s="1376"/>
      <c r="W170" s="1376"/>
      <c r="X170" s="1376"/>
      <c r="Y170" s="1376"/>
      <c r="Z170" s="1646"/>
      <c r="AA170" s="1376"/>
      <c r="AB170" s="1376"/>
      <c r="AC170" s="554"/>
      <c r="AD170" s="1376"/>
      <c r="AE170" s="1376"/>
      <c r="AF170" s="1376"/>
      <c r="AG170" s="1376"/>
      <c r="AH170" s="1376"/>
      <c r="AI170" s="1642"/>
      <c r="AJ170" s="632"/>
      <c r="AK170" s="632"/>
      <c r="AL170" s="632"/>
      <c r="AM170" s="632"/>
      <c r="AN170" s="1651">
        <v>11</v>
      </c>
    </row>
    <row s="1651" customFormat="1" customHeight="1" ht="11.549999999999999">
      <c r="A171" s="997"/>
      <c r="B171" s="997"/>
      <c r="C171" s="997"/>
      <c r="D171" s="997"/>
      <c r="E171" s="997"/>
      <c r="F171" s="1646"/>
      <c r="G171" s="1646"/>
      <c r="H171" s="361"/>
      <c r="N171" s="1651"/>
      <c r="O171" s="1651"/>
      <c r="P171" s="1651"/>
      <c r="Q171" s="1376"/>
      <c r="S171" s="1376"/>
      <c r="T171" s="1646"/>
      <c r="U171" s="1646"/>
      <c r="V171" s="1376"/>
      <c r="W171" s="1376"/>
      <c r="X171" s="1376"/>
      <c r="Y171" s="1376"/>
      <c r="Z171" s="1646"/>
      <c r="AA171" s="1376"/>
      <c r="AB171" s="1376"/>
      <c r="AC171" s="554"/>
      <c r="AD171" s="1376"/>
      <c r="AE171" s="1376"/>
      <c r="AF171" s="1376"/>
      <c r="AG171" s="1376"/>
      <c r="AH171" s="1376"/>
      <c r="AI171" s="1642"/>
      <c r="AJ171" s="632"/>
      <c r="AK171" s="632"/>
      <c r="AL171" s="632"/>
      <c r="AM171" s="632"/>
      <c r="AN171" s="1651">
        <v>11</v>
      </c>
    </row>
    <row s="1651" customFormat="1" customHeight="1" ht="11.549999999999999">
      <c r="A172" s="997"/>
      <c r="B172" s="997"/>
      <c r="C172" s="997"/>
      <c r="D172" s="997"/>
      <c r="E172" s="997"/>
      <c r="F172" s="1646"/>
      <c r="G172" s="1646"/>
      <c r="H172" s="361"/>
      <c r="N172" s="1651"/>
      <c r="O172" s="1651"/>
      <c r="P172" s="1651"/>
      <c r="Q172" s="1376"/>
      <c r="S172" s="1376"/>
      <c r="T172" s="1646"/>
      <c r="U172" s="1646"/>
      <c r="V172" s="1376"/>
      <c r="W172" s="1376"/>
      <c r="X172" s="1376"/>
      <c r="Y172" s="1376"/>
      <c r="Z172" s="1646"/>
      <c r="AA172" s="1376"/>
      <c r="AB172" s="1376"/>
      <c r="AC172" s="554"/>
      <c r="AD172" s="1376"/>
      <c r="AE172" s="1376"/>
      <c r="AF172" s="1376"/>
      <c r="AG172" s="1376"/>
      <c r="AH172" s="1376"/>
      <c r="AI172" s="1642"/>
      <c r="AJ172" s="632"/>
      <c r="AK172" s="632"/>
      <c r="AL172" s="632"/>
      <c r="AM172" s="632"/>
      <c r="AN172" s="1651">
        <v>11</v>
      </c>
    </row>
    <row s="1651" customFormat="1" customHeight="1" ht="11.549999999999999">
      <c r="A173" s="997"/>
      <c r="B173" s="997"/>
      <c r="C173" s="997"/>
      <c r="D173" s="997"/>
      <c r="E173" s="997"/>
      <c r="F173" s="1646"/>
      <c r="G173" s="1646"/>
      <c r="H173" s="361"/>
      <c r="N173" s="1651"/>
      <c r="O173" s="1651"/>
      <c r="P173" s="1651"/>
      <c r="Q173" s="1376"/>
      <c r="S173" s="1376"/>
      <c r="T173" s="1646"/>
      <c r="U173" s="1646"/>
      <c r="V173" s="1376"/>
      <c r="W173" s="1376"/>
      <c r="X173" s="1376"/>
      <c r="Y173" s="1376"/>
      <c r="Z173" s="1646"/>
      <c r="AA173" s="1376"/>
      <c r="AB173" s="1376"/>
      <c r="AC173" s="554"/>
      <c r="AD173" s="1376"/>
      <c r="AE173" s="1376"/>
      <c r="AF173" s="1376"/>
      <c r="AG173" s="1376"/>
      <c r="AH173" s="1376"/>
      <c r="AI173" s="1642"/>
      <c r="AJ173" s="632"/>
      <c r="AK173" s="632"/>
      <c r="AL173" s="632"/>
      <c r="AM173" s="632"/>
      <c r="AN173" s="1651">
        <v>11</v>
      </c>
    </row>
    <row s="1651" customFormat="1" customHeight="1" ht="11.549999999999999">
      <c r="A174" s="997"/>
      <c r="B174" s="997"/>
      <c r="C174" s="997"/>
      <c r="D174" s="997"/>
      <c r="E174" s="997"/>
      <c r="F174" s="1646"/>
      <c r="G174" s="1646"/>
      <c r="H174" s="361"/>
      <c r="N174" s="1651"/>
      <c r="O174" s="1651"/>
      <c r="P174" s="1651"/>
      <c r="Q174" s="1376"/>
      <c r="S174" s="1376"/>
      <c r="T174" s="1646"/>
      <c r="U174" s="1646"/>
      <c r="V174" s="1376"/>
      <c r="W174" s="1376"/>
      <c r="X174" s="1376"/>
      <c r="Y174" s="1376"/>
      <c r="Z174" s="1646"/>
      <c r="AA174" s="1376"/>
      <c r="AB174" s="1376"/>
      <c r="AC174" s="554"/>
      <c r="AD174" s="1376"/>
      <c r="AE174" s="1376"/>
      <c r="AF174" s="1376"/>
      <c r="AG174" s="1376"/>
      <c r="AH174" s="1376"/>
      <c r="AI174" s="1642"/>
      <c r="AJ174" s="632"/>
      <c r="AK174" s="632"/>
      <c r="AL174" s="632"/>
      <c r="AM174" s="632"/>
      <c r="AN174" s="1651">
        <v>11</v>
      </c>
    </row>
    <row s="1651" customFormat="1" customHeight="1" ht="11.549999999999999">
      <c r="A175" s="997"/>
      <c r="B175" s="997"/>
      <c r="C175" s="997"/>
      <c r="D175" s="997"/>
      <c r="E175" s="997"/>
      <c r="F175" s="1646"/>
      <c r="G175" s="1646"/>
      <c r="H175" s="361"/>
      <c r="N175" s="1651"/>
      <c r="O175" s="1651"/>
      <c r="P175" s="1651"/>
      <c r="Q175" s="1376"/>
      <c r="S175" s="1376"/>
      <c r="T175" s="1646"/>
      <c r="U175" s="1646"/>
      <c r="V175" s="1376"/>
      <c r="W175" s="1376"/>
      <c r="X175" s="1376"/>
      <c r="Y175" s="1376"/>
      <c r="Z175" s="1646"/>
      <c r="AA175" s="1376"/>
      <c r="AB175" s="1376"/>
      <c r="AC175" s="554"/>
      <c r="AD175" s="1376"/>
      <c r="AE175" s="1376"/>
      <c r="AF175" s="1376"/>
      <c r="AG175" s="1376"/>
      <c r="AH175" s="1376"/>
      <c r="AI175" s="1642"/>
      <c r="AJ175" s="632"/>
      <c r="AK175" s="632"/>
      <c r="AL175" s="632"/>
      <c r="AM175" s="632"/>
      <c r="AN175" s="1651">
        <v>11</v>
      </c>
    </row>
    <row s="1651" customFormat="1" customHeight="1" ht="11.549999999999999">
      <c r="A176" s="997"/>
      <c r="B176" s="997"/>
      <c r="C176" s="997"/>
      <c r="D176" s="997"/>
      <c r="E176" s="997"/>
      <c r="F176" s="1646"/>
      <c r="G176" s="1646"/>
      <c r="H176" s="361"/>
      <c r="N176" s="1651"/>
      <c r="O176" s="1651"/>
      <c r="P176" s="1651"/>
      <c r="Q176" s="1376"/>
      <c r="S176" s="1376"/>
      <c r="T176" s="1646"/>
      <c r="U176" s="1646"/>
      <c r="V176" s="1376"/>
      <c r="W176" s="1376"/>
      <c r="X176" s="1376"/>
      <c r="Y176" s="1376"/>
      <c r="Z176" s="1646"/>
      <c r="AA176" s="1376"/>
      <c r="AB176" s="1376"/>
      <c r="AC176" s="554"/>
      <c r="AD176" s="1376"/>
      <c r="AE176" s="1376"/>
      <c r="AF176" s="1376"/>
      <c r="AG176" s="1376"/>
      <c r="AH176" s="1376"/>
      <c r="AI176" s="1642"/>
      <c r="AJ176" s="632"/>
      <c r="AK176" s="632"/>
      <c r="AL176" s="632"/>
      <c r="AM176" s="632"/>
      <c r="AN176" s="1651">
        <v>11</v>
      </c>
    </row>
    <row s="1651" customFormat="1" customHeight="1" ht="11.549999999999999">
      <c r="A177" s="997"/>
      <c r="B177" s="997"/>
      <c r="C177" s="997"/>
      <c r="D177" s="997"/>
      <c r="E177" s="997"/>
      <c r="F177" s="1646"/>
      <c r="G177" s="1646"/>
      <c r="H177" s="361"/>
      <c r="N177" s="1651"/>
      <c r="O177" s="1651"/>
      <c r="P177" s="1651"/>
      <c r="Q177" s="1376"/>
      <c r="S177" s="1376"/>
      <c r="T177" s="1646"/>
      <c r="U177" s="1646"/>
      <c r="V177" s="1376"/>
      <c r="W177" s="1376"/>
      <c r="X177" s="1376"/>
      <c r="Y177" s="1376"/>
      <c r="Z177" s="1646"/>
      <c r="AA177" s="1376"/>
      <c r="AB177" s="1376"/>
      <c r="AC177" s="554"/>
      <c r="AD177" s="1376"/>
      <c r="AE177" s="1376"/>
      <c r="AF177" s="1376"/>
      <c r="AG177" s="1376"/>
      <c r="AH177" s="1376"/>
      <c r="AI177" s="1642"/>
      <c r="AJ177" s="632"/>
      <c r="AK177" s="632"/>
      <c r="AL177" s="632"/>
      <c r="AM177" s="632"/>
      <c r="AN177" s="1651">
        <v>11</v>
      </c>
    </row>
    <row s="1651" customFormat="1" customHeight="1" ht="11.549999999999999">
      <c r="A178" s="997"/>
      <c r="B178" s="997"/>
      <c r="C178" s="997"/>
      <c r="D178" s="997"/>
      <c r="E178" s="997"/>
      <c r="F178" s="1646"/>
      <c r="G178" s="1646"/>
      <c r="H178" s="361"/>
      <c r="N178" s="1651"/>
      <c r="O178" s="1651"/>
      <c r="P178" s="1651"/>
      <c r="Q178" s="1376"/>
      <c r="S178" s="1376"/>
      <c r="T178" s="1646"/>
      <c r="U178" s="1646"/>
      <c r="V178" s="1376"/>
      <c r="W178" s="1376"/>
      <c r="X178" s="1376"/>
      <c r="Y178" s="1376"/>
      <c r="Z178" s="1646"/>
      <c r="AA178" s="1376"/>
      <c r="AB178" s="1376"/>
      <c r="AC178" s="554"/>
      <c r="AD178" s="1376"/>
      <c r="AE178" s="1376"/>
      <c r="AF178" s="1376"/>
      <c r="AG178" s="1376"/>
      <c r="AH178" s="1376"/>
      <c r="AI178" s="1642"/>
      <c r="AJ178" s="632"/>
      <c r="AK178" s="632"/>
      <c r="AL178" s="632"/>
      <c r="AM178" s="632"/>
      <c r="AN178" s="1651">
        <v>11</v>
      </c>
    </row>
    <row s="1651" customFormat="1" customHeight="1" ht="11.549999999999999">
      <c r="A179" s="997"/>
      <c r="B179" s="997"/>
      <c r="C179" s="997"/>
      <c r="D179" s="997"/>
      <c r="E179" s="997"/>
      <c r="F179" s="1646"/>
      <c r="G179" s="1646"/>
      <c r="H179" s="361"/>
      <c r="N179" s="1651"/>
      <c r="O179" s="1651"/>
      <c r="P179" s="1651"/>
      <c r="Q179" s="1376"/>
      <c r="S179" s="1376"/>
      <c r="T179" s="1646"/>
      <c r="U179" s="1646"/>
      <c r="V179" s="1376"/>
      <c r="W179" s="1376"/>
      <c r="X179" s="1376"/>
      <c r="Y179" s="1376"/>
      <c r="Z179" s="1646"/>
      <c r="AA179" s="1376"/>
      <c r="AB179" s="1376"/>
      <c r="AC179" s="554"/>
      <c r="AD179" s="1376"/>
      <c r="AE179" s="1376"/>
      <c r="AF179" s="1376"/>
      <c r="AG179" s="1376"/>
      <c r="AH179" s="1376"/>
      <c r="AI179" s="1642"/>
      <c r="AJ179" s="632"/>
      <c r="AK179" s="632"/>
      <c r="AL179" s="632"/>
      <c r="AM179" s="632"/>
      <c r="AN179" s="1651">
        <v>11</v>
      </c>
    </row>
    <row s="1651" customFormat="1" customHeight="1" ht="11.549999999999999">
      <c r="A180" s="997"/>
      <c r="B180" s="997"/>
      <c r="C180" s="997"/>
      <c r="D180" s="997"/>
      <c r="E180" s="997"/>
      <c r="F180" s="1646"/>
      <c r="G180" s="1646"/>
      <c r="H180" s="361"/>
      <c r="N180" s="1651"/>
      <c r="O180" s="1651"/>
      <c r="P180" s="1651"/>
      <c r="Q180" s="1376"/>
      <c r="S180" s="1376"/>
      <c r="T180" s="1646"/>
      <c r="U180" s="1646"/>
      <c r="V180" s="1376"/>
      <c r="W180" s="1376"/>
      <c r="X180" s="1376"/>
      <c r="Y180" s="1376"/>
      <c r="Z180" s="1646"/>
      <c r="AA180" s="1376"/>
      <c r="AB180" s="1376"/>
      <c r="AC180" s="554"/>
      <c r="AD180" s="1376"/>
      <c r="AE180" s="1376"/>
      <c r="AF180" s="1376"/>
      <c r="AG180" s="1376"/>
      <c r="AH180" s="1376"/>
      <c r="AI180" s="1642"/>
      <c r="AJ180" s="632"/>
      <c r="AK180" s="632"/>
      <c r="AL180" s="632"/>
      <c r="AM180" s="632"/>
      <c r="AN180" s="1651">
        <v>11</v>
      </c>
    </row>
    <row s="1651" customFormat="1" customHeight="1" ht="11.549999999999999">
      <c r="A181" s="997"/>
      <c r="B181" s="997"/>
      <c r="C181" s="997"/>
      <c r="D181" s="997"/>
      <c r="E181" s="997"/>
      <c r="F181" s="1646"/>
      <c r="G181" s="1646"/>
      <c r="H181" s="361"/>
      <c r="N181" s="1651"/>
      <c r="O181" s="1651"/>
      <c r="P181" s="1651"/>
      <c r="Q181" s="1376"/>
      <c r="S181" s="1376"/>
      <c r="T181" s="1646"/>
      <c r="U181" s="1646"/>
      <c r="V181" s="1376"/>
      <c r="W181" s="1376"/>
      <c r="X181" s="1376"/>
      <c r="Y181" s="1376"/>
      <c r="Z181" s="1646"/>
      <c r="AA181" s="1376"/>
      <c r="AB181" s="1376"/>
      <c r="AC181" s="554"/>
      <c r="AD181" s="1376"/>
      <c r="AE181" s="1376"/>
      <c r="AF181" s="1376"/>
      <c r="AG181" s="1376"/>
      <c r="AH181" s="1376"/>
      <c r="AI181" s="1642"/>
      <c r="AJ181" s="632"/>
      <c r="AK181" s="632"/>
      <c r="AL181" s="632"/>
      <c r="AM181" s="632"/>
      <c r="AN181" s="1651">
        <v>11</v>
      </c>
    </row>
    <row s="1651" customFormat="1" customHeight="1" ht="11.549999999999999">
      <c r="A182" s="997"/>
      <c r="B182" s="997"/>
      <c r="C182" s="997"/>
      <c r="D182" s="997"/>
      <c r="E182" s="997"/>
      <c r="F182" s="1646"/>
      <c r="G182" s="1646"/>
      <c r="H182" s="361"/>
      <c r="N182" s="1651"/>
      <c r="O182" s="1651"/>
      <c r="P182" s="1651"/>
      <c r="Q182" s="1376"/>
      <c r="S182" s="1376"/>
      <c r="T182" s="1646"/>
      <c r="U182" s="1646"/>
      <c r="V182" s="1376"/>
      <c r="W182" s="1376"/>
      <c r="X182" s="1376"/>
      <c r="Y182" s="1376"/>
      <c r="Z182" s="1646"/>
      <c r="AA182" s="1376"/>
      <c r="AB182" s="1376"/>
      <c r="AC182" s="554"/>
      <c r="AD182" s="1376"/>
      <c r="AE182" s="1376"/>
      <c r="AF182" s="1376"/>
      <c r="AG182" s="1376"/>
      <c r="AH182" s="1376"/>
      <c r="AI182" s="1642"/>
      <c r="AJ182" s="632"/>
      <c r="AK182" s="632"/>
      <c r="AL182" s="632"/>
      <c r="AM182" s="632"/>
      <c r="AN182" s="1651">
        <v>11</v>
      </c>
    </row>
    <row s="1651" customFormat="1" customHeight="1" ht="11.549999999999999">
      <c r="A183" s="997"/>
      <c r="B183" s="997"/>
      <c r="C183" s="997"/>
      <c r="D183" s="997"/>
      <c r="E183" s="997"/>
      <c r="F183" s="1646"/>
      <c r="G183" s="1646"/>
      <c r="H183" s="361"/>
      <c r="N183" s="1651"/>
      <c r="O183" s="1651"/>
      <c r="P183" s="1651"/>
      <c r="Q183" s="1376"/>
      <c r="S183" s="1376"/>
      <c r="T183" s="1646"/>
      <c r="U183" s="1646"/>
      <c r="V183" s="1376"/>
      <c r="W183" s="1376"/>
      <c r="X183" s="1376"/>
      <c r="Y183" s="1376"/>
      <c r="Z183" s="1646"/>
      <c r="AA183" s="1376"/>
      <c r="AB183" s="1376"/>
      <c r="AC183" s="554"/>
      <c r="AD183" s="1376"/>
      <c r="AE183" s="1376"/>
      <c r="AF183" s="1376"/>
      <c r="AG183" s="1376"/>
      <c r="AH183" s="1376"/>
      <c r="AI183" s="1642"/>
      <c r="AJ183" s="632"/>
      <c r="AK183" s="632"/>
      <c r="AL183" s="632"/>
      <c r="AM183" s="632"/>
      <c r="AN183" s="1651">
        <v>11</v>
      </c>
    </row>
    <row s="1651" customFormat="1" customHeight="1" ht="11.549999999999999">
      <c r="A184" s="997"/>
      <c r="B184" s="997"/>
      <c r="C184" s="997"/>
      <c r="D184" s="997"/>
      <c r="E184" s="997"/>
      <c r="F184" s="1646"/>
      <c r="G184" s="1646"/>
      <c r="H184" s="361"/>
      <c r="N184" s="1651"/>
      <c r="O184" s="1651"/>
      <c r="P184" s="1651"/>
      <c r="Q184" s="1376"/>
      <c r="S184" s="1376"/>
      <c r="T184" s="1646"/>
      <c r="U184" s="1646"/>
      <c r="V184" s="1376"/>
      <c r="W184" s="1376"/>
      <c r="X184" s="1376"/>
      <c r="Y184" s="1376"/>
      <c r="Z184" s="1646"/>
      <c r="AA184" s="1376"/>
      <c r="AB184" s="1376"/>
      <c r="AC184" s="554"/>
      <c r="AD184" s="1376"/>
      <c r="AE184" s="1376"/>
      <c r="AF184" s="1376"/>
      <c r="AG184" s="1376"/>
      <c r="AH184" s="1376"/>
      <c r="AI184" s="1642"/>
      <c r="AJ184" s="632"/>
      <c r="AK184" s="632"/>
      <c r="AL184" s="632"/>
      <c r="AM184" s="632"/>
      <c r="AN184" s="1651">
        <v>11</v>
      </c>
    </row>
    <row s="1651" customFormat="1" customHeight="1" ht="11.549999999999999">
      <c r="A185" s="997"/>
      <c r="B185" s="997"/>
      <c r="C185" s="997"/>
      <c r="D185" s="997"/>
      <c r="E185" s="997"/>
      <c r="F185" s="1646"/>
      <c r="G185" s="1646"/>
      <c r="H185" s="361"/>
      <c r="N185" s="1651"/>
      <c r="O185" s="1651"/>
      <c r="P185" s="1651"/>
      <c r="Q185" s="1376"/>
      <c r="S185" s="1376"/>
      <c r="T185" s="1646"/>
      <c r="U185" s="1646"/>
      <c r="V185" s="1376"/>
      <c r="W185" s="1376"/>
      <c r="X185" s="1376"/>
      <c r="Y185" s="1376"/>
      <c r="Z185" s="1646"/>
      <c r="AA185" s="1376"/>
      <c r="AB185" s="1376"/>
      <c r="AC185" s="554"/>
      <c r="AD185" s="1376"/>
      <c r="AE185" s="1376"/>
      <c r="AF185" s="1376"/>
      <c r="AG185" s="1376"/>
      <c r="AH185" s="1376"/>
      <c r="AI185" s="1642"/>
      <c r="AJ185" s="632"/>
      <c r="AK185" s="632"/>
      <c r="AL185" s="632"/>
      <c r="AM185" s="632"/>
      <c r="AN185" s="1651">
        <v>11</v>
      </c>
    </row>
    <row s="1651" customFormat="1" customHeight="1" ht="11.549999999999999">
      <c r="A186" s="997"/>
      <c r="B186" s="997"/>
      <c r="C186" s="997"/>
      <c r="D186" s="997"/>
      <c r="E186" s="997"/>
      <c r="F186" s="1646"/>
      <c r="G186" s="1646"/>
      <c r="H186" s="361"/>
      <c r="N186" s="1651"/>
      <c r="O186" s="1651"/>
      <c r="P186" s="1651"/>
      <c r="Q186" s="1376"/>
      <c r="S186" s="1376"/>
      <c r="T186" s="1646"/>
      <c r="U186" s="1646"/>
      <c r="V186" s="1376"/>
      <c r="W186" s="1376"/>
      <c r="X186" s="1376"/>
      <c r="Y186" s="1376"/>
      <c r="Z186" s="1646"/>
      <c r="AA186" s="1376"/>
      <c r="AB186" s="1376"/>
      <c r="AC186" s="554"/>
      <c r="AD186" s="1376"/>
      <c r="AE186" s="1376"/>
      <c r="AF186" s="1376"/>
      <c r="AG186" s="1376"/>
      <c r="AH186" s="1376"/>
      <c r="AI186" s="1642"/>
      <c r="AJ186" s="632"/>
      <c r="AK186" s="632"/>
      <c r="AL186" s="632"/>
      <c r="AM186" s="632"/>
      <c r="AN186" s="1651">
        <v>11</v>
      </c>
    </row>
    <row s="1651" customFormat="1" customHeight="1" ht="11.549999999999999">
      <c r="A187" s="997"/>
      <c r="B187" s="997"/>
      <c r="C187" s="997"/>
      <c r="D187" s="997"/>
      <c r="E187" s="997"/>
      <c r="F187" s="1646"/>
      <c r="G187" s="1646"/>
      <c r="H187" s="361"/>
      <c r="N187" s="1651"/>
      <c r="O187" s="1651"/>
      <c r="P187" s="1651"/>
      <c r="Q187" s="1376"/>
      <c r="S187" s="1376"/>
      <c r="T187" s="1646"/>
      <c r="U187" s="1646"/>
      <c r="V187" s="1376"/>
      <c r="W187" s="1376"/>
      <c r="X187" s="1376"/>
      <c r="Y187" s="1376"/>
      <c r="Z187" s="1646"/>
      <c r="AA187" s="1376"/>
      <c r="AB187" s="1376"/>
      <c r="AC187" s="554"/>
      <c r="AD187" s="1376"/>
      <c r="AE187" s="1376"/>
      <c r="AF187" s="1376"/>
      <c r="AG187" s="1376"/>
      <c r="AH187" s="1376"/>
      <c r="AI187" s="1642"/>
      <c r="AJ187" s="632"/>
      <c r="AK187" s="632"/>
      <c r="AL187" s="632"/>
      <c r="AM187" s="632"/>
      <c r="AN187" s="1651">
        <v>11</v>
      </c>
    </row>
    <row s="1651" customFormat="1" customHeight="1" ht="11.549999999999999">
      <c r="A188" s="997"/>
      <c r="B188" s="997"/>
      <c r="C188" s="997"/>
      <c r="D188" s="997"/>
      <c r="E188" s="997"/>
      <c r="F188" s="1646"/>
      <c r="G188" s="1646"/>
      <c r="H188" s="361"/>
      <c r="N188" s="1651"/>
      <c r="O188" s="1651"/>
      <c r="P188" s="1651"/>
      <c r="Q188" s="1376"/>
      <c r="S188" s="1376"/>
      <c r="T188" s="1646"/>
      <c r="U188" s="1646"/>
      <c r="V188" s="1376"/>
      <c r="W188" s="1376"/>
      <c r="X188" s="1376"/>
      <c r="Y188" s="1376"/>
      <c r="Z188" s="1646"/>
      <c r="AA188" s="1376"/>
      <c r="AB188" s="1376"/>
      <c r="AC188" s="554"/>
      <c r="AD188" s="1376"/>
      <c r="AE188" s="1376"/>
      <c r="AF188" s="1376"/>
      <c r="AG188" s="1376"/>
      <c r="AH188" s="1376"/>
      <c r="AI188" s="1642"/>
      <c r="AJ188" s="632"/>
      <c r="AK188" s="632"/>
      <c r="AL188" s="632"/>
      <c r="AM188" s="632"/>
      <c r="AN188" s="1651">
        <v>11</v>
      </c>
    </row>
    <row s="1651" customFormat="1" customHeight="1" ht="11.549999999999999">
      <c r="A189" s="997"/>
      <c r="B189" s="997"/>
      <c r="C189" s="997"/>
      <c r="D189" s="997"/>
      <c r="E189" s="997"/>
      <c r="F189" s="1646"/>
      <c r="G189" s="1646"/>
      <c r="H189" s="361"/>
      <c r="N189" s="1651"/>
      <c r="O189" s="1651"/>
      <c r="P189" s="1651"/>
      <c r="Q189" s="1376"/>
      <c r="S189" s="1376"/>
      <c r="T189" s="1646"/>
      <c r="U189" s="1646"/>
      <c r="V189" s="1376"/>
      <c r="W189" s="1376"/>
      <c r="X189" s="1376"/>
      <c r="Y189" s="1376"/>
      <c r="Z189" s="1646"/>
      <c r="AA189" s="1376"/>
      <c r="AB189" s="1376"/>
      <c r="AC189" s="554"/>
      <c r="AD189" s="1376"/>
      <c r="AE189" s="1376"/>
      <c r="AF189" s="1376"/>
      <c r="AG189" s="1376"/>
      <c r="AH189" s="1376"/>
      <c r="AI189" s="1642"/>
      <c r="AJ189" s="632"/>
      <c r="AK189" s="632"/>
      <c r="AL189" s="632"/>
      <c r="AM189" s="632"/>
      <c r="AN189" s="1651">
        <v>11</v>
      </c>
    </row>
    <row customHeight="1" ht="11.549999999999999">
      <c r="N190" s="1645"/>
      <c r="O190" s="1645"/>
      <c r="P190" s="1645"/>
      <c r="AN190" s="1641">
        <v>11</v>
      </c>
    </row>
    <row customHeight="1" ht="11.549999999999999">
      <c r="N191" s="1645"/>
      <c r="O191" s="1645"/>
      <c r="P191" s="1645"/>
      <c r="AN191" s="1641">
        <v>11</v>
      </c>
    </row>
    <row customHeight="1" ht="11.549999999999999">
      <c r="N192" s="1645"/>
      <c r="O192" s="1645"/>
      <c r="P192" s="1645"/>
      <c r="AN192" s="1641">
        <v>11</v>
      </c>
    </row>
    <row customHeight="1" ht="11.549999999999999">
      <c r="A193" s="1000"/>
      <c r="B193" s="1000"/>
      <c r="C193" s="1000"/>
      <c r="D193" s="1000"/>
      <c r="E193" s="1000"/>
      <c r="F193" s="1641"/>
      <c r="H193" s="1641"/>
      <c r="N193" s="1645"/>
      <c r="O193" s="1645"/>
      <c r="P193" s="1645"/>
      <c r="Q193" s="1641"/>
      <c r="S193" s="1641"/>
      <c r="V193" s="1641"/>
      <c r="W193" s="1641"/>
      <c r="X193" s="1641"/>
      <c r="Y193" s="1641"/>
      <c r="AA193" s="1641"/>
      <c r="AB193" s="1641"/>
      <c r="AC193" s="1641"/>
      <c r="AD193" s="1641"/>
      <c r="AE193" s="1641"/>
      <c r="AF193" s="1641"/>
      <c r="AG193" s="1641"/>
      <c r="AH193" s="1641"/>
      <c r="AI193" s="1641"/>
      <c r="AJ193" s="1641"/>
      <c r="AK193" s="1641"/>
      <c r="AL193" s="1641"/>
      <c r="AM193" s="1641"/>
      <c r="AN193" s="1641">
        <v>11</v>
      </c>
    </row>
    <row customHeight="1" ht="11.549999999999999">
      <c r="A194" s="1000"/>
      <c r="B194" s="1000"/>
      <c r="C194" s="1000"/>
      <c r="D194" s="1000"/>
      <c r="E194" s="1000"/>
      <c r="F194" s="1641"/>
      <c r="H194" s="1641"/>
      <c r="N194" s="1645"/>
      <c r="O194" s="1645"/>
      <c r="P194" s="1645"/>
      <c r="Q194" s="1641"/>
      <c r="S194" s="1641"/>
      <c r="V194" s="1641"/>
      <c r="W194" s="1641"/>
      <c r="X194" s="1641"/>
      <c r="Y194" s="1641"/>
      <c r="AA194" s="1641"/>
      <c r="AB194" s="1641"/>
      <c r="AC194" s="1641"/>
      <c r="AD194" s="1641"/>
      <c r="AE194" s="1641"/>
      <c r="AF194" s="1641"/>
      <c r="AG194" s="1641"/>
      <c r="AH194" s="1641"/>
      <c r="AI194" s="1641"/>
      <c r="AJ194" s="1641"/>
      <c r="AK194" s="1641"/>
      <c r="AL194" s="1641"/>
      <c r="AM194" s="1641"/>
      <c r="AN194" s="1641">
        <v>11</v>
      </c>
    </row>
    <row customHeight="1" ht="11.549999999999999">
      <c r="A195" s="1000"/>
      <c r="B195" s="1000"/>
      <c r="C195" s="1000"/>
      <c r="D195" s="1000"/>
      <c r="E195" s="1000"/>
      <c r="F195" s="1641"/>
      <c r="H195" s="1641"/>
      <c r="N195" s="1645"/>
      <c r="O195" s="1645"/>
      <c r="P195" s="1645"/>
      <c r="Q195" s="1641"/>
      <c r="S195" s="1641"/>
      <c r="V195" s="1641"/>
      <c r="W195" s="1641"/>
      <c r="X195" s="1641"/>
      <c r="Y195" s="1641"/>
      <c r="AA195" s="1641"/>
      <c r="AB195" s="1641"/>
      <c r="AC195" s="1641"/>
      <c r="AD195" s="1641"/>
      <c r="AE195" s="1641"/>
      <c r="AF195" s="1641"/>
      <c r="AG195" s="1641"/>
      <c r="AH195" s="1641"/>
      <c r="AI195" s="1641"/>
      <c r="AJ195" s="1641"/>
      <c r="AK195" s="1641"/>
      <c r="AL195" s="1641"/>
      <c r="AM195" s="1641"/>
      <c r="AN195" s="1641">
        <v>11</v>
      </c>
    </row>
    <row customHeight="1" ht="11.549999999999999">
      <c r="A196" s="1000"/>
      <c r="B196" s="1000"/>
      <c r="C196" s="1000"/>
      <c r="D196" s="1000"/>
      <c r="E196" s="1000"/>
      <c r="F196" s="1641"/>
      <c r="H196" s="1641"/>
      <c r="N196" s="1645"/>
      <c r="O196" s="1645"/>
      <c r="P196" s="1645"/>
      <c r="Q196" s="1641"/>
      <c r="S196" s="1641"/>
      <c r="V196" s="1641"/>
      <c r="W196" s="1641"/>
      <c r="X196" s="1641"/>
      <c r="Y196" s="1641"/>
      <c r="AA196" s="1641"/>
      <c r="AB196" s="1641"/>
      <c r="AC196" s="1641"/>
      <c r="AD196" s="1641"/>
      <c r="AE196" s="1641"/>
      <c r="AF196" s="1641"/>
      <c r="AG196" s="1641"/>
      <c r="AH196" s="1641"/>
      <c r="AI196" s="1641"/>
      <c r="AJ196" s="1641"/>
      <c r="AK196" s="1641"/>
      <c r="AL196" s="1641"/>
      <c r="AM196" s="1641"/>
      <c r="AN196" s="1641">
        <v>11</v>
      </c>
    </row>
    <row customHeight="1" ht="11.549999999999999">
      <c r="A197" s="1000"/>
      <c r="B197" s="1000"/>
      <c r="C197" s="1000"/>
      <c r="D197" s="1000"/>
      <c r="E197" s="1000"/>
      <c r="F197" s="1641"/>
      <c r="H197" s="1641"/>
      <c r="N197" s="1645"/>
      <c r="O197" s="1645"/>
      <c r="P197" s="1645"/>
      <c r="Q197" s="1641"/>
      <c r="S197" s="1641"/>
      <c r="V197" s="1641"/>
      <c r="W197" s="1641"/>
      <c r="X197" s="1641"/>
      <c r="Y197" s="1641"/>
      <c r="AA197" s="1641"/>
      <c r="AB197" s="1641"/>
      <c r="AC197" s="1641"/>
      <c r="AD197" s="1641"/>
      <c r="AE197" s="1641"/>
      <c r="AF197" s="1641"/>
      <c r="AG197" s="1641"/>
      <c r="AH197" s="1641"/>
      <c r="AI197" s="1641"/>
      <c r="AJ197" s="1641"/>
      <c r="AK197" s="1641"/>
      <c r="AL197" s="1641"/>
      <c r="AM197" s="1641"/>
      <c r="AN197" s="1641">
        <v>11</v>
      </c>
    </row>
    <row customHeight="1" ht="11.549999999999999">
      <c r="A198" s="1000"/>
      <c r="B198" s="1000"/>
      <c r="C198" s="1000"/>
      <c r="D198" s="1000"/>
      <c r="E198" s="1000"/>
      <c r="F198" s="1641"/>
      <c r="H198" s="1641"/>
      <c r="N198" s="1645"/>
      <c r="O198" s="1645"/>
      <c r="P198" s="1645"/>
      <c r="Q198" s="1641"/>
      <c r="S198" s="1641"/>
      <c r="V198" s="1641"/>
      <c r="W198" s="1641"/>
      <c r="X198" s="1641"/>
      <c r="Y198" s="1641"/>
      <c r="AA198" s="1641"/>
      <c r="AB198" s="1641"/>
      <c r="AC198" s="1641"/>
      <c r="AD198" s="1641"/>
      <c r="AE198" s="1641"/>
      <c r="AF198" s="1641"/>
      <c r="AG198" s="1641"/>
      <c r="AH198" s="1641"/>
      <c r="AI198" s="1641"/>
      <c r="AJ198" s="1641"/>
      <c r="AK198" s="1641"/>
      <c r="AL198" s="1641"/>
      <c r="AM198" s="1641"/>
      <c r="AN198" s="1641">
        <v>11</v>
      </c>
    </row>
    <row customHeight="1" ht="11.549999999999999">
      <c r="A199" s="1000"/>
      <c r="B199" s="1000"/>
      <c r="C199" s="1000"/>
      <c r="D199" s="1000"/>
      <c r="E199" s="1000"/>
      <c r="F199" s="1641"/>
      <c r="H199" s="1641"/>
      <c r="N199" s="1645"/>
      <c r="O199" s="1645"/>
      <c r="P199" s="1645"/>
      <c r="Q199" s="1641"/>
      <c r="S199" s="1641"/>
      <c r="V199" s="1641"/>
      <c r="W199" s="1641"/>
      <c r="X199" s="1641"/>
      <c r="Y199" s="1641"/>
      <c r="AA199" s="1641"/>
      <c r="AB199" s="1641"/>
      <c r="AC199" s="1641"/>
      <c r="AD199" s="1641"/>
      <c r="AE199" s="1641"/>
      <c r="AF199" s="1641"/>
      <c r="AG199" s="1641"/>
      <c r="AH199" s="1641"/>
      <c r="AI199" s="1641"/>
      <c r="AJ199" s="1641"/>
      <c r="AK199" s="1641"/>
      <c r="AL199" s="1641"/>
      <c r="AM199" s="1641"/>
      <c r="AN199" s="1641">
        <v>11</v>
      </c>
    </row>
    <row customHeight="1" ht="11.549999999999999">
      <c r="A200" s="1000"/>
      <c r="B200" s="1000"/>
      <c r="C200" s="1000"/>
      <c r="D200" s="1000"/>
      <c r="E200" s="1000"/>
      <c r="F200" s="1641"/>
      <c r="H200" s="1641"/>
      <c r="N200" s="1645"/>
      <c r="O200" s="1645"/>
      <c r="P200" s="1645"/>
      <c r="Q200" s="1641"/>
      <c r="S200" s="1641"/>
      <c r="V200" s="1641"/>
      <c r="W200" s="1641"/>
      <c r="X200" s="1641"/>
      <c r="Y200" s="1641"/>
      <c r="AA200" s="1641"/>
      <c r="AB200" s="1641"/>
      <c r="AC200" s="1641"/>
      <c r="AD200" s="1641"/>
      <c r="AE200" s="1641"/>
      <c r="AF200" s="1641"/>
      <c r="AG200" s="1641"/>
      <c r="AH200" s="1641"/>
      <c r="AI200" s="1641"/>
      <c r="AJ200" s="1641"/>
      <c r="AK200" s="1641"/>
      <c r="AL200" s="1641"/>
      <c r="AM200" s="1641"/>
      <c r="AN200" s="1641">
        <v>11</v>
      </c>
    </row>
    <row customHeight="1" ht="11.549999999999999">
      <c r="A201" s="1000"/>
      <c r="B201" s="1000"/>
      <c r="C201" s="1000"/>
      <c r="D201" s="1000"/>
      <c r="E201" s="1000"/>
      <c r="F201" s="1641"/>
      <c r="H201" s="1641"/>
      <c r="N201" s="1645"/>
      <c r="O201" s="1645"/>
      <c r="P201" s="1645"/>
      <c r="Q201" s="1641"/>
      <c r="S201" s="1641"/>
      <c r="V201" s="1641"/>
      <c r="W201" s="1641"/>
      <c r="X201" s="1641"/>
      <c r="Y201" s="1641"/>
      <c r="AA201" s="1641"/>
      <c r="AB201" s="1641"/>
      <c r="AC201" s="1641"/>
      <c r="AD201" s="1641"/>
      <c r="AE201" s="1641"/>
      <c r="AF201" s="1641"/>
      <c r="AG201" s="1641"/>
      <c r="AH201" s="1641"/>
      <c r="AI201" s="1641"/>
      <c r="AJ201" s="1641"/>
      <c r="AK201" s="1641"/>
      <c r="AL201" s="1641"/>
      <c r="AM201" s="1641"/>
      <c r="AN201" s="1641">
        <v>11</v>
      </c>
    </row>
    <row customHeight="1" ht="11.549999999999999">
      <c r="A202" s="1000"/>
      <c r="B202" s="1000"/>
      <c r="C202" s="1000"/>
      <c r="D202" s="1000"/>
      <c r="E202" s="1000"/>
      <c r="F202" s="1641"/>
      <c r="H202" s="1641"/>
      <c r="N202" s="1645"/>
      <c r="O202" s="1645"/>
      <c r="P202" s="1645"/>
      <c r="Q202" s="1641"/>
      <c r="S202" s="1641"/>
      <c r="V202" s="1641"/>
      <c r="W202" s="1641"/>
      <c r="X202" s="1641"/>
      <c r="Y202" s="1641"/>
      <c r="AA202" s="1641"/>
      <c r="AB202" s="1641"/>
      <c r="AC202" s="1641"/>
      <c r="AD202" s="1641"/>
      <c r="AE202" s="1641"/>
      <c r="AF202" s="1641"/>
      <c r="AG202" s="1641"/>
      <c r="AH202" s="1641"/>
      <c r="AI202" s="1641"/>
      <c r="AJ202" s="1641"/>
      <c r="AK202" s="1641"/>
      <c r="AL202" s="1641"/>
      <c r="AM202" s="1641"/>
      <c r="AN202" s="1641">
        <v>11</v>
      </c>
    </row>
    <row customHeight="1" ht="11.549999999999999">
      <c r="A203" s="1000"/>
      <c r="B203" s="1000"/>
      <c r="C203" s="1000"/>
      <c r="D203" s="1000"/>
      <c r="E203" s="1000"/>
      <c r="F203" s="1641"/>
      <c r="H203" s="1641"/>
      <c r="N203" s="1645"/>
      <c r="O203" s="1645"/>
      <c r="P203" s="1645"/>
      <c r="Q203" s="1641"/>
      <c r="S203" s="1641"/>
      <c r="V203" s="1641"/>
      <c r="W203" s="1641"/>
      <c r="X203" s="1641"/>
      <c r="Y203" s="1641"/>
      <c r="AA203" s="1641"/>
      <c r="AB203" s="1641"/>
      <c r="AC203" s="1641"/>
      <c r="AD203" s="1641"/>
      <c r="AE203" s="1641"/>
      <c r="AF203" s="1641"/>
      <c r="AG203" s="1641"/>
      <c r="AH203" s="1641"/>
      <c r="AI203" s="1641"/>
      <c r="AJ203" s="1641"/>
      <c r="AK203" s="1641"/>
      <c r="AL203" s="1641"/>
      <c r="AM203" s="1641"/>
      <c r="AN203" s="1641">
        <v>11</v>
      </c>
    </row>
    <row customHeight="1" ht="12.75" hidden="1">
      <c r="A204" s="997" t="s">
        <v>82</v>
      </c>
      <c r="B204" s="997" t="s">
        <v>173</v>
      </c>
      <c r="C204" s="997" t="s">
        <v>173</v>
      </c>
      <c r="D204" s="997" t="s">
        <v>173</v>
      </c>
      <c r="E204" s="997" t="s">
        <v>173</v>
      </c>
      <c r="F204" s="1645">
        <v>16</v>
      </c>
      <c r="G204" s="1646">
        <v>0</v>
      </c>
      <c r="H204" s="1645">
        <v>3</v>
      </c>
      <c r="I204" s="1641">
        <v>7</v>
      </c>
      <c r="J204" s="1641">
        <v>56</v>
      </c>
      <c r="K204" s="1641">
        <v>10</v>
      </c>
      <c r="L204" s="1641">
        <v>40</v>
      </c>
      <c r="M204" s="1641">
        <v>40</v>
      </c>
      <c r="N204" s="1645">
        <v>40</v>
      </c>
      <c r="O204" s="1645">
        <v>40</v>
      </c>
      <c r="P204" s="1645">
        <v>40</v>
      </c>
      <c r="Q204" s="1376">
        <v>9</v>
      </c>
      <c r="R204" s="1641">
        <v>102</v>
      </c>
      <c r="S204" s="1376">
        <v>9</v>
      </c>
      <c r="T204" s="1646">
        <v>5</v>
      </c>
      <c r="U204" s="1646">
        <v>3</v>
      </c>
      <c r="V204" s="1376">
        <v>3</v>
      </c>
      <c r="W204" s="1376">
        <v>3</v>
      </c>
      <c r="X204" s="1376">
        <v>3</v>
      </c>
      <c r="Y204" s="1376">
        <v>3</v>
      </c>
      <c r="Z204" s="1646">
        <v>10</v>
      </c>
      <c r="AA204" s="1376">
        <v>34</v>
      </c>
      <c r="AB204" s="1376">
        <v>9</v>
      </c>
      <c r="AC204" s="554">
        <v>8</v>
      </c>
      <c r="AD204" s="1376">
        <v>8</v>
      </c>
      <c r="AE204" s="1376">
        <v>8</v>
      </c>
      <c r="AF204" s="1376">
        <v>8</v>
      </c>
      <c r="AG204" s="1376">
        <v>8</v>
      </c>
      <c r="AH204" s="1376">
        <v>8</v>
      </c>
      <c r="AI204" s="1642">
        <v>8</v>
      </c>
      <c r="AJ204" s="1642">
        <v>8</v>
      </c>
      <c r="AK204" s="1642">
        <v>8</v>
      </c>
      <c r="AL204" s="1642">
        <v>8</v>
      </c>
      <c r="AM204" s="1642">
        <v>8</v>
      </c>
      <c r="AN204" s="1641">
        <v>11</v>
      </c>
    </row>
  </sheetData>
  <sheetProtection sheet="1" sort="1" autoFilter="0" insertRows="1" insertColumns="1" deleteRows="1" deleteColumns="1"/>
  <mergeCells count="7">
    <mergeCell ref="I6:M6"/>
    <mergeCell ref="I7:M7"/>
    <mergeCell ref="J10:K10"/>
    <mergeCell ref="R10:R14"/>
    <mergeCell ref="J11:K11"/>
    <mergeCell ref="J12:K12"/>
    <mergeCell ref="I13:K13"/>
  </mergeCells>
  <dataValidations count="4">
    <dataValidation type="decimal" allowBlank="1" showErrorMessage="1" errorTitle="Ошибка" error="Допускается ввод только неотрицательных чисел!" sqref="L32:P33 L19:P29 L16:P16 L2:P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P17">
      <formula1>900</formula1>
    </dataValidation>
    <dataValidation type="whole" allowBlank="1" showErrorMessage="1" errorTitle="Ошибка" error="Допускается ввод только неотрицательных целых чисел!" sqref="L30:P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P15 L34:P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11DA16-9DBD-ED0D-5D2D-0.94F6077E}"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45" width="10.57421875" hidden="1"/>
    <col min="5" max="5" style="2407" width="9.140625" hidden="1" customWidth="1"/>
    <col min="6" max="7" style="1376" width="9.140625" hidden="1" customWidth="1"/>
    <col min="8" max="8" style="354" width="3.00390625" customWidth="1"/>
    <col min="9" max="9" style="1645" width="6.00390625" customWidth="1"/>
    <col min="10" max="10" style="1645" width="63.00390625" customWidth="1"/>
    <col min="11" max="11" style="1645" width="9.00390625" customWidth="1"/>
    <col min="12" max="12" style="1645" width="39.00390625" customWidth="1"/>
    <col min="13" max="13" style="1645" width="89.00390625" customWidth="1"/>
    <col min="14" max="14" style="1645" width="10.00390625" customWidth="1"/>
    <col min="15" max="16" style="1634" width="10.00390625" customWidth="1"/>
    <col min="17" max="22" style="1645" width="10.00390625" customWidth="1"/>
    <col min="23" max="23" style="1645" width="10.57421875" hidden="1"/>
  </cols>
  <sheetData>
    <row customHeight="1" ht="22.5" hidden="1">
      <c r="S1" s="265"/>
      <c r="T1" s="265"/>
      <c r="V1" s="265"/>
      <c r="W1" s="1641" t="s">
        <v>14</v>
      </c>
    </row>
    <row customHeight="1" ht="22.5" hidden="1">
      <c r="B2" s="2063" t="s">
        <v>712</v>
      </c>
      <c r="C2" s="2063" t="s">
        <v>713</v>
      </c>
      <c r="D2" s="2062" t="s">
        <v>652</v>
      </c>
      <c r="E2" s="2068">
        <f>I2-3</f>
        <v>-3</v>
      </c>
      <c r="F2" s="2068">
        <f>J2</f>
        <v>0</v>
      </c>
      <c r="H2" s="1740" t="s">
        <v>105</v>
      </c>
      <c r="I2" s="2034"/>
      <c r="J2" s="1692"/>
      <c r="K2" s="2028" t="s">
        <v>328</v>
      </c>
      <c r="L2" s="1174"/>
      <c r="M2" s="307"/>
      <c r="N2" s="1634"/>
      <c r="P2" s="1641"/>
      <c r="W2" s="1641">
        <v>0</v>
      </c>
    </row>
    <row customHeight="1" ht="14.25" hidden="1">
      <c r="W3" s="1641">
        <v>0</v>
      </c>
    </row>
    <row customHeight="1" ht="6.3">
      <c r="H4" s="386"/>
      <c r="I4" s="467"/>
      <c r="J4" s="467"/>
      <c r="K4" s="467"/>
      <c r="L4" s="95"/>
      <c r="M4" s="95"/>
      <c r="W4" s="1641">
        <v>6</v>
      </c>
    </row>
    <row customHeight="1" ht="50.25">
      <c r="H5" s="386"/>
      <c r="I5" s="2258" t="s">
        <v>714</v>
      </c>
      <c r="J5" s="2258"/>
      <c r="K5" s="2258"/>
      <c r="L5" s="2258"/>
      <c r="M5" s="276"/>
      <c r="W5" s="1641">
        <v>48</v>
      </c>
    </row>
    <row customHeight="1" ht="18">
      <c r="H6" s="386"/>
      <c r="I6" s="2259" t="str">
        <f>IF(org=0,"Не определено",org)</f>
        <v>АО «ДГК» СП «Нерюнгринская ГРЭС»</v>
      </c>
      <c r="J6" s="2259"/>
      <c r="K6" s="2259"/>
      <c r="L6" s="2259"/>
      <c r="M6" s="276"/>
      <c r="W6" s="1641">
        <v>17</v>
      </c>
    </row>
    <row customHeight="1" ht="14.699999999999998">
      <c r="H7" s="386"/>
      <c r="I7" s="467"/>
      <c r="J7" s="473"/>
      <c r="K7" s="473"/>
      <c r="L7" s="762"/>
      <c r="M7" s="203"/>
      <c r="W7" s="1641">
        <v>14</v>
      </c>
    </row>
    <row customHeight="1" ht="14.699999999999998">
      <c r="H8" s="386"/>
      <c r="I8" s="2396" t="s">
        <v>322</v>
      </c>
      <c r="J8" s="2397"/>
      <c r="K8" s="2397"/>
      <c r="L8" s="2398"/>
      <c r="M8" s="2399" t="s">
        <v>323</v>
      </c>
      <c r="W8" s="1641">
        <v>14</v>
      </c>
    </row>
    <row customHeight="1" ht="35.699999999999996">
      <c r="E9" s="2061" t="s">
        <v>643</v>
      </c>
      <c r="F9" s="2061" t="s">
        <v>649</v>
      </c>
      <c r="H9" s="386"/>
      <c r="I9" s="2035" t="s">
        <v>88</v>
      </c>
      <c r="J9" s="2036" t="s">
        <v>324</v>
      </c>
      <c r="K9" s="2074" t="s">
        <v>588</v>
      </c>
      <c r="L9" s="2075" t="s">
        <v>325</v>
      </c>
      <c r="M9" s="2399"/>
      <c r="W9" s="1641">
        <v>34</v>
      </c>
    </row>
    <row customHeight="1" ht="35.699999999999996">
      <c r="B10" s="2063" t="s">
        <v>715</v>
      </c>
      <c r="C10" s="2063" t="s">
        <v>716</v>
      </c>
      <c r="D10" s="2062" t="s">
        <v>652</v>
      </c>
      <c r="E10" s="2066" t="s">
        <v>653</v>
      </c>
      <c r="F10" s="2066" t="s">
        <v>653</v>
      </c>
      <c r="H10" s="386"/>
      <c r="I10" s="2034" t="s">
        <v>124</v>
      </c>
      <c r="J10" s="1896" t="s">
        <v>717</v>
      </c>
      <c r="K10" s="2028" t="s">
        <v>328</v>
      </c>
      <c r="L10" s="828"/>
      <c r="M10" s="307" t="s">
        <v>718</v>
      </c>
      <c r="W10" s="1641">
        <v>34</v>
      </c>
    </row>
    <row customHeight="1" ht="50.25">
      <c r="B11" s="2063" t="s">
        <v>719</v>
      </c>
      <c r="C11" s="2063" t="s">
        <v>720</v>
      </c>
      <c r="D11" s="2062" t="s">
        <v>652</v>
      </c>
      <c r="E11" s="2066" t="s">
        <v>653</v>
      </c>
      <c r="F11" s="2066" t="s">
        <v>653</v>
      </c>
      <c r="H11" s="386"/>
      <c r="I11" s="2034" t="s">
        <v>104</v>
      </c>
      <c r="J11" s="1896" t="s">
        <v>721</v>
      </c>
      <c r="K11" s="2028" t="s">
        <v>328</v>
      </c>
      <c r="L11" s="828"/>
      <c r="M11" s="307" t="s">
        <v>718</v>
      </c>
      <c r="W11" s="1641">
        <v>48</v>
      </c>
    </row>
    <row customHeight="1" ht="48.29999999999999">
      <c r="B12" s="2063" t="s">
        <v>722</v>
      </c>
      <c r="C12" s="2063" t="s">
        <v>723</v>
      </c>
      <c r="D12" s="2062" t="s">
        <v>652</v>
      </c>
      <c r="E12" s="2066" t="s">
        <v>653</v>
      </c>
      <c r="F12" s="2066" t="s">
        <v>653</v>
      </c>
      <c r="H12" s="1698"/>
      <c r="I12" s="2034" t="s">
        <v>90</v>
      </c>
      <c r="J12" s="2041" t="s">
        <v>724</v>
      </c>
      <c r="K12" s="2028" t="s">
        <v>328</v>
      </c>
      <c r="L12" s="828"/>
      <c r="M12" s="307" t="s">
        <v>725</v>
      </c>
      <c r="N12" s="1634"/>
      <c r="P12" s="1641"/>
      <c r="W12" s="1641">
        <v>46</v>
      </c>
    </row>
    <row customHeight="1" ht="14.699999999999998">
      <c r="E13" s="353"/>
      <c r="H13" s="386"/>
      <c r="I13" s="357"/>
      <c r="J13" s="661" t="s">
        <v>726</v>
      </c>
      <c r="K13" s="581"/>
      <c r="L13" s="224"/>
      <c r="M13" s="307"/>
      <c r="W13" s="1641">
        <v>14</v>
      </c>
    </row>
    <row customHeight="1" ht="14.699999999999998">
      <c r="E14" s="353"/>
      <c r="H14" s="386"/>
      <c r="I14" s="1067"/>
      <c r="J14" s="1687"/>
      <c r="K14" s="1688"/>
      <c r="L14" s="1689"/>
      <c r="M14" s="2038"/>
      <c r="W14" s="1641">
        <v>14</v>
      </c>
    </row>
    <row customHeight="1" ht="14.699999999999998">
      <c r="I15" s="1691"/>
      <c r="J15" s="2395"/>
      <c r="K15" s="2395"/>
      <c r="L15" s="2395"/>
      <c r="M15" s="2395"/>
      <c r="W15" s="1641">
        <v>14</v>
      </c>
    </row>
    <row customHeight="1" ht="21" hidden="1">
      <c r="A16" s="2040" t="s">
        <v>82</v>
      </c>
      <c r="B16" s="1641">
        <v>9</v>
      </c>
      <c r="C16" s="1641">
        <v>9</v>
      </c>
      <c r="D16" s="1641">
        <v>9</v>
      </c>
      <c r="E16" s="2040" t="s">
        <v>172</v>
      </c>
      <c r="F16" s="2065" t="s">
        <v>172</v>
      </c>
      <c r="G16" s="2067"/>
      <c r="H16" s="354">
        <v>3</v>
      </c>
      <c r="I16" s="1641">
        <v>6</v>
      </c>
      <c r="J16" s="1641">
        <v>63</v>
      </c>
      <c r="K16" s="1641">
        <v>9</v>
      </c>
      <c r="L16" s="1641">
        <v>39</v>
      </c>
      <c r="M16" s="1641">
        <v>89</v>
      </c>
      <c r="N16" s="1641">
        <v>10</v>
      </c>
      <c r="O16" s="1634">
        <v>10</v>
      </c>
      <c r="P16" s="1634">
        <v>10</v>
      </c>
      <c r="Q16" s="1641">
        <v>10</v>
      </c>
      <c r="R16" s="1641">
        <v>10</v>
      </c>
      <c r="S16" s="1641">
        <v>10</v>
      </c>
      <c r="T16" s="1641">
        <v>10</v>
      </c>
      <c r="U16" s="1641">
        <v>10</v>
      </c>
      <c r="V16" s="1641">
        <v>10</v>
      </c>
      <c r="W16" s="1641">
        <v>23</v>
      </c>
    </row>
  </sheetData>
  <sheetProtection sheet="1" formatColumns="0" formatRows="0" sort="1" autoFilter="0" insertRows="1" insertColumns="1" deleteRows="1" deleteColumns="1"/>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9CEEED-7394-9202-0453-0.DDE5117C}" mc:Ignorable="x14ac xr xr2 xr3">
  <sheetPr>
    <tabColor theme="9" tint="-0.25"/>
  </sheetPr>
  <dimension ref="A1:AI217"/>
  <sheetViews>
    <sheetView showGridLines="0" zoomScale="90" workbookViewId="0">
      <pane xSplit="8" ySplit="14" topLeftCell="I15" activePane="bottomRight" state="frozen"/>
      <selection pane="bottomLeft" activeCell="A15" sqref="A15"/>
      <selection pane="topRight" activeCell="I1" sqref="I1"/>
      <selection pane="bottomRight" activeCell="L9" sqref="L9"/>
    </sheetView>
  </sheetViews>
  <sheetFormatPr defaultColWidth="9.140625" customHeight="1" defaultRowHeight="11.25"/>
  <cols>
    <col min="1" max="1" style="997" width="10.7109375" hidden="1" customWidth="1"/>
    <col min="2" max="2" style="1376" width="16.8515625" hidden="1" customWidth="1"/>
    <col min="3" max="3" style="1652" width="5.57421875" hidden="1" customWidth="1"/>
    <col min="4" max="4" style="1645" width="3.00390625" customWidth="1"/>
    <col min="5" max="5" style="1645" width="7.00390625" customWidth="1"/>
    <col min="6" max="6" style="1645" width="56.00390625" customWidth="1"/>
    <col min="7" max="7" style="1645" width="10.00390625" customWidth="1"/>
    <col min="8" max="8" style="1645" width="40.7109375" hidden="1" customWidth="1"/>
    <col min="9" max="9" style="1645" width="40.00390625" customWidth="1"/>
    <col min="10" max="12" style="1645" width="40.7109375" customWidth="1"/>
    <col min="13" max="13" style="1645" width="102.00390625" customWidth="1"/>
    <col min="14" max="14" style="1376" width="9.00390625" customWidth="1"/>
    <col min="15" max="15" style="1652" width="5.00390625" customWidth="1"/>
    <col min="16" max="16" style="1652" width="3.00390625" customWidth="1"/>
    <col min="17" max="20" style="1376" width="3.00390625" customWidth="1"/>
    <col min="21" max="21" style="1652" width="10.00390625" customWidth="1"/>
    <col min="22" max="22" style="1376" width="34.00390625" customWidth="1"/>
    <col min="23" max="23" style="1376" width="9.00390625" customWidth="1"/>
    <col min="24" max="24" style="746" width="8.00390625" customWidth="1"/>
    <col min="25" max="29" style="1376" width="8.00390625" customWidth="1"/>
    <col min="30" max="34" style="1642" width="8.00390625" customWidth="1"/>
    <col min="35" max="35" style="1645" width="10.421875" hidden="1" customWidth="1"/>
  </cols>
  <sheetData>
    <row s="1376" customFormat="1" customHeight="1" ht="22.5" hidden="1">
      <c r="A1" s="997"/>
      <c r="C1" s="1646"/>
      <c r="D1" s="547"/>
      <c r="H1" s="1170">
        <v>4</v>
      </c>
      <c r="I1" s="1170">
        <v>4</v>
      </c>
      <c r="J1" s="1376">
        <v>4</v>
      </c>
      <c r="K1" s="1376">
        <v>4</v>
      </c>
      <c r="L1" s="1376">
        <v>4</v>
      </c>
      <c r="O1" s="1646"/>
      <c r="P1" s="1646"/>
      <c r="U1" s="1646"/>
      <c r="AI1" s="1170" t="s">
        <v>14</v>
      </c>
    </row>
    <row s="1376" customFormat="1" customHeight="1" ht="22.5" hidden="1">
      <c r="A2" s="997"/>
      <c r="C2" s="1646"/>
      <c r="D2" s="548"/>
      <c r="E2" s="1647"/>
      <c r="F2" s="550"/>
      <c r="G2" s="1649" t="s">
        <v>574</v>
      </c>
      <c r="H2" s="551"/>
      <c r="I2" s="551"/>
      <c r="J2" s="761"/>
      <c r="K2" s="761"/>
      <c r="L2" s="761"/>
      <c r="M2" s="552" t="s">
        <v>727</v>
      </c>
      <c r="N2" s="553"/>
      <c r="O2" s="1646"/>
      <c r="P2" s="1646"/>
      <c r="U2" s="1646"/>
      <c r="X2" s="554"/>
      <c r="AD2" s="1642"/>
      <c r="AE2" s="1642"/>
      <c r="AF2" s="1642"/>
      <c r="AG2" s="1642"/>
      <c r="AH2" s="1642"/>
      <c r="AI2" s="1170">
        <v>0</v>
      </c>
    </row>
    <row customHeight="1" ht="11.25" hidden="1">
      <c r="J3" s="1645"/>
      <c r="K3" s="1645"/>
      <c r="L3" s="1645"/>
      <c r="AI3" s="1641">
        <v>0</v>
      </c>
    </row>
    <row s="1642" customFormat="1" customHeight="1" ht="11.25" hidden="1">
      <c r="A4" s="997"/>
      <c r="B4" s="1170"/>
      <c r="C4" s="1646"/>
      <c r="D4" s="372"/>
      <c r="J4" s="1642"/>
      <c r="K4" s="1642"/>
      <c r="L4" s="1642"/>
      <c r="M4" s="1642">
        <v>4</v>
      </c>
      <c r="N4" s="1170"/>
      <c r="O4" s="1646"/>
      <c r="P4" s="1646"/>
      <c r="Q4" s="1170"/>
      <c r="R4" s="1170"/>
      <c r="S4" s="1170"/>
      <c r="T4" s="1170"/>
      <c r="U4" s="1646"/>
      <c r="V4" s="1170"/>
      <c r="W4" s="1170"/>
      <c r="X4" s="554"/>
      <c r="Y4" s="1170"/>
      <c r="Z4" s="1170"/>
      <c r="AA4" s="1170"/>
      <c r="AB4" s="1170"/>
      <c r="AC4" s="1170"/>
      <c r="AI4" s="1642">
        <v>0</v>
      </c>
    </row>
    <row customHeight="1" ht="11.549999999999999">
      <c r="J5" s="1645"/>
      <c r="K5" s="1645"/>
      <c r="L5" s="1645"/>
      <c r="AI5" s="1641">
        <v>11</v>
      </c>
    </row>
    <row customHeight="1" ht="31.5">
      <c r="E6" s="2317" t="s">
        <v>728</v>
      </c>
      <c r="F6" s="2317"/>
      <c r="G6" s="2317"/>
      <c r="H6" s="2317"/>
      <c r="I6" s="2317"/>
      <c r="J6" s="2317"/>
      <c r="K6" s="2317"/>
      <c r="L6" s="2317"/>
      <c r="M6" s="566"/>
      <c r="AI6" s="1641">
        <v>30</v>
      </c>
    </row>
    <row customHeight="1" ht="11.549999999999999">
      <c r="E7" s="2259" t="str">
        <f>IF(org=0,"Не определено",org)</f>
        <v>АО «ДГК» СП «Нерюнгринская ГРЭС»</v>
      </c>
      <c r="F7" s="2259"/>
      <c r="G7" s="2259"/>
      <c r="H7" s="2259"/>
      <c r="I7" s="2259"/>
      <c r="J7" s="2259"/>
      <c r="K7" s="2259"/>
      <c r="L7" s="2259"/>
      <c r="AI7" s="1641">
        <v>11</v>
      </c>
    </row>
    <row customHeight="1" ht="11.549999999999999">
      <c r="E8" s="1145"/>
      <c r="F8" s="1145"/>
      <c r="G8" s="1145"/>
      <c r="H8" s="1145"/>
      <c r="I8" s="1145"/>
      <c r="J8" s="1146" t="s">
        <v>22</v>
      </c>
      <c r="K8" s="1146" t="s">
        <v>22</v>
      </c>
      <c r="L8" s="1146" t="s">
        <v>22</v>
      </c>
      <c r="AI8" s="1641">
        <v>11</v>
      </c>
    </row>
    <row s="1652" customFormat="1" customHeight="1" ht="4.2">
      <c r="A9" s="1177"/>
      <c r="D9" s="1652"/>
      <c r="H9" s="899"/>
      <c r="I9" s="899" t="s">
        <v>132</v>
      </c>
      <c r="J9" s="899" t="s">
        <v>138</v>
      </c>
      <c r="K9" s="899" t="s">
        <v>141</v>
      </c>
      <c r="L9" s="899" t="s">
        <v>143</v>
      </c>
      <c r="AI9" s="1646">
        <v>4</v>
      </c>
    </row>
    <row customHeight="1" ht="11.549999999999999">
      <c r="E10" s="721"/>
      <c r="F10" s="2377" t="s">
        <v>120</v>
      </c>
      <c r="G10" s="2378"/>
      <c r="H10" s="1562" t="str">
        <f>IF(H9="","",INDEX(DIFFERENTIATION_UNMERGE_VD,MATCH(H9,DIFFERENTIATION_ID_DIFF,0)))</f>
        <v/>
      </c>
      <c r="I10" s="1562" t="str">
        <f>IF(I9="","",INDEX(DIFFERENTIATION_UNMERGE_VD,MATCH(I9,DIFFERENTIATION_ID_DIFF,0)))</f>
        <v>Производство тепловой энергии. Некомбинированная выработка</v>
      </c>
      <c r="J10" s="2403" t="str">
        <f>IF(J9="","",INDEX(DIFFERENTIATION_UNMERGE_VD,MATCH(J9,DIFFERENTIATION_ID_DIFF,0)))</f>
        <v>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K10" s="2403" t="str">
        <f>IF(K9="","",INDEX(DIFFERENTIATION_UNMERGE_VD,MATCH(K9,DIFFERENTIATION_ID_DIFF,0)))</f>
        <v>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L10" s="2403" t="str">
        <f>IF(L9="","",INDEX(DIFFERENTIATION_UNMERGE_VD,MATCH(L9,DIFFERENTIATION_ID_DIFF,0)))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 Передача. Тепловая энергия; Передача. Теплоноситель; Сбыт. Тепловая энергия; Сбыт. Теплоноситель</v>
      </c>
      <c r="M10" s="2137"/>
      <c r="AI10" s="1641">
        <v>11</v>
      </c>
    </row>
    <row customHeight="1" ht="11.549999999999999">
      <c r="E11" s="721"/>
      <c r="F11" s="2377" t="s">
        <v>586</v>
      </c>
      <c r="G11" s="2378"/>
      <c r="H11" s="1562" t="str">
        <f>IF(H9="","",INDEX(DIFFERENTIATION_UNMERGE_AREA,MATCH(H9,DIFFERENTIATION_ID_DIFF,0)))</f>
        <v/>
      </c>
      <c r="I11" s="1562" t="str">
        <f>IF(I9="","",INDEX(DIFFERENTIATION_UNMERGE_AREA,MATCH(I9,DIFFERENTIATION_ID_DIFF,0)))</f>
        <v>Территория 1</v>
      </c>
      <c r="J11" s="2403" t="str">
        <f>IF(J9="","",INDEX(DIFFERENTIATION_UNMERGE_AREA,MATCH(J9,DIFFERENTIATION_ID_DIFF,0)))</f>
        <v>Территория 2</v>
      </c>
      <c r="K11" s="2403" t="str">
        <f>IF(K9="","",INDEX(DIFFERENTIATION_UNMERGE_AREA,MATCH(K9,DIFFERENTIATION_ID_DIFF,0)))</f>
        <v>Территория 3</v>
      </c>
      <c r="L11" s="2403" t="str">
        <f>IF(L9="","",INDEX(DIFFERENTIATION_UNMERGE_AREA,MATCH(L9,DIFFERENTIATION_ID_DIFF,0)))</f>
        <v>Территория 4</v>
      </c>
      <c r="M11" s="2137"/>
      <c r="AI11" s="1641">
        <v>11</v>
      </c>
    </row>
    <row customHeight="1" ht="1.05">
      <c r="E12" s="1672"/>
      <c r="F12" s="2400" t="s">
        <v>587</v>
      </c>
      <c r="G12" s="2401"/>
      <c r="H12" s="1673" t="str">
        <f>IF(H9="","",INDEX(DIFFERENTIATION_UNMERGE_SYSTEM,MATCH(H9,DIFFERENTIATION_ID_DIFF,0)))</f>
        <v/>
      </c>
      <c r="I12" s="1673" t="str">
        <f>IF(I9="","",INDEX(DIFFERENTIATION_UNMERGE_SYSTEM,MATCH(I9,DIFFERENTIATION_ID_DIFF,0)))</f>
        <v>Нерюнгринская ГРЭС (г. Нерюнгри)</v>
      </c>
      <c r="J12" s="1673" t="str">
        <f>IF(J9="","",INDEX(DIFFERENTIATION_UNMERGE_SYSTEM,MATCH(J9,DIFFERENTIATION_ID_DIFF,0)))</f>
        <v>Нерюнгринская ГРЭС (п. Серебряный Бор)</v>
      </c>
      <c r="K12" s="1673" t="str">
        <f>IF(K9="","",INDEX(DIFFERENTIATION_UNMERGE_SYSTEM,MATCH(K9,DIFFERENTIATION_ID_DIFF,0)))</f>
        <v>Нерюнгринская ГРЭС (п. Беркакит)</v>
      </c>
      <c r="L12" s="1673" t="str">
        <f>IF(L9="","",INDEX(DIFFERENTIATION_UNMERGE_SYSTEM,MATCH(L9,DIFFERENTIATION_ID_DIFF,0)))</f>
        <v>Чульманская ТЭЦ (п. Чульман)</v>
      </c>
      <c r="M12" s="2137"/>
      <c r="AI12" s="1641">
        <v>1</v>
      </c>
    </row>
    <row customHeight="1" ht="11.549999999999999">
      <c r="E13" s="2379" t="s">
        <v>322</v>
      </c>
      <c r="F13" s="2380"/>
      <c r="G13" s="2380"/>
      <c r="H13" s="1561"/>
      <c r="I13" s="1561"/>
      <c r="J13" s="2377"/>
      <c r="K13" s="2377"/>
      <c r="L13" s="2377"/>
      <c r="M13" s="2137"/>
      <c r="AI13" s="1641">
        <v>11</v>
      </c>
    </row>
    <row customHeight="1" ht="24">
      <c r="E14" s="1649" t="s">
        <v>88</v>
      </c>
      <c r="F14" s="1644" t="s">
        <v>324</v>
      </c>
      <c r="G14" s="1644" t="s">
        <v>588</v>
      </c>
      <c r="H14" s="1644" t="s">
        <v>325</v>
      </c>
      <c r="I14" s="1644" t="s">
        <v>325</v>
      </c>
      <c r="J14" s="2322" t="s">
        <v>325</v>
      </c>
      <c r="K14" s="2322" t="s">
        <v>325</v>
      </c>
      <c r="L14" s="2322" t="s">
        <v>325</v>
      </c>
      <c r="M14" s="2137"/>
      <c r="AI14" s="1641">
        <v>23</v>
      </c>
    </row>
    <row customHeight="1" ht="19.95">
      <c r="D15" s="1648"/>
      <c r="E15" s="1640" t="s">
        <v>124</v>
      </c>
      <c r="F15" s="717" t="s">
        <v>729</v>
      </c>
      <c r="G15" s="1656" t="s">
        <v>574</v>
      </c>
      <c r="H15" s="567"/>
      <c r="I15" s="567"/>
      <c r="J15" s="567"/>
      <c r="K15" s="567"/>
      <c r="L15" s="567"/>
      <c r="M15" s="299" t="s">
        <v>730</v>
      </c>
      <c r="N15" s="553" t="s">
        <v>655</v>
      </c>
      <c r="AI15" s="1641">
        <v>19</v>
      </c>
    </row>
    <row customHeight="1" ht="35.699999999999996">
      <c r="D16" s="1648"/>
      <c r="E16" s="1640" t="s">
        <v>104</v>
      </c>
      <c r="F16" s="717" t="s">
        <v>731</v>
      </c>
      <c r="G16" s="1656" t="s">
        <v>574</v>
      </c>
      <c r="H16" s="568">
        <f>SUM(H17,H20:H32)</f>
        <v>0</v>
      </c>
      <c r="I16" s="568">
        <f>SUM(I17,I20,I23,I26,I29:I32)</f>
        <v>0</v>
      </c>
      <c r="J16" s="568">
        <f>SUM(J17,J20:J32)</f>
        <v>0</v>
      </c>
      <c r="K16" s="568">
        <f>SUM(K17,K20:K32)</f>
        <v>0</v>
      </c>
      <c r="L16" s="568">
        <f>SUM(L17,L20:L32)</f>
        <v>0</v>
      </c>
      <c r="M16" s="299" t="s">
        <v>732</v>
      </c>
      <c r="N16" s="553" t="s">
        <v>655</v>
      </c>
      <c r="AI16" s="1641">
        <v>34</v>
      </c>
    </row>
    <row customHeight="1" ht="19.95">
      <c r="D17" s="1648"/>
      <c r="E17" s="1674" t="s">
        <v>733</v>
      </c>
      <c r="F17" s="964" t="s">
        <v>734</v>
      </c>
      <c r="G17" s="1653" t="s">
        <v>574</v>
      </c>
      <c r="H17" s="567"/>
      <c r="I17" s="567"/>
      <c r="J17" s="567"/>
      <c r="K17" s="567"/>
      <c r="L17" s="567"/>
      <c r="M17" s="299" t="s">
        <v>735</v>
      </c>
      <c r="N17" s="553"/>
      <c r="AI17" s="1641">
        <v>19</v>
      </c>
    </row>
    <row customHeight="1" ht="24">
      <c r="D18" s="1648"/>
      <c r="E18" s="1674" t="s">
        <v>736</v>
      </c>
      <c r="F18" s="1660" t="s">
        <v>737</v>
      </c>
      <c r="G18" s="1653" t="s">
        <v>574</v>
      </c>
      <c r="H18" s="567"/>
      <c r="I18" s="567"/>
      <c r="J18" s="567"/>
      <c r="K18" s="567"/>
      <c r="L18" s="567"/>
      <c r="M18" s="299" t="s">
        <v>738</v>
      </c>
      <c r="N18" s="553"/>
      <c r="AI18" s="1641">
        <v>23</v>
      </c>
    </row>
    <row customHeight="1" ht="35.699999999999996">
      <c r="D19" s="1648"/>
      <c r="E19" s="1674" t="s">
        <v>739</v>
      </c>
      <c r="F19" s="1660" t="s">
        <v>740</v>
      </c>
      <c r="G19" s="1653" t="s">
        <v>574</v>
      </c>
      <c r="H19" s="567"/>
      <c r="I19" s="567"/>
      <c r="J19" s="567"/>
      <c r="K19" s="567"/>
      <c r="L19" s="567"/>
      <c r="M19" s="299"/>
      <c r="N19" s="553"/>
      <c r="AI19" s="1641">
        <v>34</v>
      </c>
    </row>
    <row customHeight="1" ht="19.95">
      <c r="D20" s="1648"/>
      <c r="E20" s="1674" t="s">
        <v>329</v>
      </c>
      <c r="F20" s="964" t="s">
        <v>741</v>
      </c>
      <c r="G20" s="1653" t="s">
        <v>574</v>
      </c>
      <c r="H20" s="567"/>
      <c r="I20" s="567"/>
      <c r="J20" s="567"/>
      <c r="K20" s="567"/>
      <c r="L20" s="567"/>
      <c r="M20" s="299" t="s">
        <v>742</v>
      </c>
      <c r="N20" s="553"/>
      <c r="AI20" s="1641">
        <v>19</v>
      </c>
    </row>
    <row customHeight="1" ht="19.95">
      <c r="D21" s="1648"/>
      <c r="E21" s="1674" t="s">
        <v>743</v>
      </c>
      <c r="F21" s="1660" t="s">
        <v>744</v>
      </c>
      <c r="G21" s="1653" t="s">
        <v>574</v>
      </c>
      <c r="H21" s="567"/>
      <c r="I21" s="567"/>
      <c r="J21" s="567"/>
      <c r="K21" s="567"/>
      <c r="L21" s="567"/>
      <c r="M21" s="299"/>
      <c r="N21" s="553"/>
      <c r="AI21" s="1641">
        <v>19</v>
      </c>
    </row>
    <row customHeight="1" ht="19.95">
      <c r="D22" s="1648"/>
      <c r="E22" s="1674" t="s">
        <v>745</v>
      </c>
      <c r="F22" s="1660" t="s">
        <v>746</v>
      </c>
      <c r="G22" s="1653" t="s">
        <v>574</v>
      </c>
      <c r="H22" s="567"/>
      <c r="I22" s="567"/>
      <c r="J22" s="567"/>
      <c r="K22" s="567"/>
      <c r="L22" s="567"/>
      <c r="M22" s="299"/>
      <c r="N22" s="553"/>
      <c r="AI22" s="1641">
        <v>19</v>
      </c>
    </row>
    <row customHeight="1" ht="24">
      <c r="D23" s="1648"/>
      <c r="E23" s="1674" t="s">
        <v>332</v>
      </c>
      <c r="F23" s="964" t="s">
        <v>747</v>
      </c>
      <c r="G23" s="1653" t="s">
        <v>574</v>
      </c>
      <c r="H23" s="567"/>
      <c r="I23" s="567"/>
      <c r="J23" s="567"/>
      <c r="K23" s="567"/>
      <c r="L23" s="567"/>
      <c r="M23" s="299" t="s">
        <v>748</v>
      </c>
      <c r="N23" s="553"/>
      <c r="AI23" s="1641">
        <v>23</v>
      </c>
    </row>
    <row customHeight="1" ht="19.95">
      <c r="D24" s="1648"/>
      <c r="E24" s="1674" t="s">
        <v>749</v>
      </c>
      <c r="F24" s="1660" t="s">
        <v>750</v>
      </c>
      <c r="G24" s="1653" t="s">
        <v>574</v>
      </c>
      <c r="H24" s="567"/>
      <c r="I24" s="567"/>
      <c r="J24" s="567"/>
      <c r="K24" s="567"/>
      <c r="L24" s="567"/>
      <c r="M24" s="299"/>
      <c r="N24" s="553"/>
      <c r="AI24" s="1641">
        <v>19</v>
      </c>
    </row>
    <row customHeight="1" ht="35.699999999999996">
      <c r="D25" s="1648"/>
      <c r="E25" s="1674" t="s">
        <v>751</v>
      </c>
      <c r="F25" s="1660" t="s">
        <v>752</v>
      </c>
      <c r="G25" s="1653" t="s">
        <v>574</v>
      </c>
      <c r="H25" s="567"/>
      <c r="I25" s="567"/>
      <c r="J25" s="567"/>
      <c r="K25" s="567"/>
      <c r="L25" s="567"/>
      <c r="M25" s="299"/>
      <c r="N25" s="553"/>
      <c r="AI25" s="1641">
        <v>34</v>
      </c>
    </row>
    <row customHeight="1" ht="24">
      <c r="D26" s="1648"/>
      <c r="E26" s="1674" t="s">
        <v>753</v>
      </c>
      <c r="F26" s="964" t="s">
        <v>754</v>
      </c>
      <c r="G26" s="1653" t="s">
        <v>574</v>
      </c>
      <c r="H26" s="567"/>
      <c r="I26" s="567"/>
      <c r="J26" s="567"/>
      <c r="K26" s="567"/>
      <c r="L26" s="567"/>
      <c r="M26" s="299" t="s">
        <v>755</v>
      </c>
      <c r="N26" s="553"/>
      <c r="AI26" s="1641">
        <v>23</v>
      </c>
    </row>
    <row customHeight="1" ht="19.95">
      <c r="D27" s="1648"/>
      <c r="E27" s="1685" t="s">
        <v>756</v>
      </c>
      <c r="F27" s="1660" t="s">
        <v>757</v>
      </c>
      <c r="G27" s="1664" t="s">
        <v>574</v>
      </c>
      <c r="H27" s="1686"/>
      <c r="I27" s="1686"/>
      <c r="J27" s="1686"/>
      <c r="K27" s="1686"/>
      <c r="L27" s="1686"/>
      <c r="M27" s="299"/>
      <c r="N27" s="553"/>
      <c r="AI27" s="1641">
        <v>19</v>
      </c>
    </row>
    <row customHeight="1" ht="19.95">
      <c r="D28" s="1648"/>
      <c r="E28" s="1685" t="s">
        <v>758</v>
      </c>
      <c r="F28" s="1660" t="s">
        <v>759</v>
      </c>
      <c r="G28" s="1664" t="s">
        <v>574</v>
      </c>
      <c r="H28" s="1686"/>
      <c r="I28" s="1686"/>
      <c r="J28" s="1686"/>
      <c r="K28" s="1686"/>
      <c r="L28" s="1686"/>
      <c r="M28" s="299"/>
      <c r="N28" s="553"/>
      <c r="AI28" s="1641">
        <v>19</v>
      </c>
    </row>
    <row customHeight="1" ht="19.95">
      <c r="D29" s="1648"/>
      <c r="E29" s="1685" t="s">
        <v>760</v>
      </c>
      <c r="F29" s="964" t="s">
        <v>761</v>
      </c>
      <c r="G29" s="1664" t="s">
        <v>574</v>
      </c>
      <c r="H29" s="1686"/>
      <c r="I29" s="1686"/>
      <c r="J29" s="1686"/>
      <c r="K29" s="1686"/>
      <c r="L29" s="1686"/>
      <c r="M29" s="299"/>
      <c r="N29" s="553"/>
      <c r="AI29" s="1641">
        <v>19</v>
      </c>
    </row>
    <row customHeight="1" ht="19.95">
      <c r="D30" s="1648"/>
      <c r="E30" s="1685" t="s">
        <v>762</v>
      </c>
      <c r="F30" s="964" t="s">
        <v>763</v>
      </c>
      <c r="G30" s="1664" t="s">
        <v>574</v>
      </c>
      <c r="H30" s="1686"/>
      <c r="I30" s="1686"/>
      <c r="J30" s="1686"/>
      <c r="K30" s="1686"/>
      <c r="L30" s="1686"/>
      <c r="M30" s="299"/>
      <c r="N30" s="553"/>
      <c r="AI30" s="1641">
        <v>19</v>
      </c>
    </row>
    <row customHeight="1" ht="19.95">
      <c r="D31" s="1648"/>
      <c r="E31" s="1685" t="s">
        <v>764</v>
      </c>
      <c r="F31" s="964" t="s">
        <v>765</v>
      </c>
      <c r="G31" s="1664" t="s">
        <v>574</v>
      </c>
      <c r="H31" s="1686"/>
      <c r="I31" s="1686"/>
      <c r="J31" s="1686"/>
      <c r="K31" s="1686"/>
      <c r="L31" s="1686"/>
      <c r="M31" s="299"/>
      <c r="N31" s="553"/>
      <c r="AI31" s="1641">
        <v>19</v>
      </c>
    </row>
    <row s="1376" customFormat="1" customHeight="1" ht="35.699999999999996">
      <c r="A32" s="997"/>
      <c r="C32" s="1646"/>
      <c r="D32" s="1648"/>
      <c r="E32" s="1685" t="s">
        <v>766</v>
      </c>
      <c r="F32" s="964" t="s">
        <v>767</v>
      </c>
      <c r="G32" s="1654" t="s">
        <v>574</v>
      </c>
      <c r="H32" s="589">
        <f>SUM(H33:H34)</f>
        <v>0</v>
      </c>
      <c r="I32" s="589">
        <f>SUM(I33:I34)</f>
        <v>0</v>
      </c>
      <c r="J32" s="589">
        <f>SUM(J33:J34)</f>
        <v>0</v>
      </c>
      <c r="K32" s="589">
        <f>SUM(K33:K34)</f>
        <v>0</v>
      </c>
      <c r="L32" s="589">
        <f>SUM(L33:L34)</f>
        <v>0</v>
      </c>
      <c r="M32" s="299" t="s">
        <v>768</v>
      </c>
      <c r="N32" s="553"/>
      <c r="O32" s="1646"/>
      <c r="P32" s="1646"/>
      <c r="U32" s="1646"/>
      <c r="X32" s="554"/>
      <c r="AD32" s="1642"/>
      <c r="AE32" s="1642"/>
      <c r="AF32" s="1642"/>
      <c r="AG32" s="1642"/>
      <c r="AH32" s="1642"/>
      <c r="AI32" s="1170">
        <v>34</v>
      </c>
    </row>
    <row s="1652" customFormat="1" customHeight="1" ht="1.05">
      <c r="A33" s="1177"/>
      <c r="D33" s="558"/>
      <c r="E33" s="812" t="str">
        <f>E32&amp;".0"</f>
        <v>2.8.0</v>
      </c>
      <c r="F33" s="1001"/>
      <c r="G33" s="561"/>
      <c r="H33" s="1002"/>
      <c r="I33" s="1002"/>
      <c r="J33" s="1002"/>
      <c r="K33" s="1002"/>
      <c r="L33" s="1002"/>
      <c r="M33" s="1003"/>
      <c r="AI33" s="1646">
        <v>1</v>
      </c>
    </row>
    <row s="1376" customFormat="1" customHeight="1" ht="19.95">
      <c r="A34" s="997"/>
      <c r="C34" s="1646"/>
      <c r="D34" s="1643"/>
      <c r="E34" s="580"/>
      <c r="F34" s="1676" t="s">
        <v>599</v>
      </c>
      <c r="G34" s="582"/>
      <c r="H34" s="583"/>
      <c r="I34" s="583"/>
      <c r="J34" s="2666"/>
      <c r="K34" s="2667"/>
      <c r="L34" s="2668"/>
      <c r="M34" s="311" t="s">
        <v>769</v>
      </c>
      <c r="N34" s="553"/>
      <c r="O34" s="1646"/>
      <c r="P34" s="1646"/>
      <c r="U34" s="1646"/>
      <c r="X34" s="554"/>
      <c r="AD34" s="1642"/>
      <c r="AE34" s="1642"/>
      <c r="AF34" s="1642"/>
      <c r="AG34" s="1642"/>
      <c r="AH34" s="1642"/>
      <c r="AI34" s="1170">
        <v>19</v>
      </c>
    </row>
    <row customHeight="1" ht="60">
      <c r="D35" s="1648"/>
      <c r="E35" s="1685" t="s">
        <v>770</v>
      </c>
      <c r="F35" s="964" t="s">
        <v>771</v>
      </c>
      <c r="G35" s="1664" t="s">
        <v>574</v>
      </c>
      <c r="H35" s="1686"/>
      <c r="I35" s="1686"/>
      <c r="J35" s="1686"/>
      <c r="K35" s="1686"/>
      <c r="L35" s="1686"/>
      <c r="M35" s="299" t="s">
        <v>772</v>
      </c>
      <c r="N35" s="553"/>
      <c r="AI35" s="1641">
        <v>57</v>
      </c>
    </row>
    <row s="1376" customFormat="1" customHeight="1" ht="24">
      <c r="A36" s="999" t="s">
        <v>600</v>
      </c>
      <c r="C36" s="1646"/>
      <c r="D36" s="1648"/>
      <c r="E36" s="1674" t="s">
        <v>90</v>
      </c>
      <c r="F36" s="717" t="s">
        <v>773</v>
      </c>
      <c r="G36" s="1653" t="s">
        <v>574</v>
      </c>
      <c r="H36" s="567"/>
      <c r="I36" s="567"/>
      <c r="J36" s="567"/>
      <c r="K36" s="567"/>
      <c r="L36" s="567"/>
      <c r="M36" s="299" t="s">
        <v>774</v>
      </c>
      <c r="N36" s="553"/>
      <c r="O36" s="1646"/>
      <c r="P36" s="1646"/>
      <c r="U36" s="1646"/>
      <c r="X36" s="554"/>
      <c r="AD36" s="1642"/>
      <c r="AE36" s="1642"/>
      <c r="AF36" s="1642"/>
      <c r="AG36" s="1642"/>
      <c r="AH36" s="1642"/>
      <c r="AI36" s="1170">
        <v>23</v>
      </c>
    </row>
    <row s="1376" customFormat="1" customHeight="1" ht="35.699999999999996">
      <c r="A37" s="999"/>
      <c r="C37" s="1646"/>
      <c r="D37" s="1648"/>
      <c r="E37" s="1674" t="s">
        <v>346</v>
      </c>
      <c r="F37" s="964" t="s">
        <v>775</v>
      </c>
      <c r="G37" s="1664"/>
      <c r="H37" s="567"/>
      <c r="I37" s="567"/>
      <c r="J37" s="567"/>
      <c r="K37" s="567"/>
      <c r="L37" s="567"/>
      <c r="M37" s="299"/>
      <c r="N37" s="553"/>
      <c r="O37" s="1646"/>
      <c r="P37" s="1646"/>
      <c r="U37" s="1646"/>
      <c r="X37" s="554"/>
      <c r="AD37" s="1642"/>
      <c r="AE37" s="1642"/>
      <c r="AF37" s="1642"/>
      <c r="AG37" s="1642"/>
      <c r="AH37" s="1642"/>
      <c r="AI37" s="1170">
        <v>34</v>
      </c>
    </row>
    <row s="1376" customFormat="1" customHeight="1" ht="19.95">
      <c r="A38" s="997"/>
      <c r="C38" s="1646"/>
      <c r="D38" s="585"/>
      <c r="E38" s="1674" t="s">
        <v>91</v>
      </c>
      <c r="F38" s="717" t="s">
        <v>776</v>
      </c>
      <c r="G38" s="1653" t="s">
        <v>574</v>
      </c>
      <c r="H38" s="567"/>
      <c r="I38" s="567"/>
      <c r="J38" s="567"/>
      <c r="K38" s="567"/>
      <c r="L38" s="567"/>
      <c r="M38" s="299" t="s">
        <v>777</v>
      </c>
      <c r="N38" s="553"/>
      <c r="O38" s="1646"/>
      <c r="P38" s="1646"/>
      <c r="U38" s="1646"/>
      <c r="X38" s="554"/>
      <c r="AD38" s="1642"/>
      <c r="AE38" s="1642"/>
      <c r="AF38" s="1642"/>
      <c r="AG38" s="1642"/>
      <c r="AH38" s="1642"/>
      <c r="AI38" s="1170">
        <v>19</v>
      </c>
    </row>
    <row s="1376" customFormat="1" customHeight="1" ht="24">
      <c r="A39" s="997"/>
      <c r="C39" s="1646"/>
      <c r="D39" s="585"/>
      <c r="E39" s="1674" t="s">
        <v>778</v>
      </c>
      <c r="F39" s="964" t="s">
        <v>779</v>
      </c>
      <c r="G39" s="1664" t="s">
        <v>574</v>
      </c>
      <c r="H39" s="567"/>
      <c r="I39" s="567"/>
      <c r="J39" s="567"/>
      <c r="K39" s="567"/>
      <c r="L39" s="567"/>
      <c r="M39" s="299" t="s">
        <v>780</v>
      </c>
      <c r="N39" s="553"/>
      <c r="O39" s="1646"/>
      <c r="P39" s="1646"/>
      <c r="U39" s="1646"/>
      <c r="X39" s="554"/>
      <c r="AD39" s="1642"/>
      <c r="AE39" s="1642"/>
      <c r="AF39" s="1642"/>
      <c r="AG39" s="1642"/>
      <c r="AH39" s="1642"/>
      <c r="AI39" s="1170">
        <v>23</v>
      </c>
    </row>
    <row s="1376" customFormat="1" customHeight="1" ht="24">
      <c r="A40" s="997"/>
      <c r="C40" s="1646"/>
      <c r="D40" s="1648"/>
      <c r="E40" s="1674" t="s">
        <v>781</v>
      </c>
      <c r="F40" s="1660" t="s">
        <v>782</v>
      </c>
      <c r="G40" s="1653" t="s">
        <v>574</v>
      </c>
      <c r="H40" s="567"/>
      <c r="I40" s="567"/>
      <c r="J40" s="567"/>
      <c r="K40" s="567"/>
      <c r="L40" s="567"/>
      <c r="M40" s="299" t="s">
        <v>783</v>
      </c>
      <c r="N40" s="553"/>
      <c r="O40" s="1646"/>
      <c r="P40" s="1646"/>
      <c r="U40" s="1646"/>
      <c r="X40" s="554"/>
      <c r="AD40" s="1642"/>
      <c r="AE40" s="1642"/>
      <c r="AF40" s="1642"/>
      <c r="AG40" s="1642"/>
      <c r="AH40" s="1642"/>
      <c r="AI40" s="1170">
        <v>23</v>
      </c>
    </row>
    <row s="1376" customFormat="1" customHeight="1" ht="24">
      <c r="A41" s="997"/>
      <c r="C41" s="1646"/>
      <c r="D41" s="1648"/>
      <c r="E41" s="1674" t="s">
        <v>784</v>
      </c>
      <c r="F41" s="1660" t="s">
        <v>785</v>
      </c>
      <c r="G41" s="1653" t="s">
        <v>574</v>
      </c>
      <c r="H41" s="567"/>
      <c r="I41" s="567"/>
      <c r="J41" s="567"/>
      <c r="K41" s="567"/>
      <c r="L41" s="567"/>
      <c r="M41" s="299" t="s">
        <v>786</v>
      </c>
      <c r="N41" s="553"/>
      <c r="O41" s="1646"/>
      <c r="P41" s="1646"/>
      <c r="U41" s="1646"/>
      <c r="X41" s="554"/>
      <c r="AD41" s="1642"/>
      <c r="AE41" s="1642"/>
      <c r="AF41" s="1642"/>
      <c r="AG41" s="1642"/>
      <c r="AH41" s="1642"/>
      <c r="AI41" s="1170">
        <v>23</v>
      </c>
    </row>
    <row s="1376" customFormat="1" customHeight="1" ht="24">
      <c r="A42" s="997"/>
      <c r="C42" s="1646"/>
      <c r="D42" s="1648"/>
      <c r="E42" s="1674" t="s">
        <v>787</v>
      </c>
      <c r="F42" s="1660" t="s">
        <v>788</v>
      </c>
      <c r="G42" s="1653" t="s">
        <v>574</v>
      </c>
      <c r="H42" s="567"/>
      <c r="I42" s="567"/>
      <c r="J42" s="567"/>
      <c r="K42" s="567"/>
      <c r="L42" s="567"/>
      <c r="M42" s="299" t="s">
        <v>789</v>
      </c>
      <c r="N42" s="553"/>
      <c r="O42" s="1646"/>
      <c r="P42" s="1646"/>
      <c r="U42" s="1646"/>
      <c r="X42" s="554"/>
      <c r="AD42" s="1642"/>
      <c r="AE42" s="1642"/>
      <c r="AF42" s="1642"/>
      <c r="AG42" s="1642"/>
      <c r="AH42" s="1642"/>
      <c r="AI42" s="1170">
        <v>23</v>
      </c>
    </row>
    <row s="1376" customFormat="1" customHeight="1" ht="35.699999999999996">
      <c r="A43" s="997"/>
      <c r="C43" s="1646" t="s">
        <v>610</v>
      </c>
      <c r="D43" s="1648"/>
      <c r="E43" s="1674" t="s">
        <v>125</v>
      </c>
      <c r="F43" s="717" t="s">
        <v>654</v>
      </c>
      <c r="G43" s="1656" t="s">
        <v>790</v>
      </c>
      <c r="H43" s="411"/>
      <c r="I43" s="411"/>
      <c r="J43" s="828"/>
      <c r="K43" s="828"/>
      <c r="L43" s="828"/>
      <c r="M43" s="299" t="s">
        <v>791</v>
      </c>
      <c r="N43" s="553"/>
      <c r="O43" s="1646"/>
      <c r="P43" s="1646"/>
      <c r="U43" s="1646"/>
      <c r="X43" s="554"/>
      <c r="AD43" s="1642"/>
      <c r="AE43" s="1642"/>
      <c r="AF43" s="1642"/>
      <c r="AG43" s="1642"/>
      <c r="AH43" s="1642"/>
      <c r="AI43" s="1170">
        <v>34</v>
      </c>
    </row>
    <row s="1376" customFormat="1" customHeight="1" ht="35.699999999999996">
      <c r="A44" s="997"/>
      <c r="C44" s="1646"/>
      <c r="D44" s="1648"/>
      <c r="E44" s="1674" t="s">
        <v>92</v>
      </c>
      <c r="F44" s="717" t="s">
        <v>792</v>
      </c>
      <c r="G44" s="1653" t="s">
        <v>793</v>
      </c>
      <c r="H44" s="555"/>
      <c r="I44" s="555"/>
      <c r="J44" s="555"/>
      <c r="K44" s="555"/>
      <c r="L44" s="555"/>
      <c r="M44" s="299" t="s">
        <v>794</v>
      </c>
      <c r="N44" s="553"/>
      <c r="O44" s="1646"/>
      <c r="P44" s="1646"/>
      <c r="U44" s="1646"/>
      <c r="X44" s="554"/>
      <c r="AD44" s="1642"/>
      <c r="AE44" s="1642"/>
      <c r="AF44" s="1642"/>
      <c r="AG44" s="1642"/>
      <c r="AH44" s="1642"/>
      <c r="AI44" s="1170">
        <v>34</v>
      </c>
    </row>
    <row s="1376" customFormat="1" customHeight="1" ht="24">
      <c r="A45" s="997"/>
      <c r="C45" s="1646"/>
      <c r="D45" s="1648"/>
      <c r="E45" s="1674" t="s">
        <v>93</v>
      </c>
      <c r="F45" s="717" t="s">
        <v>795</v>
      </c>
      <c r="G45" s="1664" t="s">
        <v>796</v>
      </c>
      <c r="H45" s="555"/>
      <c r="I45" s="555"/>
      <c r="J45" s="555"/>
      <c r="K45" s="555"/>
      <c r="L45" s="555"/>
      <c r="M45" s="299" t="s">
        <v>797</v>
      </c>
      <c r="N45" s="553"/>
      <c r="O45" s="1646"/>
      <c r="P45" s="1646"/>
      <c r="U45" s="1646"/>
      <c r="X45" s="554"/>
      <c r="AD45" s="1642"/>
      <c r="AE45" s="1642"/>
      <c r="AF45" s="1642"/>
      <c r="AG45" s="1642"/>
      <c r="AH45" s="1642"/>
      <c r="AI45" s="1170">
        <v>23</v>
      </c>
    </row>
    <row s="1376" customFormat="1" customHeight="1" ht="19.95">
      <c r="A46" s="997"/>
      <c r="C46" s="1646"/>
      <c r="D46" s="1648"/>
      <c r="E46" s="1674" t="s">
        <v>126</v>
      </c>
      <c r="F46" s="717" t="s">
        <v>798</v>
      </c>
      <c r="G46" s="1653" t="s">
        <v>612</v>
      </c>
      <c r="H46" s="587"/>
      <c r="I46" s="587"/>
      <c r="J46" s="587"/>
      <c r="K46" s="587"/>
      <c r="L46" s="587"/>
      <c r="M46" s="299"/>
      <c r="N46" s="553"/>
      <c r="O46" s="1646"/>
      <c r="P46" s="1646"/>
      <c r="U46" s="1646"/>
      <c r="X46" s="554"/>
      <c r="AD46" s="1642"/>
      <c r="AE46" s="1642"/>
      <c r="AF46" s="1642"/>
      <c r="AG46" s="1642"/>
      <c r="AH46" s="1642"/>
      <c r="AI46" s="1170">
        <v>19</v>
      </c>
    </row>
    <row customHeight="1" ht="11.549999999999999">
      <c r="D47" s="1648"/>
      <c r="J47" s="1645"/>
      <c r="K47" s="1645"/>
      <c r="L47" s="1645"/>
      <c r="AI47" s="1641">
        <v>11</v>
      </c>
    </row>
    <row s="1651" customFormat="1" customHeight="1" ht="11.549999999999999">
      <c r="A48" s="997"/>
      <c r="B48" s="1646"/>
      <c r="C48" s="1646"/>
      <c r="D48" s="361"/>
      <c r="J48" s="1651"/>
      <c r="K48" s="1651"/>
      <c r="L48" s="1651"/>
      <c r="N48" s="1170"/>
      <c r="O48" s="1646"/>
      <c r="P48" s="1646"/>
      <c r="Q48" s="1170"/>
      <c r="R48" s="1170"/>
      <c r="S48" s="1170"/>
      <c r="T48" s="1170"/>
      <c r="U48" s="1646"/>
      <c r="V48" s="1170"/>
      <c r="W48" s="1170"/>
      <c r="X48" s="554"/>
      <c r="Y48" s="1170"/>
      <c r="Z48" s="1170"/>
      <c r="AA48" s="1170"/>
      <c r="AB48" s="1170"/>
      <c r="AC48" s="1170"/>
      <c r="AD48" s="1642"/>
      <c r="AE48" s="576"/>
      <c r="AF48" s="576"/>
      <c r="AG48" s="576"/>
      <c r="AH48" s="576"/>
      <c r="AI48" s="1651">
        <v>11</v>
      </c>
    </row>
    <row s="1651" customFormat="1" customHeight="1" ht="11.549999999999999">
      <c r="A49" s="997"/>
      <c r="B49" s="1646"/>
      <c r="C49" s="1646"/>
      <c r="D49" s="361"/>
      <c r="J49" s="1651"/>
      <c r="K49" s="1651"/>
      <c r="L49" s="1651"/>
      <c r="N49" s="1170"/>
      <c r="O49" s="1646"/>
      <c r="P49" s="1646"/>
      <c r="Q49" s="1170"/>
      <c r="R49" s="1170"/>
      <c r="S49" s="1170"/>
      <c r="T49" s="1170"/>
      <c r="U49" s="1646"/>
      <c r="V49" s="1170"/>
      <c r="W49" s="1170"/>
      <c r="X49" s="554"/>
      <c r="Y49" s="1170"/>
      <c r="Z49" s="1170"/>
      <c r="AA49" s="1170"/>
      <c r="AB49" s="1170"/>
      <c r="AC49" s="1170"/>
      <c r="AD49" s="1642"/>
      <c r="AE49" s="576"/>
      <c r="AF49" s="576"/>
      <c r="AG49" s="576"/>
      <c r="AH49" s="576"/>
      <c r="AI49" s="1651">
        <v>11</v>
      </c>
    </row>
    <row s="1651" customFormat="1" customHeight="1" ht="11.549999999999999">
      <c r="A50" s="997"/>
      <c r="B50" s="1646"/>
      <c r="C50" s="1646"/>
      <c r="D50" s="361"/>
      <c r="H50" s="576"/>
      <c r="I50" s="576"/>
      <c r="J50" s="632"/>
      <c r="K50" s="632"/>
      <c r="L50" s="632"/>
      <c r="N50" s="1170"/>
      <c r="O50" s="1646"/>
      <c r="P50" s="1646"/>
      <c r="Q50" s="1170"/>
      <c r="R50" s="1170"/>
      <c r="S50" s="1170"/>
      <c r="T50" s="1170"/>
      <c r="U50" s="1646"/>
      <c r="V50" s="1170"/>
      <c r="W50" s="1170"/>
      <c r="X50" s="554"/>
      <c r="Y50" s="1170"/>
      <c r="Z50" s="1170"/>
      <c r="AA50" s="1170"/>
      <c r="AB50" s="1170"/>
      <c r="AC50" s="1170"/>
      <c r="AD50" s="1642"/>
      <c r="AE50" s="576"/>
      <c r="AF50" s="576"/>
      <c r="AG50" s="576"/>
      <c r="AH50" s="576"/>
      <c r="AI50" s="1651">
        <v>11</v>
      </c>
    </row>
    <row s="1651" customFormat="1" customHeight="1" ht="11.549999999999999">
      <c r="A51" s="997"/>
      <c r="B51" s="1646"/>
      <c r="C51" s="1646"/>
      <c r="D51" s="361"/>
      <c r="J51" s="1651"/>
      <c r="K51" s="1651"/>
      <c r="L51" s="1651"/>
      <c r="N51" s="1170"/>
      <c r="O51" s="1646"/>
      <c r="P51" s="1646"/>
      <c r="Q51" s="1170"/>
      <c r="R51" s="1170"/>
      <c r="S51" s="1170"/>
      <c r="T51" s="1170"/>
      <c r="U51" s="1646"/>
      <c r="V51" s="1170"/>
      <c r="W51" s="1170"/>
      <c r="X51" s="554"/>
      <c r="Y51" s="1170"/>
      <c r="Z51" s="1170"/>
      <c r="AA51" s="1170"/>
      <c r="AB51" s="1170"/>
      <c r="AC51" s="1170"/>
      <c r="AD51" s="1642"/>
      <c r="AE51" s="576"/>
      <c r="AF51" s="576"/>
      <c r="AG51" s="576"/>
      <c r="AH51" s="576"/>
      <c r="AI51" s="1651">
        <v>11</v>
      </c>
    </row>
    <row s="1651" customFormat="1" customHeight="1" ht="11.549999999999999">
      <c r="A52" s="997"/>
      <c r="B52" s="1646"/>
      <c r="C52" s="1646"/>
      <c r="D52" s="361"/>
      <c r="J52" s="1651"/>
      <c r="K52" s="1651"/>
      <c r="L52" s="1651"/>
      <c r="N52" s="1170"/>
      <c r="O52" s="1646"/>
      <c r="P52" s="1646"/>
      <c r="Q52" s="1170"/>
      <c r="R52" s="1170"/>
      <c r="S52" s="1170"/>
      <c r="T52" s="1170"/>
      <c r="U52" s="1646"/>
      <c r="V52" s="1170"/>
      <c r="W52" s="1170"/>
      <c r="X52" s="554"/>
      <c r="Y52" s="1170"/>
      <c r="Z52" s="1170"/>
      <c r="AA52" s="1170"/>
      <c r="AB52" s="1170"/>
      <c r="AC52" s="1170"/>
      <c r="AD52" s="1642"/>
      <c r="AE52" s="576"/>
      <c r="AF52" s="576"/>
      <c r="AG52" s="576"/>
      <c r="AH52" s="576"/>
      <c r="AI52" s="1651">
        <v>11</v>
      </c>
    </row>
    <row s="1651" customFormat="1" customHeight="1" ht="11.549999999999999">
      <c r="A53" s="997"/>
      <c r="B53" s="1646"/>
      <c r="C53" s="1646"/>
      <c r="D53" s="361"/>
      <c r="J53" s="1651"/>
      <c r="K53" s="1651"/>
      <c r="L53" s="1651"/>
      <c r="N53" s="1170"/>
      <c r="O53" s="1646"/>
      <c r="P53" s="1646"/>
      <c r="Q53" s="1170"/>
      <c r="R53" s="1170"/>
      <c r="S53" s="1170"/>
      <c r="T53" s="1170"/>
      <c r="U53" s="1646"/>
      <c r="V53" s="1170"/>
      <c r="W53" s="1170"/>
      <c r="X53" s="554"/>
      <c r="Y53" s="1170"/>
      <c r="Z53" s="1170"/>
      <c r="AA53" s="1170"/>
      <c r="AB53" s="1170"/>
      <c r="AC53" s="1170"/>
      <c r="AD53" s="1642"/>
      <c r="AE53" s="576"/>
      <c r="AF53" s="576"/>
      <c r="AG53" s="576"/>
      <c r="AH53" s="576"/>
      <c r="AI53" s="1651">
        <v>11</v>
      </c>
    </row>
    <row s="1651" customFormat="1" customHeight="1" ht="11.549999999999999">
      <c r="A54" s="997"/>
      <c r="B54" s="1646"/>
      <c r="C54" s="1646"/>
      <c r="D54" s="361"/>
      <c r="J54" s="1651"/>
      <c r="K54" s="1651"/>
      <c r="L54" s="1651"/>
      <c r="N54" s="1170"/>
      <c r="O54" s="1646"/>
      <c r="P54" s="1646"/>
      <c r="Q54" s="1170"/>
      <c r="R54" s="1170"/>
      <c r="S54" s="1170"/>
      <c r="T54" s="1170"/>
      <c r="U54" s="1646"/>
      <c r="V54" s="1170"/>
      <c r="W54" s="1170"/>
      <c r="X54" s="554"/>
      <c r="Y54" s="1170"/>
      <c r="Z54" s="1170"/>
      <c r="AA54" s="1170"/>
      <c r="AB54" s="1170"/>
      <c r="AC54" s="1170"/>
      <c r="AD54" s="1642"/>
      <c r="AE54" s="576"/>
      <c r="AF54" s="576"/>
      <c r="AG54" s="576"/>
      <c r="AH54" s="576"/>
      <c r="AI54" s="1651">
        <v>11</v>
      </c>
    </row>
    <row s="1651" customFormat="1" customHeight="1" ht="11.549999999999999">
      <c r="A55" s="997"/>
      <c r="B55" s="1646"/>
      <c r="C55" s="1646"/>
      <c r="D55" s="361"/>
      <c r="J55" s="1651"/>
      <c r="K55" s="1651"/>
      <c r="L55" s="1651"/>
      <c r="N55" s="1170"/>
      <c r="O55" s="1646"/>
      <c r="P55" s="1646"/>
      <c r="Q55" s="1170"/>
      <c r="R55" s="1170"/>
      <c r="S55" s="1170"/>
      <c r="T55" s="1170"/>
      <c r="U55" s="1646"/>
      <c r="V55" s="1170"/>
      <c r="W55" s="1170"/>
      <c r="X55" s="554"/>
      <c r="Y55" s="1170"/>
      <c r="Z55" s="1170"/>
      <c r="AA55" s="1170"/>
      <c r="AB55" s="1170"/>
      <c r="AC55" s="1170"/>
      <c r="AD55" s="1642"/>
      <c r="AE55" s="576"/>
      <c r="AF55" s="576"/>
      <c r="AG55" s="576"/>
      <c r="AH55" s="576"/>
      <c r="AI55" s="1651">
        <v>11</v>
      </c>
    </row>
    <row s="1651" customFormat="1" customHeight="1" ht="11.549999999999999">
      <c r="A56" s="997"/>
      <c r="B56" s="1646"/>
      <c r="C56" s="1646"/>
      <c r="D56" s="361"/>
      <c r="J56" s="1651"/>
      <c r="K56" s="1651"/>
      <c r="L56" s="1651"/>
      <c r="N56" s="1170"/>
      <c r="O56" s="1646"/>
      <c r="P56" s="1646"/>
      <c r="Q56" s="1170"/>
      <c r="R56" s="1170"/>
      <c r="S56" s="1170"/>
      <c r="T56" s="1170"/>
      <c r="U56" s="1646"/>
      <c r="V56" s="1170"/>
      <c r="W56" s="1170"/>
      <c r="X56" s="554"/>
      <c r="Y56" s="1170"/>
      <c r="Z56" s="1170"/>
      <c r="AA56" s="1170"/>
      <c r="AB56" s="1170"/>
      <c r="AC56" s="1170"/>
      <c r="AD56" s="1642"/>
      <c r="AE56" s="576"/>
      <c r="AF56" s="576"/>
      <c r="AG56" s="576"/>
      <c r="AH56" s="576"/>
      <c r="AI56" s="1651">
        <v>11</v>
      </c>
    </row>
    <row s="1651" customFormat="1" customHeight="1" ht="11.549999999999999">
      <c r="A57" s="997"/>
      <c r="B57" s="1646"/>
      <c r="C57" s="1646"/>
      <c r="D57" s="361"/>
      <c r="J57" s="1651"/>
      <c r="K57" s="1651"/>
      <c r="L57" s="1651"/>
      <c r="N57" s="1170"/>
      <c r="O57" s="1646"/>
      <c r="P57" s="1646"/>
      <c r="Q57" s="1170"/>
      <c r="R57" s="1170"/>
      <c r="S57" s="1170"/>
      <c r="T57" s="1170"/>
      <c r="U57" s="1646"/>
      <c r="V57" s="1170"/>
      <c r="W57" s="1170"/>
      <c r="X57" s="554"/>
      <c r="Y57" s="1170"/>
      <c r="Z57" s="1170"/>
      <c r="AA57" s="1170"/>
      <c r="AB57" s="1170"/>
      <c r="AC57" s="1170"/>
      <c r="AD57" s="1642"/>
      <c r="AE57" s="576"/>
      <c r="AF57" s="576"/>
      <c r="AG57" s="576"/>
      <c r="AH57" s="576"/>
      <c r="AI57" s="1651">
        <v>11</v>
      </c>
    </row>
    <row s="1651" customFormat="1" customHeight="1" ht="11.549999999999999">
      <c r="A58" s="997"/>
      <c r="B58" s="1646"/>
      <c r="C58" s="1646"/>
      <c r="D58" s="361"/>
      <c r="J58" s="1651"/>
      <c r="K58" s="1651"/>
      <c r="L58" s="1651"/>
      <c r="N58" s="1170"/>
      <c r="O58" s="1646"/>
      <c r="P58" s="1646"/>
      <c r="Q58" s="1170"/>
      <c r="R58" s="1170"/>
      <c r="S58" s="1170"/>
      <c r="T58" s="1170"/>
      <c r="U58" s="1646"/>
      <c r="V58" s="1170"/>
      <c r="W58" s="1170"/>
      <c r="X58" s="554"/>
      <c r="Y58" s="1170"/>
      <c r="Z58" s="1170"/>
      <c r="AA58" s="1170"/>
      <c r="AB58" s="1170"/>
      <c r="AC58" s="1170"/>
      <c r="AD58" s="1642"/>
      <c r="AE58" s="576"/>
      <c r="AF58" s="576"/>
      <c r="AG58" s="576"/>
      <c r="AH58" s="576"/>
      <c r="AI58" s="1651">
        <v>11</v>
      </c>
    </row>
    <row s="1651" customFormat="1" customHeight="1" ht="11.549999999999999">
      <c r="A59" s="997"/>
      <c r="B59" s="1646"/>
      <c r="C59" s="1646"/>
      <c r="D59" s="361"/>
      <c r="J59" s="1651"/>
      <c r="K59" s="1651"/>
      <c r="L59" s="1651"/>
      <c r="N59" s="1170"/>
      <c r="O59" s="1646"/>
      <c r="P59" s="1646"/>
      <c r="Q59" s="1170"/>
      <c r="R59" s="1170"/>
      <c r="S59" s="1170"/>
      <c r="T59" s="1170"/>
      <c r="U59" s="1646"/>
      <c r="V59" s="1170"/>
      <c r="W59" s="1170"/>
      <c r="X59" s="554"/>
      <c r="Y59" s="1170"/>
      <c r="Z59" s="1170"/>
      <c r="AA59" s="1170"/>
      <c r="AB59" s="1170"/>
      <c r="AC59" s="1170"/>
      <c r="AD59" s="1642"/>
      <c r="AE59" s="576"/>
      <c r="AF59" s="576"/>
      <c r="AG59" s="576"/>
      <c r="AH59" s="576"/>
      <c r="AI59" s="1651">
        <v>11</v>
      </c>
    </row>
    <row s="1651" customFormat="1" customHeight="1" ht="11.549999999999999">
      <c r="A60" s="997"/>
      <c r="B60" s="1646"/>
      <c r="C60" s="1646"/>
      <c r="D60" s="361"/>
      <c r="J60" s="1651"/>
      <c r="K60" s="1651"/>
      <c r="L60" s="1651"/>
      <c r="N60" s="1170"/>
      <c r="O60" s="1646"/>
      <c r="P60" s="1646"/>
      <c r="Q60" s="1170"/>
      <c r="R60" s="1170"/>
      <c r="S60" s="1170"/>
      <c r="T60" s="1170"/>
      <c r="U60" s="1646"/>
      <c r="V60" s="1170"/>
      <c r="W60" s="1170"/>
      <c r="X60" s="554"/>
      <c r="Y60" s="1170"/>
      <c r="Z60" s="1170"/>
      <c r="AA60" s="1170"/>
      <c r="AB60" s="1170"/>
      <c r="AC60" s="1170"/>
      <c r="AD60" s="1642"/>
      <c r="AE60" s="576"/>
      <c r="AF60" s="576"/>
      <c r="AG60" s="576"/>
      <c r="AH60" s="576"/>
      <c r="AI60" s="1651">
        <v>11</v>
      </c>
    </row>
    <row s="1651" customFormat="1" customHeight="1" ht="11.549999999999999">
      <c r="A61" s="997"/>
      <c r="B61" s="1646"/>
      <c r="C61" s="1646"/>
      <c r="D61" s="361"/>
      <c r="J61" s="1651"/>
      <c r="K61" s="1651"/>
      <c r="L61" s="1651"/>
      <c r="N61" s="1170"/>
      <c r="O61" s="1646"/>
      <c r="P61" s="1646"/>
      <c r="Q61" s="1170"/>
      <c r="R61" s="1170"/>
      <c r="S61" s="1170"/>
      <c r="T61" s="1170"/>
      <c r="U61" s="1646"/>
      <c r="V61" s="1170"/>
      <c r="W61" s="1170"/>
      <c r="X61" s="554"/>
      <c r="Y61" s="1170"/>
      <c r="Z61" s="1170"/>
      <c r="AA61" s="1170"/>
      <c r="AB61" s="1170"/>
      <c r="AC61" s="1170"/>
      <c r="AD61" s="1642"/>
      <c r="AE61" s="576"/>
      <c r="AF61" s="576"/>
      <c r="AG61" s="576"/>
      <c r="AH61" s="576"/>
      <c r="AI61" s="1651">
        <v>11</v>
      </c>
    </row>
    <row s="1651" customFormat="1" customHeight="1" ht="11.549999999999999">
      <c r="A62" s="997"/>
      <c r="B62" s="1646"/>
      <c r="C62" s="1646"/>
      <c r="D62" s="361"/>
      <c r="J62" s="1651"/>
      <c r="K62" s="1651"/>
      <c r="L62" s="1651"/>
      <c r="N62" s="1170"/>
      <c r="O62" s="1646"/>
      <c r="P62" s="1646"/>
      <c r="Q62" s="1170"/>
      <c r="R62" s="1170"/>
      <c r="S62" s="1170"/>
      <c r="T62" s="1170"/>
      <c r="U62" s="1646"/>
      <c r="V62" s="1170"/>
      <c r="W62" s="1170"/>
      <c r="X62" s="554"/>
      <c r="Y62" s="1170"/>
      <c r="Z62" s="1170"/>
      <c r="AA62" s="1170"/>
      <c r="AB62" s="1170"/>
      <c r="AC62" s="1170"/>
      <c r="AD62" s="1642"/>
      <c r="AE62" s="576"/>
      <c r="AF62" s="576"/>
      <c r="AG62" s="576"/>
      <c r="AH62" s="576"/>
      <c r="AI62" s="1651">
        <v>11</v>
      </c>
    </row>
    <row s="1651" customFormat="1" customHeight="1" ht="11.549999999999999">
      <c r="A63" s="997"/>
      <c r="B63" s="1646"/>
      <c r="C63" s="1646"/>
      <c r="D63" s="361"/>
      <c r="J63" s="1651"/>
      <c r="K63" s="1651"/>
      <c r="L63" s="1651"/>
      <c r="N63" s="1170"/>
      <c r="O63" s="1646"/>
      <c r="P63" s="1646"/>
      <c r="Q63" s="1170"/>
      <c r="R63" s="1170"/>
      <c r="S63" s="1170"/>
      <c r="T63" s="1170"/>
      <c r="U63" s="1646"/>
      <c r="V63" s="1170"/>
      <c r="W63" s="1170"/>
      <c r="X63" s="554"/>
      <c r="Y63" s="1170"/>
      <c r="Z63" s="1170"/>
      <c r="AA63" s="1170"/>
      <c r="AB63" s="1170"/>
      <c r="AC63" s="1170"/>
      <c r="AD63" s="1642"/>
      <c r="AE63" s="576"/>
      <c r="AF63" s="576"/>
      <c r="AG63" s="576"/>
      <c r="AH63" s="576"/>
      <c r="AI63" s="1651">
        <v>11</v>
      </c>
    </row>
    <row s="1651" customFormat="1" customHeight="1" ht="11.549999999999999">
      <c r="A64" s="997"/>
      <c r="B64" s="1646"/>
      <c r="C64" s="1646"/>
      <c r="D64" s="361"/>
      <c r="J64" s="1651"/>
      <c r="K64" s="1651"/>
      <c r="L64" s="1651"/>
      <c r="N64" s="1170"/>
      <c r="O64" s="1646"/>
      <c r="P64" s="1646"/>
      <c r="Q64" s="1170"/>
      <c r="R64" s="1170"/>
      <c r="S64" s="1170"/>
      <c r="T64" s="1170"/>
      <c r="U64" s="1646"/>
      <c r="V64" s="1170"/>
      <c r="W64" s="1170"/>
      <c r="X64" s="554"/>
      <c r="Y64" s="1170"/>
      <c r="Z64" s="1170"/>
      <c r="AA64" s="1170"/>
      <c r="AB64" s="1170"/>
      <c r="AC64" s="1170"/>
      <c r="AD64" s="1642"/>
      <c r="AE64" s="576"/>
      <c r="AF64" s="576"/>
      <c r="AG64" s="576"/>
      <c r="AH64" s="576"/>
      <c r="AI64" s="1651">
        <v>11</v>
      </c>
    </row>
    <row s="1651" customFormat="1" customHeight="1" ht="11.549999999999999">
      <c r="A65" s="997"/>
      <c r="B65" s="1646"/>
      <c r="C65" s="1646"/>
      <c r="D65" s="361"/>
      <c r="J65" s="1651"/>
      <c r="K65" s="1651"/>
      <c r="L65" s="1651"/>
      <c r="N65" s="1170"/>
      <c r="O65" s="1646"/>
      <c r="P65" s="1646"/>
      <c r="Q65" s="1170"/>
      <c r="R65" s="1170"/>
      <c r="S65" s="1170"/>
      <c r="T65" s="1170"/>
      <c r="U65" s="1646"/>
      <c r="V65" s="1170"/>
      <c r="W65" s="1170"/>
      <c r="X65" s="554"/>
      <c r="Y65" s="1170"/>
      <c r="Z65" s="1170"/>
      <c r="AA65" s="1170"/>
      <c r="AB65" s="1170"/>
      <c r="AC65" s="1170"/>
      <c r="AD65" s="1642"/>
      <c r="AE65" s="576"/>
      <c r="AF65" s="576"/>
      <c r="AG65" s="576"/>
      <c r="AH65" s="576"/>
      <c r="AI65" s="1651">
        <v>11</v>
      </c>
    </row>
    <row s="1651" customFormat="1" customHeight="1" ht="11.549999999999999">
      <c r="A66" s="997"/>
      <c r="B66" s="1646"/>
      <c r="C66" s="1646"/>
      <c r="D66" s="361"/>
      <c r="J66" s="1651"/>
      <c r="K66" s="1651"/>
      <c r="L66" s="1651"/>
      <c r="N66" s="1170"/>
      <c r="O66" s="1646"/>
      <c r="P66" s="1646"/>
      <c r="Q66" s="1170"/>
      <c r="R66" s="1170"/>
      <c r="S66" s="1170"/>
      <c r="T66" s="1170"/>
      <c r="U66" s="1646"/>
      <c r="V66" s="1170"/>
      <c r="W66" s="1170"/>
      <c r="X66" s="554"/>
      <c r="Y66" s="1170"/>
      <c r="Z66" s="1170"/>
      <c r="AA66" s="1170"/>
      <c r="AB66" s="1170"/>
      <c r="AC66" s="1170"/>
      <c r="AD66" s="1642"/>
      <c r="AE66" s="576"/>
      <c r="AF66" s="576"/>
      <c r="AG66" s="576"/>
      <c r="AH66" s="576"/>
      <c r="AI66" s="1651">
        <v>11</v>
      </c>
    </row>
    <row s="1651" customFormat="1" customHeight="1" ht="11.549999999999999">
      <c r="A67" s="997"/>
      <c r="B67" s="1646"/>
      <c r="C67" s="1646"/>
      <c r="D67" s="361"/>
      <c r="J67" s="1651"/>
      <c r="K67" s="1651"/>
      <c r="L67" s="1651"/>
      <c r="N67" s="1170"/>
      <c r="O67" s="1646"/>
      <c r="P67" s="1646"/>
      <c r="Q67" s="1170"/>
      <c r="R67" s="1170"/>
      <c r="S67" s="1170"/>
      <c r="T67" s="1170"/>
      <c r="U67" s="1646"/>
      <c r="V67" s="1170"/>
      <c r="W67" s="1170"/>
      <c r="X67" s="554"/>
      <c r="Y67" s="1170"/>
      <c r="Z67" s="1170"/>
      <c r="AA67" s="1170"/>
      <c r="AB67" s="1170"/>
      <c r="AC67" s="1170"/>
      <c r="AD67" s="1642"/>
      <c r="AE67" s="576"/>
      <c r="AF67" s="576"/>
      <c r="AG67" s="576"/>
      <c r="AH67" s="576"/>
      <c r="AI67" s="1651">
        <v>11</v>
      </c>
    </row>
    <row s="1651" customFormat="1" customHeight="1" ht="11.549999999999999">
      <c r="A68" s="997"/>
      <c r="B68" s="1646"/>
      <c r="C68" s="1646"/>
      <c r="D68" s="361"/>
      <c r="J68" s="1651"/>
      <c r="K68" s="1651"/>
      <c r="L68" s="1651"/>
      <c r="N68" s="1170"/>
      <c r="O68" s="1646"/>
      <c r="P68" s="1646"/>
      <c r="Q68" s="1170"/>
      <c r="R68" s="1170"/>
      <c r="S68" s="1170"/>
      <c r="T68" s="1170"/>
      <c r="U68" s="1646"/>
      <c r="V68" s="1170"/>
      <c r="W68" s="1170"/>
      <c r="X68" s="554"/>
      <c r="Y68" s="1170"/>
      <c r="Z68" s="1170"/>
      <c r="AA68" s="1170"/>
      <c r="AB68" s="1170"/>
      <c r="AC68" s="1170"/>
      <c r="AD68" s="1642"/>
      <c r="AE68" s="576"/>
      <c r="AF68" s="576"/>
      <c r="AG68" s="576"/>
      <c r="AH68" s="576"/>
      <c r="AI68" s="1651">
        <v>11</v>
      </c>
    </row>
    <row s="1651" customFormat="1" customHeight="1" ht="11.549999999999999">
      <c r="A69" s="997"/>
      <c r="B69" s="1646"/>
      <c r="C69" s="1646"/>
      <c r="D69" s="361"/>
      <c r="J69" s="1651"/>
      <c r="K69" s="1651"/>
      <c r="L69" s="1651"/>
      <c r="N69" s="1170"/>
      <c r="O69" s="1646"/>
      <c r="P69" s="1646"/>
      <c r="Q69" s="1170"/>
      <c r="R69" s="1170"/>
      <c r="S69" s="1170"/>
      <c r="T69" s="1170"/>
      <c r="U69" s="1646"/>
      <c r="V69" s="1170"/>
      <c r="W69" s="1170"/>
      <c r="X69" s="554"/>
      <c r="Y69" s="1170"/>
      <c r="Z69" s="1170"/>
      <c r="AA69" s="1170"/>
      <c r="AB69" s="1170"/>
      <c r="AC69" s="1170"/>
      <c r="AD69" s="1642"/>
      <c r="AE69" s="576"/>
      <c r="AF69" s="576"/>
      <c r="AG69" s="576"/>
      <c r="AH69" s="576"/>
      <c r="AI69" s="1651">
        <v>11</v>
      </c>
    </row>
    <row s="1651" customFormat="1" customHeight="1" ht="11.549999999999999">
      <c r="A70" s="997"/>
      <c r="B70" s="1646"/>
      <c r="C70" s="1646"/>
      <c r="D70" s="361"/>
      <c r="J70" s="1651"/>
      <c r="K70" s="1651"/>
      <c r="L70" s="1651"/>
      <c r="N70" s="1170"/>
      <c r="O70" s="1646"/>
      <c r="P70" s="1646"/>
      <c r="Q70" s="1170"/>
      <c r="R70" s="1170"/>
      <c r="S70" s="1170"/>
      <c r="T70" s="1170"/>
      <c r="U70" s="1646"/>
      <c r="V70" s="1170"/>
      <c r="W70" s="1170"/>
      <c r="X70" s="554"/>
      <c r="Y70" s="1170"/>
      <c r="Z70" s="1170"/>
      <c r="AA70" s="1170"/>
      <c r="AB70" s="1170"/>
      <c r="AC70" s="1170"/>
      <c r="AD70" s="1642"/>
      <c r="AE70" s="576"/>
      <c r="AF70" s="576"/>
      <c r="AG70" s="576"/>
      <c r="AH70" s="576"/>
      <c r="AI70" s="1651">
        <v>11</v>
      </c>
    </row>
    <row s="1651" customFormat="1" customHeight="1" ht="11.549999999999999">
      <c r="A71" s="997"/>
      <c r="B71" s="1646"/>
      <c r="C71" s="1646"/>
      <c r="D71" s="361"/>
      <c r="J71" s="1651"/>
      <c r="K71" s="1651"/>
      <c r="L71" s="1651"/>
      <c r="N71" s="1170"/>
      <c r="O71" s="1646"/>
      <c r="P71" s="1646"/>
      <c r="Q71" s="1170"/>
      <c r="R71" s="1170"/>
      <c r="S71" s="1170"/>
      <c r="T71" s="1170"/>
      <c r="U71" s="1646"/>
      <c r="V71" s="1170"/>
      <c r="W71" s="1170"/>
      <c r="X71" s="554"/>
      <c r="Y71" s="1170"/>
      <c r="Z71" s="1170"/>
      <c r="AA71" s="1170"/>
      <c r="AB71" s="1170"/>
      <c r="AC71" s="1170"/>
      <c r="AD71" s="1642"/>
      <c r="AE71" s="576"/>
      <c r="AF71" s="576"/>
      <c r="AG71" s="576"/>
      <c r="AH71" s="576"/>
      <c r="AI71" s="1651">
        <v>11</v>
      </c>
    </row>
    <row s="1651" customFormat="1" customHeight="1" ht="11.549999999999999">
      <c r="A72" s="997"/>
      <c r="B72" s="1646"/>
      <c r="C72" s="1646"/>
      <c r="D72" s="361"/>
      <c r="J72" s="1651"/>
      <c r="K72" s="1651"/>
      <c r="L72" s="1651"/>
      <c r="N72" s="1170"/>
      <c r="O72" s="1646"/>
      <c r="P72" s="1646"/>
      <c r="Q72" s="1170"/>
      <c r="R72" s="1170"/>
      <c r="S72" s="1170"/>
      <c r="T72" s="1170"/>
      <c r="U72" s="1646"/>
      <c r="V72" s="1170"/>
      <c r="W72" s="1170"/>
      <c r="X72" s="554"/>
      <c r="Y72" s="1170"/>
      <c r="Z72" s="1170"/>
      <c r="AA72" s="1170"/>
      <c r="AB72" s="1170"/>
      <c r="AC72" s="1170"/>
      <c r="AD72" s="1642"/>
      <c r="AE72" s="576"/>
      <c r="AF72" s="576"/>
      <c r="AG72" s="576"/>
      <c r="AH72" s="576"/>
      <c r="AI72" s="1651">
        <v>11</v>
      </c>
    </row>
    <row s="1651" customFormat="1" customHeight="1" ht="11.549999999999999">
      <c r="A73" s="997"/>
      <c r="B73" s="1646"/>
      <c r="C73" s="1646"/>
      <c r="D73" s="361"/>
      <c r="J73" s="1651"/>
      <c r="K73" s="1651"/>
      <c r="L73" s="1651"/>
      <c r="N73" s="1170"/>
      <c r="O73" s="1646"/>
      <c r="P73" s="1646"/>
      <c r="Q73" s="1170"/>
      <c r="R73" s="1170"/>
      <c r="S73" s="1170"/>
      <c r="T73" s="1170"/>
      <c r="U73" s="1646"/>
      <c r="V73" s="1170"/>
      <c r="W73" s="1170"/>
      <c r="X73" s="554"/>
      <c r="Y73" s="1170"/>
      <c r="Z73" s="1170"/>
      <c r="AA73" s="1170"/>
      <c r="AB73" s="1170"/>
      <c r="AC73" s="1170"/>
      <c r="AD73" s="1642"/>
      <c r="AE73" s="576"/>
      <c r="AF73" s="576"/>
      <c r="AG73" s="576"/>
      <c r="AH73" s="576"/>
      <c r="AI73" s="1651">
        <v>11</v>
      </c>
    </row>
    <row s="1651" customFormat="1" customHeight="1" ht="11.549999999999999">
      <c r="A74" s="997"/>
      <c r="B74" s="1646"/>
      <c r="C74" s="1646"/>
      <c r="D74" s="361"/>
      <c r="J74" s="1651"/>
      <c r="K74" s="1651"/>
      <c r="L74" s="1651"/>
      <c r="N74" s="1170"/>
      <c r="O74" s="1646"/>
      <c r="P74" s="1646"/>
      <c r="Q74" s="1170"/>
      <c r="R74" s="1170"/>
      <c r="S74" s="1170"/>
      <c r="T74" s="1170"/>
      <c r="U74" s="1646"/>
      <c r="V74" s="1170"/>
      <c r="W74" s="1170"/>
      <c r="X74" s="554"/>
      <c r="Y74" s="1170"/>
      <c r="Z74" s="1170"/>
      <c r="AA74" s="1170"/>
      <c r="AB74" s="1170"/>
      <c r="AC74" s="1170"/>
      <c r="AD74" s="1642"/>
      <c r="AE74" s="576"/>
      <c r="AF74" s="576"/>
      <c r="AG74" s="576"/>
      <c r="AH74" s="576"/>
      <c r="AI74" s="1651">
        <v>11</v>
      </c>
    </row>
    <row s="1651" customFormat="1" customHeight="1" ht="11.549999999999999">
      <c r="A75" s="997"/>
      <c r="B75" s="1646"/>
      <c r="C75" s="1646"/>
      <c r="D75" s="361"/>
      <c r="J75" s="1651"/>
      <c r="K75" s="1651"/>
      <c r="L75" s="1651"/>
      <c r="N75" s="1170"/>
      <c r="O75" s="1646"/>
      <c r="P75" s="1646"/>
      <c r="Q75" s="1170"/>
      <c r="R75" s="1170"/>
      <c r="S75" s="1170"/>
      <c r="T75" s="1170"/>
      <c r="U75" s="1646"/>
      <c r="V75" s="1170"/>
      <c r="W75" s="1170"/>
      <c r="X75" s="554"/>
      <c r="Y75" s="1170"/>
      <c r="Z75" s="1170"/>
      <c r="AA75" s="1170"/>
      <c r="AB75" s="1170"/>
      <c r="AC75" s="1170"/>
      <c r="AD75" s="1642"/>
      <c r="AE75" s="576"/>
      <c r="AF75" s="576"/>
      <c r="AG75" s="576"/>
      <c r="AH75" s="576"/>
      <c r="AI75" s="1651">
        <v>11</v>
      </c>
    </row>
    <row s="1651" customFormat="1" customHeight="1" ht="11.549999999999999">
      <c r="A76" s="997"/>
      <c r="B76" s="1646"/>
      <c r="C76" s="1646"/>
      <c r="D76" s="361"/>
      <c r="J76" s="1651"/>
      <c r="K76" s="1651"/>
      <c r="L76" s="1651"/>
      <c r="N76" s="1170"/>
      <c r="O76" s="1646"/>
      <c r="P76" s="1646"/>
      <c r="Q76" s="1170"/>
      <c r="R76" s="1170"/>
      <c r="S76" s="1170"/>
      <c r="T76" s="1170"/>
      <c r="U76" s="1646"/>
      <c r="V76" s="1170"/>
      <c r="W76" s="1170"/>
      <c r="X76" s="554"/>
      <c r="Y76" s="1170"/>
      <c r="Z76" s="1170"/>
      <c r="AA76" s="1170"/>
      <c r="AB76" s="1170"/>
      <c r="AC76" s="1170"/>
      <c r="AD76" s="1642"/>
      <c r="AE76" s="576"/>
      <c r="AF76" s="576"/>
      <c r="AG76" s="576"/>
      <c r="AH76" s="576"/>
      <c r="AI76" s="1651">
        <v>11</v>
      </c>
    </row>
    <row s="1651" customFormat="1" customHeight="1" ht="11.549999999999999">
      <c r="A77" s="997"/>
      <c r="B77" s="1646"/>
      <c r="C77" s="1646"/>
      <c r="D77" s="361"/>
      <c r="J77" s="1651"/>
      <c r="K77" s="1651"/>
      <c r="L77" s="1651"/>
      <c r="N77" s="1170"/>
      <c r="O77" s="1646"/>
      <c r="P77" s="1646"/>
      <c r="Q77" s="1170"/>
      <c r="R77" s="1170"/>
      <c r="S77" s="1170"/>
      <c r="T77" s="1170"/>
      <c r="U77" s="1646"/>
      <c r="V77" s="1170"/>
      <c r="W77" s="1170"/>
      <c r="X77" s="554"/>
      <c r="Y77" s="1170"/>
      <c r="Z77" s="1170"/>
      <c r="AA77" s="1170"/>
      <c r="AB77" s="1170"/>
      <c r="AC77" s="1170"/>
      <c r="AD77" s="1642"/>
      <c r="AE77" s="576"/>
      <c r="AF77" s="576"/>
      <c r="AG77" s="576"/>
      <c r="AH77" s="576"/>
      <c r="AI77" s="1651">
        <v>11</v>
      </c>
    </row>
    <row s="1651" customFormat="1" customHeight="1" ht="11.549999999999999">
      <c r="A78" s="997"/>
      <c r="B78" s="1646"/>
      <c r="C78" s="1646"/>
      <c r="D78" s="361"/>
      <c r="J78" s="1651"/>
      <c r="K78" s="1651"/>
      <c r="L78" s="1651"/>
      <c r="N78" s="1170"/>
      <c r="O78" s="1646"/>
      <c r="P78" s="1646"/>
      <c r="Q78" s="1170"/>
      <c r="R78" s="1170"/>
      <c r="S78" s="1170"/>
      <c r="T78" s="1170"/>
      <c r="U78" s="1646"/>
      <c r="V78" s="1170"/>
      <c r="W78" s="1170"/>
      <c r="X78" s="554"/>
      <c r="Y78" s="1170"/>
      <c r="Z78" s="1170"/>
      <c r="AA78" s="1170"/>
      <c r="AB78" s="1170"/>
      <c r="AC78" s="1170"/>
      <c r="AD78" s="1642"/>
      <c r="AE78" s="576"/>
      <c r="AF78" s="576"/>
      <c r="AG78" s="576"/>
      <c r="AH78" s="576"/>
      <c r="AI78" s="1651">
        <v>11</v>
      </c>
    </row>
    <row s="1651" customFormat="1" customHeight="1" ht="11.549999999999999">
      <c r="A79" s="997"/>
      <c r="B79" s="1646"/>
      <c r="C79" s="1646"/>
      <c r="D79" s="361"/>
      <c r="J79" s="1651"/>
      <c r="K79" s="1651"/>
      <c r="L79" s="1651"/>
      <c r="N79" s="1170"/>
      <c r="O79" s="1646"/>
      <c r="P79" s="1646"/>
      <c r="Q79" s="1170"/>
      <c r="R79" s="1170"/>
      <c r="S79" s="1170"/>
      <c r="T79" s="1170"/>
      <c r="U79" s="1646"/>
      <c r="V79" s="1170"/>
      <c r="W79" s="1170"/>
      <c r="X79" s="554"/>
      <c r="Y79" s="1170"/>
      <c r="Z79" s="1170"/>
      <c r="AA79" s="1170"/>
      <c r="AB79" s="1170"/>
      <c r="AC79" s="1170"/>
      <c r="AD79" s="1642"/>
      <c r="AE79" s="576"/>
      <c r="AF79" s="576"/>
      <c r="AG79" s="576"/>
      <c r="AH79" s="576"/>
      <c r="AI79" s="1651">
        <v>11</v>
      </c>
    </row>
    <row s="1651" customFormat="1" customHeight="1" ht="11.549999999999999">
      <c r="A80" s="997"/>
      <c r="B80" s="1646"/>
      <c r="C80" s="1646"/>
      <c r="D80" s="361"/>
      <c r="J80" s="1651"/>
      <c r="K80" s="1651"/>
      <c r="L80" s="1651"/>
      <c r="N80" s="1170"/>
      <c r="O80" s="1646"/>
      <c r="P80" s="1646"/>
      <c r="Q80" s="1170"/>
      <c r="R80" s="1170"/>
      <c r="S80" s="1170"/>
      <c r="T80" s="1170"/>
      <c r="U80" s="1646"/>
      <c r="V80" s="1170"/>
      <c r="W80" s="1170"/>
      <c r="X80" s="554"/>
      <c r="Y80" s="1170"/>
      <c r="Z80" s="1170"/>
      <c r="AA80" s="1170"/>
      <c r="AB80" s="1170"/>
      <c r="AC80" s="1170"/>
      <c r="AD80" s="1642"/>
      <c r="AE80" s="576"/>
      <c r="AF80" s="576"/>
      <c r="AG80" s="576"/>
      <c r="AH80" s="576"/>
      <c r="AI80" s="1651">
        <v>11</v>
      </c>
    </row>
    <row s="1651" customFormat="1" customHeight="1" ht="11.549999999999999">
      <c r="A81" s="997"/>
      <c r="B81" s="1646"/>
      <c r="C81" s="1646"/>
      <c r="D81" s="361"/>
      <c r="J81" s="1651"/>
      <c r="K81" s="1651"/>
      <c r="L81" s="1651"/>
      <c r="N81" s="1170"/>
      <c r="O81" s="1646"/>
      <c r="P81" s="1646"/>
      <c r="Q81" s="1170"/>
      <c r="R81" s="1170"/>
      <c r="S81" s="1170"/>
      <c r="T81" s="1170"/>
      <c r="U81" s="1646"/>
      <c r="V81" s="1170"/>
      <c r="W81" s="1170"/>
      <c r="X81" s="554"/>
      <c r="Y81" s="1170"/>
      <c r="Z81" s="1170"/>
      <c r="AA81" s="1170"/>
      <c r="AB81" s="1170"/>
      <c r="AC81" s="1170"/>
      <c r="AD81" s="1642"/>
      <c r="AE81" s="576"/>
      <c r="AF81" s="576"/>
      <c r="AG81" s="576"/>
      <c r="AH81" s="576"/>
      <c r="AI81" s="1651">
        <v>11</v>
      </c>
    </row>
    <row s="1651" customFormat="1" customHeight="1" ht="11.549999999999999">
      <c r="A82" s="997"/>
      <c r="B82" s="1646"/>
      <c r="C82" s="1646"/>
      <c r="D82" s="361"/>
      <c r="J82" s="1651"/>
      <c r="K82" s="1651"/>
      <c r="L82" s="1651"/>
      <c r="N82" s="1170"/>
      <c r="O82" s="1646"/>
      <c r="P82" s="1646"/>
      <c r="Q82" s="1170"/>
      <c r="R82" s="1170"/>
      <c r="S82" s="1170"/>
      <c r="T82" s="1170"/>
      <c r="U82" s="1646"/>
      <c r="V82" s="1170"/>
      <c r="W82" s="1170"/>
      <c r="X82" s="554"/>
      <c r="Y82" s="1170"/>
      <c r="Z82" s="1170"/>
      <c r="AA82" s="1170"/>
      <c r="AB82" s="1170"/>
      <c r="AC82" s="1170"/>
      <c r="AD82" s="1642"/>
      <c r="AE82" s="576"/>
      <c r="AF82" s="576"/>
      <c r="AG82" s="576"/>
      <c r="AH82" s="576"/>
      <c r="AI82" s="1651">
        <v>11</v>
      </c>
    </row>
    <row s="1651" customFormat="1" customHeight="1" ht="11.549999999999999">
      <c r="A83" s="997"/>
      <c r="B83" s="1646"/>
      <c r="C83" s="1646"/>
      <c r="D83" s="361"/>
      <c r="J83" s="1651"/>
      <c r="K83" s="1651"/>
      <c r="L83" s="1651"/>
      <c r="N83" s="1170"/>
      <c r="O83" s="1646"/>
      <c r="P83" s="1646"/>
      <c r="Q83" s="1170"/>
      <c r="R83" s="1170"/>
      <c r="S83" s="1170"/>
      <c r="T83" s="1170"/>
      <c r="U83" s="1646"/>
      <c r="V83" s="1170"/>
      <c r="W83" s="1170"/>
      <c r="X83" s="554"/>
      <c r="Y83" s="1170"/>
      <c r="Z83" s="1170"/>
      <c r="AA83" s="1170"/>
      <c r="AB83" s="1170"/>
      <c r="AC83" s="1170"/>
      <c r="AD83" s="1642"/>
      <c r="AE83" s="576"/>
      <c r="AF83" s="576"/>
      <c r="AG83" s="576"/>
      <c r="AH83" s="576"/>
      <c r="AI83" s="1651">
        <v>11</v>
      </c>
    </row>
    <row s="1651" customFormat="1" customHeight="1" ht="11.549999999999999">
      <c r="A84" s="997"/>
      <c r="B84" s="1646"/>
      <c r="C84" s="1646"/>
      <c r="D84" s="361"/>
      <c r="J84" s="1651"/>
      <c r="K84" s="1651"/>
      <c r="L84" s="1651"/>
      <c r="N84" s="1170"/>
      <c r="O84" s="1646"/>
      <c r="P84" s="1646"/>
      <c r="Q84" s="1170"/>
      <c r="R84" s="1170"/>
      <c r="S84" s="1170"/>
      <c r="T84" s="1170"/>
      <c r="U84" s="1646"/>
      <c r="V84" s="1170"/>
      <c r="W84" s="1170"/>
      <c r="X84" s="554"/>
      <c r="Y84" s="1170"/>
      <c r="Z84" s="1170"/>
      <c r="AA84" s="1170"/>
      <c r="AB84" s="1170"/>
      <c r="AC84" s="1170"/>
      <c r="AD84" s="1642"/>
      <c r="AE84" s="576"/>
      <c r="AF84" s="576"/>
      <c r="AG84" s="576"/>
      <c r="AH84" s="576"/>
      <c r="AI84" s="1651">
        <v>11</v>
      </c>
    </row>
    <row s="1651" customFormat="1" customHeight="1" ht="11.549999999999999">
      <c r="A85" s="997"/>
      <c r="B85" s="1646"/>
      <c r="C85" s="1646"/>
      <c r="D85" s="361"/>
      <c r="J85" s="1651"/>
      <c r="K85" s="1651"/>
      <c r="L85" s="1651"/>
      <c r="N85" s="1170"/>
      <c r="O85" s="1646"/>
      <c r="P85" s="1646"/>
      <c r="Q85" s="1170"/>
      <c r="R85" s="1170"/>
      <c r="S85" s="1170"/>
      <c r="T85" s="1170"/>
      <c r="U85" s="1646"/>
      <c r="V85" s="1170"/>
      <c r="W85" s="1170"/>
      <c r="X85" s="554"/>
      <c r="Y85" s="1170"/>
      <c r="Z85" s="1170"/>
      <c r="AA85" s="1170"/>
      <c r="AB85" s="1170"/>
      <c r="AC85" s="1170"/>
      <c r="AD85" s="1642"/>
      <c r="AE85" s="576"/>
      <c r="AF85" s="576"/>
      <c r="AG85" s="576"/>
      <c r="AH85" s="576"/>
      <c r="AI85" s="1651">
        <v>11</v>
      </c>
    </row>
    <row s="1651" customFormat="1" customHeight="1" ht="11.549999999999999">
      <c r="A86" s="997"/>
      <c r="B86" s="1646"/>
      <c r="C86" s="1646"/>
      <c r="D86" s="361"/>
      <c r="J86" s="1651"/>
      <c r="K86" s="1651"/>
      <c r="L86" s="1651"/>
      <c r="N86" s="1170"/>
      <c r="O86" s="1646"/>
      <c r="P86" s="1646"/>
      <c r="Q86" s="1170"/>
      <c r="R86" s="1170"/>
      <c r="S86" s="1170"/>
      <c r="T86" s="1170"/>
      <c r="U86" s="1646"/>
      <c r="V86" s="1170"/>
      <c r="W86" s="1170"/>
      <c r="X86" s="554"/>
      <c r="Y86" s="1170"/>
      <c r="Z86" s="1170"/>
      <c r="AA86" s="1170"/>
      <c r="AB86" s="1170"/>
      <c r="AC86" s="1170"/>
      <c r="AD86" s="1642"/>
      <c r="AE86" s="576"/>
      <c r="AF86" s="576"/>
      <c r="AG86" s="576"/>
      <c r="AH86" s="576"/>
      <c r="AI86" s="1651">
        <v>11</v>
      </c>
    </row>
    <row s="1651" customFormat="1" customHeight="1" ht="11.549999999999999">
      <c r="A87" s="997"/>
      <c r="B87" s="1646"/>
      <c r="C87" s="1646"/>
      <c r="D87" s="361"/>
      <c r="J87" s="1651"/>
      <c r="K87" s="1651"/>
      <c r="L87" s="1651"/>
      <c r="N87" s="1170"/>
      <c r="O87" s="1646"/>
      <c r="P87" s="1646"/>
      <c r="Q87" s="1170"/>
      <c r="R87" s="1170"/>
      <c r="S87" s="1170"/>
      <c r="T87" s="1170"/>
      <c r="U87" s="1646"/>
      <c r="V87" s="1170"/>
      <c r="W87" s="1170"/>
      <c r="X87" s="554"/>
      <c r="Y87" s="1170"/>
      <c r="Z87" s="1170"/>
      <c r="AA87" s="1170"/>
      <c r="AB87" s="1170"/>
      <c r="AC87" s="1170"/>
      <c r="AD87" s="1642"/>
      <c r="AE87" s="576"/>
      <c r="AF87" s="576"/>
      <c r="AG87" s="576"/>
      <c r="AH87" s="576"/>
      <c r="AI87" s="1651">
        <v>11</v>
      </c>
    </row>
    <row s="1651" customFormat="1" customHeight="1" ht="11.549999999999999">
      <c r="A88" s="997"/>
      <c r="B88" s="1646"/>
      <c r="C88" s="1646"/>
      <c r="D88" s="361"/>
      <c r="J88" s="1651"/>
      <c r="K88" s="1651"/>
      <c r="L88" s="1651"/>
      <c r="N88" s="1170"/>
      <c r="O88" s="1646"/>
      <c r="P88" s="1646"/>
      <c r="Q88" s="1170"/>
      <c r="R88" s="1170"/>
      <c r="S88" s="1170"/>
      <c r="T88" s="1170"/>
      <c r="U88" s="1646"/>
      <c r="V88" s="1170"/>
      <c r="W88" s="1170"/>
      <c r="X88" s="554"/>
      <c r="Y88" s="1170"/>
      <c r="Z88" s="1170"/>
      <c r="AA88" s="1170"/>
      <c r="AB88" s="1170"/>
      <c r="AC88" s="1170"/>
      <c r="AD88" s="1642"/>
      <c r="AE88" s="576"/>
      <c r="AF88" s="576"/>
      <c r="AG88" s="576"/>
      <c r="AH88" s="576"/>
      <c r="AI88" s="1651">
        <v>11</v>
      </c>
    </row>
    <row s="1651" customFormat="1" customHeight="1" ht="11.549999999999999">
      <c r="A89" s="997"/>
      <c r="B89" s="1646"/>
      <c r="C89" s="1646"/>
      <c r="D89" s="361"/>
      <c r="J89" s="1651"/>
      <c r="K89" s="1651"/>
      <c r="L89" s="1651"/>
      <c r="N89" s="1170"/>
      <c r="O89" s="1646"/>
      <c r="P89" s="1646"/>
      <c r="Q89" s="1170"/>
      <c r="R89" s="1170"/>
      <c r="S89" s="1170"/>
      <c r="T89" s="1170"/>
      <c r="U89" s="1646"/>
      <c r="V89" s="1170"/>
      <c r="W89" s="1170"/>
      <c r="X89" s="554"/>
      <c r="Y89" s="1170"/>
      <c r="Z89" s="1170"/>
      <c r="AA89" s="1170"/>
      <c r="AB89" s="1170"/>
      <c r="AC89" s="1170"/>
      <c r="AD89" s="1642"/>
      <c r="AE89" s="576"/>
      <c r="AF89" s="576"/>
      <c r="AG89" s="576"/>
      <c r="AH89" s="576"/>
      <c r="AI89" s="1651">
        <v>11</v>
      </c>
    </row>
    <row s="1651" customFormat="1" customHeight="1" ht="11.549999999999999">
      <c r="A90" s="997"/>
      <c r="B90" s="1646"/>
      <c r="C90" s="1646"/>
      <c r="D90" s="361"/>
      <c r="J90" s="1651"/>
      <c r="K90" s="1651"/>
      <c r="L90" s="1651"/>
      <c r="N90" s="1170"/>
      <c r="O90" s="1646"/>
      <c r="P90" s="1646"/>
      <c r="Q90" s="1170"/>
      <c r="R90" s="1170"/>
      <c r="S90" s="1170"/>
      <c r="T90" s="1170"/>
      <c r="U90" s="1646"/>
      <c r="V90" s="1170"/>
      <c r="W90" s="1170"/>
      <c r="X90" s="554"/>
      <c r="Y90" s="1170"/>
      <c r="Z90" s="1170"/>
      <c r="AA90" s="1170"/>
      <c r="AB90" s="1170"/>
      <c r="AC90" s="1170"/>
      <c r="AD90" s="1642"/>
      <c r="AE90" s="576"/>
      <c r="AF90" s="576"/>
      <c r="AG90" s="576"/>
      <c r="AH90" s="576"/>
      <c r="AI90" s="1651">
        <v>11</v>
      </c>
    </row>
    <row s="1651" customFormat="1" customHeight="1" ht="11.549999999999999">
      <c r="A91" s="997"/>
      <c r="B91" s="1646"/>
      <c r="C91" s="1646"/>
      <c r="D91" s="361"/>
      <c r="J91" s="1651"/>
      <c r="K91" s="1651"/>
      <c r="L91" s="1651"/>
      <c r="N91" s="1170"/>
      <c r="O91" s="1646"/>
      <c r="P91" s="1646"/>
      <c r="Q91" s="1170"/>
      <c r="R91" s="1170"/>
      <c r="S91" s="1170"/>
      <c r="T91" s="1170"/>
      <c r="U91" s="1646"/>
      <c r="V91" s="1170"/>
      <c r="W91" s="1170"/>
      <c r="X91" s="554"/>
      <c r="Y91" s="1170"/>
      <c r="Z91" s="1170"/>
      <c r="AA91" s="1170"/>
      <c r="AB91" s="1170"/>
      <c r="AC91" s="1170"/>
      <c r="AD91" s="1642"/>
      <c r="AE91" s="576"/>
      <c r="AF91" s="576"/>
      <c r="AG91" s="576"/>
      <c r="AH91" s="576"/>
      <c r="AI91" s="1651">
        <v>11</v>
      </c>
    </row>
    <row s="1651" customFormat="1" customHeight="1" ht="11.549999999999999">
      <c r="A92" s="997"/>
      <c r="B92" s="1646"/>
      <c r="C92" s="1646"/>
      <c r="D92" s="361"/>
      <c r="J92" s="1651"/>
      <c r="K92" s="1651"/>
      <c r="L92" s="1651"/>
      <c r="N92" s="1170"/>
      <c r="O92" s="1646"/>
      <c r="P92" s="1646"/>
      <c r="Q92" s="1170"/>
      <c r="R92" s="1170"/>
      <c r="S92" s="1170"/>
      <c r="T92" s="1170"/>
      <c r="U92" s="1646"/>
      <c r="V92" s="1170"/>
      <c r="W92" s="1170"/>
      <c r="X92" s="554"/>
      <c r="Y92" s="1170"/>
      <c r="Z92" s="1170"/>
      <c r="AA92" s="1170"/>
      <c r="AB92" s="1170"/>
      <c r="AC92" s="1170"/>
      <c r="AD92" s="1642"/>
      <c r="AE92" s="576"/>
      <c r="AF92" s="576"/>
      <c r="AG92" s="576"/>
      <c r="AH92" s="576"/>
      <c r="AI92" s="1651">
        <v>11</v>
      </c>
    </row>
    <row s="1651" customFormat="1" customHeight="1" ht="11.549999999999999">
      <c r="A93" s="997"/>
      <c r="B93" s="1646"/>
      <c r="C93" s="1646"/>
      <c r="D93" s="361"/>
      <c r="J93" s="1651"/>
      <c r="K93" s="1651"/>
      <c r="L93" s="1651"/>
      <c r="N93" s="1170"/>
      <c r="O93" s="1646"/>
      <c r="P93" s="1646"/>
      <c r="Q93" s="1170"/>
      <c r="R93" s="1170"/>
      <c r="S93" s="1170"/>
      <c r="T93" s="1170"/>
      <c r="U93" s="1646"/>
      <c r="V93" s="1170"/>
      <c r="W93" s="1170"/>
      <c r="X93" s="554"/>
      <c r="Y93" s="1170"/>
      <c r="Z93" s="1170"/>
      <c r="AA93" s="1170"/>
      <c r="AB93" s="1170"/>
      <c r="AC93" s="1170"/>
      <c r="AD93" s="1642"/>
      <c r="AE93" s="576"/>
      <c r="AF93" s="576"/>
      <c r="AG93" s="576"/>
      <c r="AH93" s="576"/>
      <c r="AI93" s="1651">
        <v>11</v>
      </c>
    </row>
    <row s="1651" customFormat="1" customHeight="1" ht="11.549999999999999">
      <c r="A94" s="997"/>
      <c r="B94" s="1646"/>
      <c r="C94" s="1646"/>
      <c r="D94" s="361"/>
      <c r="J94" s="1651"/>
      <c r="K94" s="1651"/>
      <c r="L94" s="1651"/>
      <c r="N94" s="1170"/>
      <c r="O94" s="1646"/>
      <c r="P94" s="1646"/>
      <c r="Q94" s="1170"/>
      <c r="R94" s="1170"/>
      <c r="S94" s="1170"/>
      <c r="T94" s="1170"/>
      <c r="U94" s="1646"/>
      <c r="V94" s="1170"/>
      <c r="W94" s="1170"/>
      <c r="X94" s="554"/>
      <c r="Y94" s="1170"/>
      <c r="Z94" s="1170"/>
      <c r="AA94" s="1170"/>
      <c r="AB94" s="1170"/>
      <c r="AC94" s="1170"/>
      <c r="AD94" s="1642"/>
      <c r="AE94" s="576"/>
      <c r="AF94" s="576"/>
      <c r="AG94" s="576"/>
      <c r="AH94" s="576"/>
      <c r="AI94" s="1651">
        <v>11</v>
      </c>
    </row>
    <row s="1651" customFormat="1" customHeight="1" ht="11.549999999999999">
      <c r="A95" s="997"/>
      <c r="B95" s="1646"/>
      <c r="C95" s="1646"/>
      <c r="D95" s="361"/>
      <c r="J95" s="1651"/>
      <c r="K95" s="1651"/>
      <c r="L95" s="1651"/>
      <c r="N95" s="1170"/>
      <c r="O95" s="1646"/>
      <c r="P95" s="1646"/>
      <c r="Q95" s="1170"/>
      <c r="R95" s="1170"/>
      <c r="S95" s="1170"/>
      <c r="T95" s="1170"/>
      <c r="U95" s="1646"/>
      <c r="V95" s="1170"/>
      <c r="W95" s="1170"/>
      <c r="X95" s="554"/>
      <c r="Y95" s="1170"/>
      <c r="Z95" s="1170"/>
      <c r="AA95" s="1170"/>
      <c r="AB95" s="1170"/>
      <c r="AC95" s="1170"/>
      <c r="AD95" s="1642"/>
      <c r="AE95" s="576"/>
      <c r="AF95" s="576"/>
      <c r="AG95" s="576"/>
      <c r="AH95" s="576"/>
      <c r="AI95" s="1651">
        <v>11</v>
      </c>
    </row>
    <row s="1651" customFormat="1" customHeight="1" ht="11.549999999999999">
      <c r="A96" s="997"/>
      <c r="B96" s="1646"/>
      <c r="C96" s="1646"/>
      <c r="D96" s="361"/>
      <c r="J96" s="1651"/>
      <c r="K96" s="1651"/>
      <c r="L96" s="1651"/>
      <c r="N96" s="1170"/>
      <c r="O96" s="1646"/>
      <c r="P96" s="1646"/>
      <c r="Q96" s="1170"/>
      <c r="R96" s="1170"/>
      <c r="S96" s="1170"/>
      <c r="T96" s="1170"/>
      <c r="U96" s="1646"/>
      <c r="V96" s="1170"/>
      <c r="W96" s="1170"/>
      <c r="X96" s="554"/>
      <c r="Y96" s="1170"/>
      <c r="Z96" s="1170"/>
      <c r="AA96" s="1170"/>
      <c r="AB96" s="1170"/>
      <c r="AC96" s="1170"/>
      <c r="AD96" s="1642"/>
      <c r="AE96" s="576"/>
      <c r="AF96" s="576"/>
      <c r="AG96" s="576"/>
      <c r="AH96" s="576"/>
      <c r="AI96" s="1651">
        <v>11</v>
      </c>
    </row>
    <row s="1651" customFormat="1" customHeight="1" ht="11.549999999999999">
      <c r="A97" s="997"/>
      <c r="B97" s="1646"/>
      <c r="C97" s="1646"/>
      <c r="D97" s="361"/>
      <c r="J97" s="1651"/>
      <c r="K97" s="1651"/>
      <c r="L97" s="1651"/>
      <c r="N97" s="1170"/>
      <c r="O97" s="1646"/>
      <c r="P97" s="1646"/>
      <c r="Q97" s="1170"/>
      <c r="R97" s="1170"/>
      <c r="S97" s="1170"/>
      <c r="T97" s="1170"/>
      <c r="U97" s="1646"/>
      <c r="V97" s="1170"/>
      <c r="W97" s="1170"/>
      <c r="X97" s="554"/>
      <c r="Y97" s="1170"/>
      <c r="Z97" s="1170"/>
      <c r="AA97" s="1170"/>
      <c r="AB97" s="1170"/>
      <c r="AC97" s="1170"/>
      <c r="AD97" s="1642"/>
      <c r="AE97" s="576"/>
      <c r="AF97" s="576"/>
      <c r="AG97" s="576"/>
      <c r="AH97" s="576"/>
      <c r="AI97" s="1651">
        <v>11</v>
      </c>
    </row>
    <row s="1651" customFormat="1" customHeight="1" ht="11.549999999999999">
      <c r="A98" s="997"/>
      <c r="B98" s="1646"/>
      <c r="C98" s="1646"/>
      <c r="D98" s="361"/>
      <c r="J98" s="1651"/>
      <c r="K98" s="1651"/>
      <c r="L98" s="1651"/>
      <c r="N98" s="1170"/>
      <c r="O98" s="1646"/>
      <c r="P98" s="1646"/>
      <c r="Q98" s="1170"/>
      <c r="R98" s="1170"/>
      <c r="S98" s="1170"/>
      <c r="T98" s="1170"/>
      <c r="U98" s="1646"/>
      <c r="V98" s="1170"/>
      <c r="W98" s="1170"/>
      <c r="X98" s="554"/>
      <c r="Y98" s="1170"/>
      <c r="Z98" s="1170"/>
      <c r="AA98" s="1170"/>
      <c r="AB98" s="1170"/>
      <c r="AC98" s="1170"/>
      <c r="AD98" s="1642"/>
      <c r="AE98" s="576"/>
      <c r="AF98" s="576"/>
      <c r="AG98" s="576"/>
      <c r="AH98" s="576"/>
      <c r="AI98" s="1651">
        <v>11</v>
      </c>
    </row>
    <row s="1651" customFormat="1" customHeight="1" ht="11.549999999999999">
      <c r="A99" s="997"/>
      <c r="B99" s="1646"/>
      <c r="C99" s="1646"/>
      <c r="D99" s="361"/>
      <c r="J99" s="1651"/>
      <c r="K99" s="1651"/>
      <c r="L99" s="1651"/>
      <c r="N99" s="1170"/>
      <c r="O99" s="1646"/>
      <c r="P99" s="1646"/>
      <c r="Q99" s="1170"/>
      <c r="R99" s="1170"/>
      <c r="S99" s="1170"/>
      <c r="T99" s="1170"/>
      <c r="U99" s="1646"/>
      <c r="V99" s="1170"/>
      <c r="W99" s="1170"/>
      <c r="X99" s="554"/>
      <c r="Y99" s="1170"/>
      <c r="Z99" s="1170"/>
      <c r="AA99" s="1170"/>
      <c r="AB99" s="1170"/>
      <c r="AC99" s="1170"/>
      <c r="AD99" s="1642"/>
      <c r="AE99" s="576"/>
      <c r="AF99" s="576"/>
      <c r="AG99" s="576"/>
      <c r="AH99" s="576"/>
      <c r="AI99" s="1651">
        <v>11</v>
      </c>
    </row>
    <row s="1651" customFormat="1" customHeight="1" ht="11.549999999999999">
      <c r="A100" s="997"/>
      <c r="B100" s="1646"/>
      <c r="C100" s="1646"/>
      <c r="D100" s="361"/>
      <c r="J100" s="1651"/>
      <c r="K100" s="1651"/>
      <c r="L100" s="1651"/>
      <c r="N100" s="1170"/>
      <c r="O100" s="1646"/>
      <c r="P100" s="1646"/>
      <c r="Q100" s="1170"/>
      <c r="R100" s="1170"/>
      <c r="S100" s="1170"/>
      <c r="T100" s="1170"/>
      <c r="U100" s="1646"/>
      <c r="V100" s="1170"/>
      <c r="W100" s="1170"/>
      <c r="X100" s="554"/>
      <c r="Y100" s="1170"/>
      <c r="Z100" s="1170"/>
      <c r="AA100" s="1170"/>
      <c r="AB100" s="1170"/>
      <c r="AC100" s="1170"/>
      <c r="AD100" s="1642"/>
      <c r="AE100" s="576"/>
      <c r="AF100" s="576"/>
      <c r="AG100" s="576"/>
      <c r="AH100" s="576"/>
      <c r="AI100" s="1651">
        <v>11</v>
      </c>
    </row>
    <row s="1651" customFormat="1" customHeight="1" ht="11.549999999999999">
      <c r="A101" s="997"/>
      <c r="B101" s="1646"/>
      <c r="C101" s="1646"/>
      <c r="D101" s="361"/>
      <c r="J101" s="1651"/>
      <c r="K101" s="1651"/>
      <c r="L101" s="1651"/>
      <c r="N101" s="1170"/>
      <c r="O101" s="1646"/>
      <c r="P101" s="1646"/>
      <c r="Q101" s="1170"/>
      <c r="R101" s="1170"/>
      <c r="S101" s="1170"/>
      <c r="T101" s="1170"/>
      <c r="U101" s="1646"/>
      <c r="V101" s="1170"/>
      <c r="W101" s="1170"/>
      <c r="X101" s="554"/>
      <c r="Y101" s="1170"/>
      <c r="Z101" s="1170"/>
      <c r="AA101" s="1170"/>
      <c r="AB101" s="1170"/>
      <c r="AC101" s="1170"/>
      <c r="AD101" s="1642"/>
      <c r="AE101" s="576"/>
      <c r="AF101" s="576"/>
      <c r="AG101" s="576"/>
      <c r="AH101" s="576"/>
      <c r="AI101" s="1651">
        <v>11</v>
      </c>
    </row>
    <row s="1651" customFormat="1" customHeight="1" ht="11.549999999999999">
      <c r="A102" s="997"/>
      <c r="B102" s="1646"/>
      <c r="C102" s="1646"/>
      <c r="D102" s="361"/>
      <c r="J102" s="1651"/>
      <c r="K102" s="1651"/>
      <c r="L102" s="1651"/>
      <c r="N102" s="1170"/>
      <c r="O102" s="1646"/>
      <c r="P102" s="1646"/>
      <c r="Q102" s="1170"/>
      <c r="R102" s="1170"/>
      <c r="S102" s="1170"/>
      <c r="T102" s="1170"/>
      <c r="U102" s="1646"/>
      <c r="V102" s="1170"/>
      <c r="W102" s="1170"/>
      <c r="X102" s="554"/>
      <c r="Y102" s="1170"/>
      <c r="Z102" s="1170"/>
      <c r="AA102" s="1170"/>
      <c r="AB102" s="1170"/>
      <c r="AC102" s="1170"/>
      <c r="AD102" s="1642"/>
      <c r="AE102" s="576"/>
      <c r="AF102" s="576"/>
      <c r="AG102" s="576"/>
      <c r="AH102" s="576"/>
      <c r="AI102" s="1651">
        <v>11</v>
      </c>
    </row>
    <row s="1651" customFormat="1" customHeight="1" ht="11.549999999999999">
      <c r="A103" s="997"/>
      <c r="B103" s="1646"/>
      <c r="C103" s="1646"/>
      <c r="D103" s="361"/>
      <c r="J103" s="1651"/>
      <c r="K103" s="1651"/>
      <c r="L103" s="1651"/>
      <c r="N103" s="1170"/>
      <c r="O103" s="1646"/>
      <c r="P103" s="1646"/>
      <c r="Q103" s="1170"/>
      <c r="R103" s="1170"/>
      <c r="S103" s="1170"/>
      <c r="T103" s="1170"/>
      <c r="U103" s="1646"/>
      <c r="V103" s="1170"/>
      <c r="W103" s="1170"/>
      <c r="X103" s="554"/>
      <c r="Y103" s="1170"/>
      <c r="Z103" s="1170"/>
      <c r="AA103" s="1170"/>
      <c r="AB103" s="1170"/>
      <c r="AC103" s="1170"/>
      <c r="AD103" s="1642"/>
      <c r="AE103" s="576"/>
      <c r="AF103" s="576"/>
      <c r="AG103" s="576"/>
      <c r="AH103" s="576"/>
      <c r="AI103" s="1651">
        <v>11</v>
      </c>
    </row>
    <row s="1651" customFormat="1" customHeight="1" ht="11.549999999999999">
      <c r="A104" s="997"/>
      <c r="B104" s="1646"/>
      <c r="C104" s="1646"/>
      <c r="D104" s="361"/>
      <c r="J104" s="1651"/>
      <c r="K104" s="1651"/>
      <c r="L104" s="1651"/>
      <c r="N104" s="1170"/>
      <c r="O104" s="1646"/>
      <c r="P104" s="1646"/>
      <c r="Q104" s="1170"/>
      <c r="R104" s="1170"/>
      <c r="S104" s="1170"/>
      <c r="T104" s="1170"/>
      <c r="U104" s="1646"/>
      <c r="V104" s="1170"/>
      <c r="W104" s="1170"/>
      <c r="X104" s="554"/>
      <c r="Y104" s="1170"/>
      <c r="Z104" s="1170"/>
      <c r="AA104" s="1170"/>
      <c r="AB104" s="1170"/>
      <c r="AC104" s="1170"/>
      <c r="AD104" s="1642"/>
      <c r="AE104" s="576"/>
      <c r="AF104" s="576"/>
      <c r="AG104" s="576"/>
      <c r="AH104" s="576"/>
      <c r="AI104" s="1651">
        <v>11</v>
      </c>
    </row>
    <row s="1651" customFormat="1" customHeight="1" ht="11.549999999999999">
      <c r="A105" s="997"/>
      <c r="B105" s="1646"/>
      <c r="C105" s="1646"/>
      <c r="D105" s="361"/>
      <c r="J105" s="1651"/>
      <c r="K105" s="1651"/>
      <c r="L105" s="1651"/>
      <c r="N105" s="1170"/>
      <c r="O105" s="1646"/>
      <c r="P105" s="1646"/>
      <c r="Q105" s="1170"/>
      <c r="R105" s="1170"/>
      <c r="S105" s="1170"/>
      <c r="T105" s="1170"/>
      <c r="U105" s="1646"/>
      <c r="V105" s="1170"/>
      <c r="W105" s="1170"/>
      <c r="X105" s="554"/>
      <c r="Y105" s="1170"/>
      <c r="Z105" s="1170"/>
      <c r="AA105" s="1170"/>
      <c r="AB105" s="1170"/>
      <c r="AC105" s="1170"/>
      <c r="AD105" s="1642"/>
      <c r="AE105" s="576"/>
      <c r="AF105" s="576"/>
      <c r="AG105" s="576"/>
      <c r="AH105" s="576"/>
      <c r="AI105" s="1651">
        <v>11</v>
      </c>
    </row>
    <row s="1651" customFormat="1" customHeight="1" ht="11.549999999999999">
      <c r="A106" s="997"/>
      <c r="B106" s="1646"/>
      <c r="C106" s="1646"/>
      <c r="D106" s="361"/>
      <c r="J106" s="1651"/>
      <c r="K106" s="1651"/>
      <c r="L106" s="1651"/>
      <c r="N106" s="1170"/>
      <c r="O106" s="1646"/>
      <c r="P106" s="1646"/>
      <c r="Q106" s="1170"/>
      <c r="R106" s="1170"/>
      <c r="S106" s="1170"/>
      <c r="T106" s="1170"/>
      <c r="U106" s="1646"/>
      <c r="V106" s="1170"/>
      <c r="W106" s="1170"/>
      <c r="X106" s="554"/>
      <c r="Y106" s="1170"/>
      <c r="Z106" s="1170"/>
      <c r="AA106" s="1170"/>
      <c r="AB106" s="1170"/>
      <c r="AC106" s="1170"/>
      <c r="AD106" s="1642"/>
      <c r="AE106" s="576"/>
      <c r="AF106" s="576"/>
      <c r="AG106" s="576"/>
      <c r="AH106" s="576"/>
      <c r="AI106" s="1651">
        <v>11</v>
      </c>
    </row>
    <row s="1651" customFormat="1" customHeight="1" ht="11.549999999999999">
      <c r="A107" s="997"/>
      <c r="B107" s="1646"/>
      <c r="C107" s="1646"/>
      <c r="D107" s="361"/>
      <c r="J107" s="1651"/>
      <c r="K107" s="1651"/>
      <c r="L107" s="1651"/>
      <c r="N107" s="1170"/>
      <c r="O107" s="1646"/>
      <c r="P107" s="1646"/>
      <c r="Q107" s="1170"/>
      <c r="R107" s="1170"/>
      <c r="S107" s="1170"/>
      <c r="T107" s="1170"/>
      <c r="U107" s="1646"/>
      <c r="V107" s="1170"/>
      <c r="W107" s="1170"/>
      <c r="X107" s="554"/>
      <c r="Y107" s="1170"/>
      <c r="Z107" s="1170"/>
      <c r="AA107" s="1170"/>
      <c r="AB107" s="1170"/>
      <c r="AC107" s="1170"/>
      <c r="AD107" s="1642"/>
      <c r="AE107" s="576"/>
      <c r="AF107" s="576"/>
      <c r="AG107" s="576"/>
      <c r="AH107" s="576"/>
      <c r="AI107" s="1651">
        <v>11</v>
      </c>
    </row>
    <row s="1651" customFormat="1" customHeight="1" ht="11.549999999999999">
      <c r="A108" s="997"/>
      <c r="B108" s="1646"/>
      <c r="C108" s="1646"/>
      <c r="D108" s="361"/>
      <c r="J108" s="1651"/>
      <c r="K108" s="1651"/>
      <c r="L108" s="1651"/>
      <c r="N108" s="1170"/>
      <c r="O108" s="1646"/>
      <c r="P108" s="1646"/>
      <c r="Q108" s="1170"/>
      <c r="R108" s="1170"/>
      <c r="S108" s="1170"/>
      <c r="T108" s="1170"/>
      <c r="U108" s="1646"/>
      <c r="V108" s="1170"/>
      <c r="W108" s="1170"/>
      <c r="X108" s="554"/>
      <c r="Y108" s="1170"/>
      <c r="Z108" s="1170"/>
      <c r="AA108" s="1170"/>
      <c r="AB108" s="1170"/>
      <c r="AC108" s="1170"/>
      <c r="AD108" s="1642"/>
      <c r="AE108" s="576"/>
      <c r="AF108" s="576"/>
      <c r="AG108" s="576"/>
      <c r="AH108" s="576"/>
      <c r="AI108" s="1651">
        <v>11</v>
      </c>
    </row>
    <row s="1651" customFormat="1" customHeight="1" ht="11.549999999999999">
      <c r="A109" s="997"/>
      <c r="B109" s="1646"/>
      <c r="C109" s="1646"/>
      <c r="D109" s="361"/>
      <c r="J109" s="1651"/>
      <c r="K109" s="1651"/>
      <c r="L109" s="1651"/>
      <c r="N109" s="1170"/>
      <c r="O109" s="1646"/>
      <c r="P109" s="1646"/>
      <c r="Q109" s="1170"/>
      <c r="R109" s="1170"/>
      <c r="S109" s="1170"/>
      <c r="T109" s="1170"/>
      <c r="U109" s="1646"/>
      <c r="V109" s="1170"/>
      <c r="W109" s="1170"/>
      <c r="X109" s="554"/>
      <c r="Y109" s="1170"/>
      <c r="Z109" s="1170"/>
      <c r="AA109" s="1170"/>
      <c r="AB109" s="1170"/>
      <c r="AC109" s="1170"/>
      <c r="AD109" s="1642"/>
      <c r="AE109" s="576"/>
      <c r="AF109" s="576"/>
      <c r="AG109" s="576"/>
      <c r="AH109" s="576"/>
      <c r="AI109" s="1651">
        <v>11</v>
      </c>
    </row>
    <row s="1651" customFormat="1" customHeight="1" ht="11.549999999999999">
      <c r="A110" s="997"/>
      <c r="B110" s="1646"/>
      <c r="C110" s="1646"/>
      <c r="D110" s="361"/>
      <c r="J110" s="1651"/>
      <c r="K110" s="1651"/>
      <c r="L110" s="1651"/>
      <c r="N110" s="1170"/>
      <c r="O110" s="1646"/>
      <c r="P110" s="1646"/>
      <c r="Q110" s="1170"/>
      <c r="R110" s="1170"/>
      <c r="S110" s="1170"/>
      <c r="T110" s="1170"/>
      <c r="U110" s="1646"/>
      <c r="V110" s="1170"/>
      <c r="W110" s="1170"/>
      <c r="X110" s="554"/>
      <c r="Y110" s="1170"/>
      <c r="Z110" s="1170"/>
      <c r="AA110" s="1170"/>
      <c r="AB110" s="1170"/>
      <c r="AC110" s="1170"/>
      <c r="AD110" s="1642"/>
      <c r="AE110" s="576"/>
      <c r="AF110" s="576"/>
      <c r="AG110" s="576"/>
      <c r="AH110" s="576"/>
      <c r="AI110" s="1651">
        <v>11</v>
      </c>
    </row>
    <row s="1651" customFormat="1" customHeight="1" ht="11.549999999999999">
      <c r="A111" s="997"/>
      <c r="B111" s="1646"/>
      <c r="C111" s="1646"/>
      <c r="D111" s="361"/>
      <c r="J111" s="1651"/>
      <c r="K111" s="1651"/>
      <c r="L111" s="1651"/>
      <c r="N111" s="1170"/>
      <c r="O111" s="1646"/>
      <c r="P111" s="1646"/>
      <c r="Q111" s="1170"/>
      <c r="R111" s="1170"/>
      <c r="S111" s="1170"/>
      <c r="T111" s="1170"/>
      <c r="U111" s="1646"/>
      <c r="V111" s="1170"/>
      <c r="W111" s="1170"/>
      <c r="X111" s="554"/>
      <c r="Y111" s="1170"/>
      <c r="Z111" s="1170"/>
      <c r="AA111" s="1170"/>
      <c r="AB111" s="1170"/>
      <c r="AC111" s="1170"/>
      <c r="AD111" s="1642"/>
      <c r="AE111" s="576"/>
      <c r="AF111" s="576"/>
      <c r="AG111" s="576"/>
      <c r="AH111" s="576"/>
      <c r="AI111" s="1651">
        <v>11</v>
      </c>
    </row>
    <row s="1651" customFormat="1" customHeight="1" ht="11.549999999999999">
      <c r="A112" s="997"/>
      <c r="B112" s="1646"/>
      <c r="C112" s="1646"/>
      <c r="D112" s="361"/>
      <c r="J112" s="1651"/>
      <c r="K112" s="1651"/>
      <c r="L112" s="1651"/>
      <c r="N112" s="1170"/>
      <c r="O112" s="1646"/>
      <c r="P112" s="1646"/>
      <c r="Q112" s="1170"/>
      <c r="R112" s="1170"/>
      <c r="S112" s="1170"/>
      <c r="T112" s="1170"/>
      <c r="U112" s="1646"/>
      <c r="V112" s="1170"/>
      <c r="W112" s="1170"/>
      <c r="X112" s="554"/>
      <c r="Y112" s="1170"/>
      <c r="Z112" s="1170"/>
      <c r="AA112" s="1170"/>
      <c r="AB112" s="1170"/>
      <c r="AC112" s="1170"/>
      <c r="AD112" s="1642"/>
      <c r="AE112" s="576"/>
      <c r="AF112" s="576"/>
      <c r="AG112" s="576"/>
      <c r="AH112" s="576"/>
      <c r="AI112" s="1651">
        <v>11</v>
      </c>
    </row>
    <row s="1651" customFormat="1" customHeight="1" ht="11.549999999999999">
      <c r="A113" s="997"/>
      <c r="B113" s="1646"/>
      <c r="C113" s="1646"/>
      <c r="D113" s="361"/>
      <c r="J113" s="1651"/>
      <c r="K113" s="1651"/>
      <c r="L113" s="1651"/>
      <c r="N113" s="1170"/>
      <c r="O113" s="1646"/>
      <c r="P113" s="1646"/>
      <c r="Q113" s="1170"/>
      <c r="R113" s="1170"/>
      <c r="S113" s="1170"/>
      <c r="T113" s="1170"/>
      <c r="U113" s="1646"/>
      <c r="V113" s="1170"/>
      <c r="W113" s="1170"/>
      <c r="X113" s="554"/>
      <c r="Y113" s="1170"/>
      <c r="Z113" s="1170"/>
      <c r="AA113" s="1170"/>
      <c r="AB113" s="1170"/>
      <c r="AC113" s="1170"/>
      <c r="AD113" s="1642"/>
      <c r="AE113" s="576"/>
      <c r="AF113" s="576"/>
      <c r="AG113" s="576"/>
      <c r="AH113" s="576"/>
      <c r="AI113" s="1651">
        <v>11</v>
      </c>
    </row>
    <row s="1651" customFormat="1" customHeight="1" ht="11.549999999999999">
      <c r="A114" s="997"/>
      <c r="B114" s="1646"/>
      <c r="C114" s="1646"/>
      <c r="D114" s="361"/>
      <c r="J114" s="1651"/>
      <c r="K114" s="1651"/>
      <c r="L114" s="1651"/>
      <c r="N114" s="1170"/>
      <c r="O114" s="1646"/>
      <c r="P114" s="1646"/>
      <c r="Q114" s="1170"/>
      <c r="R114" s="1170"/>
      <c r="S114" s="1170"/>
      <c r="T114" s="1170"/>
      <c r="U114" s="1646"/>
      <c r="V114" s="1170"/>
      <c r="W114" s="1170"/>
      <c r="X114" s="554"/>
      <c r="Y114" s="1170"/>
      <c r="Z114" s="1170"/>
      <c r="AA114" s="1170"/>
      <c r="AB114" s="1170"/>
      <c r="AC114" s="1170"/>
      <c r="AD114" s="1642"/>
      <c r="AE114" s="576"/>
      <c r="AF114" s="576"/>
      <c r="AG114" s="576"/>
      <c r="AH114" s="576"/>
      <c r="AI114" s="1651">
        <v>11</v>
      </c>
    </row>
    <row s="1651" customFormat="1" customHeight="1" ht="11.549999999999999">
      <c r="A115" s="997"/>
      <c r="B115" s="1646"/>
      <c r="C115" s="1646"/>
      <c r="D115" s="361"/>
      <c r="J115" s="1651"/>
      <c r="K115" s="1651"/>
      <c r="L115" s="1651"/>
      <c r="N115" s="1170"/>
      <c r="O115" s="1646"/>
      <c r="P115" s="1646"/>
      <c r="Q115" s="1170"/>
      <c r="R115" s="1170"/>
      <c r="S115" s="1170"/>
      <c r="T115" s="1170"/>
      <c r="U115" s="1646"/>
      <c r="V115" s="1170"/>
      <c r="W115" s="1170"/>
      <c r="X115" s="554"/>
      <c r="Y115" s="1170"/>
      <c r="Z115" s="1170"/>
      <c r="AA115" s="1170"/>
      <c r="AB115" s="1170"/>
      <c r="AC115" s="1170"/>
      <c r="AD115" s="1642"/>
      <c r="AE115" s="576"/>
      <c r="AF115" s="576"/>
      <c r="AG115" s="576"/>
      <c r="AH115" s="576"/>
      <c r="AI115" s="1651">
        <v>11</v>
      </c>
    </row>
    <row s="1651" customFormat="1" customHeight="1" ht="11.549999999999999">
      <c r="A116" s="997"/>
      <c r="B116" s="1646"/>
      <c r="C116" s="1646"/>
      <c r="D116" s="361"/>
      <c r="J116" s="1651"/>
      <c r="K116" s="1651"/>
      <c r="L116" s="1651"/>
      <c r="N116" s="1170"/>
      <c r="O116" s="1646"/>
      <c r="P116" s="1646"/>
      <c r="Q116" s="1170"/>
      <c r="R116" s="1170"/>
      <c r="S116" s="1170"/>
      <c r="T116" s="1170"/>
      <c r="U116" s="1646"/>
      <c r="V116" s="1170"/>
      <c r="W116" s="1170"/>
      <c r="X116" s="554"/>
      <c r="Y116" s="1170"/>
      <c r="Z116" s="1170"/>
      <c r="AA116" s="1170"/>
      <c r="AB116" s="1170"/>
      <c r="AC116" s="1170"/>
      <c r="AD116" s="1642"/>
      <c r="AE116" s="576"/>
      <c r="AF116" s="576"/>
      <c r="AG116" s="576"/>
      <c r="AH116" s="576"/>
      <c r="AI116" s="1651">
        <v>11</v>
      </c>
    </row>
    <row s="1651" customFormat="1" customHeight="1" ht="11.549999999999999">
      <c r="A117" s="997"/>
      <c r="B117" s="1646"/>
      <c r="C117" s="1646"/>
      <c r="D117" s="361"/>
      <c r="J117" s="1651"/>
      <c r="K117" s="1651"/>
      <c r="L117" s="1651"/>
      <c r="N117" s="1170"/>
      <c r="O117" s="1646"/>
      <c r="P117" s="1646"/>
      <c r="Q117" s="1170"/>
      <c r="R117" s="1170"/>
      <c r="S117" s="1170"/>
      <c r="T117" s="1170"/>
      <c r="U117" s="1646"/>
      <c r="V117" s="1170"/>
      <c r="W117" s="1170"/>
      <c r="X117" s="554"/>
      <c r="Y117" s="1170"/>
      <c r="Z117" s="1170"/>
      <c r="AA117" s="1170"/>
      <c r="AB117" s="1170"/>
      <c r="AC117" s="1170"/>
      <c r="AD117" s="1642"/>
      <c r="AE117" s="576"/>
      <c r="AF117" s="576"/>
      <c r="AG117" s="576"/>
      <c r="AH117" s="576"/>
      <c r="AI117" s="1651">
        <v>11</v>
      </c>
    </row>
    <row s="1651" customFormat="1" customHeight="1" ht="11.549999999999999">
      <c r="A118" s="997"/>
      <c r="B118" s="1646"/>
      <c r="C118" s="1646"/>
      <c r="D118" s="361"/>
      <c r="J118" s="1651"/>
      <c r="K118" s="1651"/>
      <c r="L118" s="1651"/>
      <c r="N118" s="1170"/>
      <c r="O118" s="1646"/>
      <c r="P118" s="1646"/>
      <c r="Q118" s="1170"/>
      <c r="R118" s="1170"/>
      <c r="S118" s="1170"/>
      <c r="T118" s="1170"/>
      <c r="U118" s="1646"/>
      <c r="V118" s="1170"/>
      <c r="W118" s="1170"/>
      <c r="X118" s="554"/>
      <c r="Y118" s="1170"/>
      <c r="Z118" s="1170"/>
      <c r="AA118" s="1170"/>
      <c r="AB118" s="1170"/>
      <c r="AC118" s="1170"/>
      <c r="AD118" s="1642"/>
      <c r="AE118" s="576"/>
      <c r="AF118" s="576"/>
      <c r="AG118" s="576"/>
      <c r="AH118" s="576"/>
      <c r="AI118" s="1651">
        <v>11</v>
      </c>
    </row>
    <row s="1651" customFormat="1" customHeight="1" ht="11.549999999999999">
      <c r="A119" s="997"/>
      <c r="B119" s="1646"/>
      <c r="C119" s="1646"/>
      <c r="D119" s="361"/>
      <c r="J119" s="1651"/>
      <c r="K119" s="1651"/>
      <c r="L119" s="1651"/>
      <c r="N119" s="1170"/>
      <c r="O119" s="1646"/>
      <c r="P119" s="1646"/>
      <c r="Q119" s="1170"/>
      <c r="R119" s="1170"/>
      <c r="S119" s="1170"/>
      <c r="T119" s="1170"/>
      <c r="U119" s="1646"/>
      <c r="V119" s="1170"/>
      <c r="W119" s="1170"/>
      <c r="X119" s="554"/>
      <c r="Y119" s="1170"/>
      <c r="Z119" s="1170"/>
      <c r="AA119" s="1170"/>
      <c r="AB119" s="1170"/>
      <c r="AC119" s="1170"/>
      <c r="AD119" s="1642"/>
      <c r="AE119" s="576"/>
      <c r="AF119" s="576"/>
      <c r="AG119" s="576"/>
      <c r="AH119" s="576"/>
      <c r="AI119" s="1651">
        <v>11</v>
      </c>
    </row>
    <row s="1651" customFormat="1" customHeight="1" ht="11.549999999999999">
      <c r="A120" s="997"/>
      <c r="B120" s="1646"/>
      <c r="C120" s="1646"/>
      <c r="D120" s="361"/>
      <c r="J120" s="1651"/>
      <c r="K120" s="1651"/>
      <c r="L120" s="1651"/>
      <c r="N120" s="1170"/>
      <c r="O120" s="1646"/>
      <c r="P120" s="1646"/>
      <c r="Q120" s="1170"/>
      <c r="R120" s="1170"/>
      <c r="S120" s="1170"/>
      <c r="T120" s="1170"/>
      <c r="U120" s="1646"/>
      <c r="V120" s="1170"/>
      <c r="W120" s="1170"/>
      <c r="X120" s="554"/>
      <c r="Y120" s="1170"/>
      <c r="Z120" s="1170"/>
      <c r="AA120" s="1170"/>
      <c r="AB120" s="1170"/>
      <c r="AC120" s="1170"/>
      <c r="AD120" s="1642"/>
      <c r="AE120" s="576"/>
      <c r="AF120" s="576"/>
      <c r="AG120" s="576"/>
      <c r="AH120" s="576"/>
      <c r="AI120" s="1651">
        <v>11</v>
      </c>
    </row>
    <row s="1651" customFormat="1" customHeight="1" ht="11.549999999999999">
      <c r="A121" s="997"/>
      <c r="B121" s="1646"/>
      <c r="C121" s="1646"/>
      <c r="D121" s="361"/>
      <c r="J121" s="1651"/>
      <c r="K121" s="1651"/>
      <c r="L121" s="1651"/>
      <c r="N121" s="1170"/>
      <c r="O121" s="1646"/>
      <c r="P121" s="1646"/>
      <c r="Q121" s="1170"/>
      <c r="R121" s="1170"/>
      <c r="S121" s="1170"/>
      <c r="T121" s="1170"/>
      <c r="U121" s="1646"/>
      <c r="V121" s="1170"/>
      <c r="W121" s="1170"/>
      <c r="X121" s="554"/>
      <c r="Y121" s="1170"/>
      <c r="Z121" s="1170"/>
      <c r="AA121" s="1170"/>
      <c r="AB121" s="1170"/>
      <c r="AC121" s="1170"/>
      <c r="AD121" s="1642"/>
      <c r="AE121" s="576"/>
      <c r="AF121" s="576"/>
      <c r="AG121" s="576"/>
      <c r="AH121" s="576"/>
      <c r="AI121" s="1651">
        <v>11</v>
      </c>
    </row>
    <row s="1651" customFormat="1" customHeight="1" ht="11.549999999999999">
      <c r="A122" s="997"/>
      <c r="B122" s="1646"/>
      <c r="C122" s="1646"/>
      <c r="D122" s="361"/>
      <c r="J122" s="1651"/>
      <c r="K122" s="1651"/>
      <c r="L122" s="1651"/>
      <c r="N122" s="1170"/>
      <c r="O122" s="1646"/>
      <c r="P122" s="1646"/>
      <c r="Q122" s="1170"/>
      <c r="R122" s="1170"/>
      <c r="S122" s="1170"/>
      <c r="T122" s="1170"/>
      <c r="U122" s="1646"/>
      <c r="V122" s="1170"/>
      <c r="W122" s="1170"/>
      <c r="X122" s="554"/>
      <c r="Y122" s="1170"/>
      <c r="Z122" s="1170"/>
      <c r="AA122" s="1170"/>
      <c r="AB122" s="1170"/>
      <c r="AC122" s="1170"/>
      <c r="AD122" s="1642"/>
      <c r="AE122" s="576"/>
      <c r="AF122" s="576"/>
      <c r="AG122" s="576"/>
      <c r="AH122" s="576"/>
      <c r="AI122" s="1651">
        <v>11</v>
      </c>
    </row>
    <row s="1651" customFormat="1" customHeight="1" ht="11.549999999999999">
      <c r="A123" s="997"/>
      <c r="B123" s="1646"/>
      <c r="C123" s="1646"/>
      <c r="D123" s="361"/>
      <c r="J123" s="1651"/>
      <c r="K123" s="1651"/>
      <c r="L123" s="1651"/>
      <c r="N123" s="1170"/>
      <c r="O123" s="1646"/>
      <c r="P123" s="1646"/>
      <c r="Q123" s="1170"/>
      <c r="R123" s="1170"/>
      <c r="S123" s="1170"/>
      <c r="T123" s="1170"/>
      <c r="U123" s="1646"/>
      <c r="V123" s="1170"/>
      <c r="W123" s="1170"/>
      <c r="X123" s="554"/>
      <c r="Y123" s="1170"/>
      <c r="Z123" s="1170"/>
      <c r="AA123" s="1170"/>
      <c r="AB123" s="1170"/>
      <c r="AC123" s="1170"/>
      <c r="AD123" s="1642"/>
      <c r="AE123" s="576"/>
      <c r="AF123" s="576"/>
      <c r="AG123" s="576"/>
      <c r="AH123" s="576"/>
      <c r="AI123" s="1651">
        <v>11</v>
      </c>
    </row>
    <row s="1651" customFormat="1" customHeight="1" ht="11.549999999999999">
      <c r="A124" s="997"/>
      <c r="B124" s="1646"/>
      <c r="C124" s="1646"/>
      <c r="D124" s="361"/>
      <c r="J124" s="1651"/>
      <c r="K124" s="1651"/>
      <c r="L124" s="1651"/>
      <c r="N124" s="1170"/>
      <c r="O124" s="1646"/>
      <c r="P124" s="1646"/>
      <c r="Q124" s="1170"/>
      <c r="R124" s="1170"/>
      <c r="S124" s="1170"/>
      <c r="T124" s="1170"/>
      <c r="U124" s="1646"/>
      <c r="V124" s="1170"/>
      <c r="W124" s="1170"/>
      <c r="X124" s="554"/>
      <c r="Y124" s="1170"/>
      <c r="Z124" s="1170"/>
      <c r="AA124" s="1170"/>
      <c r="AB124" s="1170"/>
      <c r="AC124" s="1170"/>
      <c r="AD124" s="1642"/>
      <c r="AE124" s="576"/>
      <c r="AF124" s="576"/>
      <c r="AG124" s="576"/>
      <c r="AH124" s="576"/>
      <c r="AI124" s="1651">
        <v>11</v>
      </c>
    </row>
    <row s="1651" customFormat="1" customHeight="1" ht="11.549999999999999">
      <c r="A125" s="997"/>
      <c r="B125" s="1646"/>
      <c r="C125" s="1646"/>
      <c r="D125" s="361"/>
      <c r="J125" s="1651"/>
      <c r="K125" s="1651"/>
      <c r="L125" s="1651"/>
      <c r="N125" s="1170"/>
      <c r="O125" s="1646"/>
      <c r="P125" s="1646"/>
      <c r="Q125" s="1170"/>
      <c r="R125" s="1170"/>
      <c r="S125" s="1170"/>
      <c r="T125" s="1170"/>
      <c r="U125" s="1646"/>
      <c r="V125" s="1170"/>
      <c r="W125" s="1170"/>
      <c r="X125" s="554"/>
      <c r="Y125" s="1170"/>
      <c r="Z125" s="1170"/>
      <c r="AA125" s="1170"/>
      <c r="AB125" s="1170"/>
      <c r="AC125" s="1170"/>
      <c r="AD125" s="1642"/>
      <c r="AE125" s="576"/>
      <c r="AF125" s="576"/>
      <c r="AG125" s="576"/>
      <c r="AH125" s="576"/>
      <c r="AI125" s="1651">
        <v>11</v>
      </c>
    </row>
    <row s="1651" customFormat="1" customHeight="1" ht="11.549999999999999">
      <c r="A126" s="997"/>
      <c r="B126" s="1646"/>
      <c r="C126" s="1646"/>
      <c r="D126" s="361"/>
      <c r="J126" s="1651"/>
      <c r="K126" s="1651"/>
      <c r="L126" s="1651"/>
      <c r="N126" s="1170"/>
      <c r="O126" s="1646"/>
      <c r="P126" s="1646"/>
      <c r="Q126" s="1170"/>
      <c r="R126" s="1170"/>
      <c r="S126" s="1170"/>
      <c r="T126" s="1170"/>
      <c r="U126" s="1646"/>
      <c r="V126" s="1170"/>
      <c r="W126" s="1170"/>
      <c r="X126" s="554"/>
      <c r="Y126" s="1170"/>
      <c r="Z126" s="1170"/>
      <c r="AA126" s="1170"/>
      <c r="AB126" s="1170"/>
      <c r="AC126" s="1170"/>
      <c r="AD126" s="1642"/>
      <c r="AE126" s="576"/>
      <c r="AF126" s="576"/>
      <c r="AG126" s="576"/>
      <c r="AH126" s="576"/>
      <c r="AI126" s="1651">
        <v>11</v>
      </c>
    </row>
    <row s="1651" customFormat="1" customHeight="1" ht="11.549999999999999">
      <c r="A127" s="997"/>
      <c r="B127" s="1646"/>
      <c r="C127" s="1646"/>
      <c r="D127" s="361"/>
      <c r="J127" s="1651"/>
      <c r="K127" s="1651"/>
      <c r="L127" s="1651"/>
      <c r="N127" s="1170"/>
      <c r="O127" s="1646"/>
      <c r="P127" s="1646"/>
      <c r="Q127" s="1170"/>
      <c r="R127" s="1170"/>
      <c r="S127" s="1170"/>
      <c r="T127" s="1170"/>
      <c r="U127" s="1646"/>
      <c r="V127" s="1170"/>
      <c r="W127" s="1170"/>
      <c r="X127" s="554"/>
      <c r="Y127" s="1170"/>
      <c r="Z127" s="1170"/>
      <c r="AA127" s="1170"/>
      <c r="AB127" s="1170"/>
      <c r="AC127" s="1170"/>
      <c r="AD127" s="1642"/>
      <c r="AE127" s="576"/>
      <c r="AF127" s="576"/>
      <c r="AG127" s="576"/>
      <c r="AH127" s="576"/>
      <c r="AI127" s="1651">
        <v>11</v>
      </c>
    </row>
    <row s="1651" customFormat="1" customHeight="1" ht="11.549999999999999">
      <c r="A128" s="997"/>
      <c r="B128" s="1646"/>
      <c r="C128" s="1646"/>
      <c r="D128" s="361"/>
      <c r="J128" s="1651"/>
      <c r="K128" s="1651"/>
      <c r="L128" s="1651"/>
      <c r="N128" s="1170"/>
      <c r="O128" s="1646"/>
      <c r="P128" s="1646"/>
      <c r="Q128" s="1170"/>
      <c r="R128" s="1170"/>
      <c r="S128" s="1170"/>
      <c r="T128" s="1170"/>
      <c r="U128" s="1646"/>
      <c r="V128" s="1170"/>
      <c r="W128" s="1170"/>
      <c r="X128" s="554"/>
      <c r="Y128" s="1170"/>
      <c r="Z128" s="1170"/>
      <c r="AA128" s="1170"/>
      <c r="AB128" s="1170"/>
      <c r="AC128" s="1170"/>
      <c r="AD128" s="1642"/>
      <c r="AE128" s="576"/>
      <c r="AF128" s="576"/>
      <c r="AG128" s="576"/>
      <c r="AH128" s="576"/>
      <c r="AI128" s="1651">
        <v>11</v>
      </c>
    </row>
    <row s="1651" customFormat="1" customHeight="1" ht="11.549999999999999">
      <c r="A129" s="997"/>
      <c r="B129" s="1646"/>
      <c r="C129" s="1646"/>
      <c r="D129" s="361"/>
      <c r="J129" s="1651"/>
      <c r="K129" s="1651"/>
      <c r="L129" s="1651"/>
      <c r="N129" s="1170"/>
      <c r="O129" s="1646"/>
      <c r="P129" s="1646"/>
      <c r="Q129" s="1170"/>
      <c r="R129" s="1170"/>
      <c r="S129" s="1170"/>
      <c r="T129" s="1170"/>
      <c r="U129" s="1646"/>
      <c r="V129" s="1170"/>
      <c r="W129" s="1170"/>
      <c r="X129" s="554"/>
      <c r="Y129" s="1170"/>
      <c r="Z129" s="1170"/>
      <c r="AA129" s="1170"/>
      <c r="AB129" s="1170"/>
      <c r="AC129" s="1170"/>
      <c r="AD129" s="1642"/>
      <c r="AE129" s="576"/>
      <c r="AF129" s="576"/>
      <c r="AG129" s="576"/>
      <c r="AH129" s="576"/>
      <c r="AI129" s="1651">
        <v>11</v>
      </c>
    </row>
    <row s="1651" customFormat="1" customHeight="1" ht="11.549999999999999">
      <c r="A130" s="997"/>
      <c r="B130" s="1646"/>
      <c r="C130" s="1646"/>
      <c r="D130" s="361"/>
      <c r="J130" s="1651"/>
      <c r="K130" s="1651"/>
      <c r="L130" s="1651"/>
      <c r="N130" s="1170"/>
      <c r="O130" s="1646"/>
      <c r="P130" s="1646"/>
      <c r="Q130" s="1170"/>
      <c r="R130" s="1170"/>
      <c r="S130" s="1170"/>
      <c r="T130" s="1170"/>
      <c r="U130" s="1646"/>
      <c r="V130" s="1170"/>
      <c r="W130" s="1170"/>
      <c r="X130" s="554"/>
      <c r="Y130" s="1170"/>
      <c r="Z130" s="1170"/>
      <c r="AA130" s="1170"/>
      <c r="AB130" s="1170"/>
      <c r="AC130" s="1170"/>
      <c r="AD130" s="1642"/>
      <c r="AE130" s="576"/>
      <c r="AF130" s="576"/>
      <c r="AG130" s="576"/>
      <c r="AH130" s="576"/>
      <c r="AI130" s="1651">
        <v>11</v>
      </c>
    </row>
    <row s="1651" customFormat="1" customHeight="1" ht="11.549999999999999">
      <c r="A131" s="997"/>
      <c r="B131" s="1646"/>
      <c r="C131" s="1646"/>
      <c r="D131" s="361"/>
      <c r="J131" s="1651"/>
      <c r="K131" s="1651"/>
      <c r="L131" s="1651"/>
      <c r="N131" s="1170"/>
      <c r="O131" s="1646"/>
      <c r="P131" s="1646"/>
      <c r="Q131" s="1170"/>
      <c r="R131" s="1170"/>
      <c r="S131" s="1170"/>
      <c r="T131" s="1170"/>
      <c r="U131" s="1646"/>
      <c r="V131" s="1170"/>
      <c r="W131" s="1170"/>
      <c r="X131" s="554"/>
      <c r="Y131" s="1170"/>
      <c r="Z131" s="1170"/>
      <c r="AA131" s="1170"/>
      <c r="AB131" s="1170"/>
      <c r="AC131" s="1170"/>
      <c r="AD131" s="1642"/>
      <c r="AE131" s="576"/>
      <c r="AF131" s="576"/>
      <c r="AG131" s="576"/>
      <c r="AH131" s="576"/>
      <c r="AI131" s="1651">
        <v>11</v>
      </c>
    </row>
    <row s="1651" customFormat="1" customHeight="1" ht="11.549999999999999">
      <c r="A132" s="997"/>
      <c r="B132" s="1646"/>
      <c r="C132" s="1646"/>
      <c r="D132" s="361"/>
      <c r="J132" s="1651"/>
      <c r="K132" s="1651"/>
      <c r="L132" s="1651"/>
      <c r="N132" s="1170"/>
      <c r="O132" s="1646"/>
      <c r="P132" s="1646"/>
      <c r="Q132" s="1170"/>
      <c r="R132" s="1170"/>
      <c r="S132" s="1170"/>
      <c r="T132" s="1170"/>
      <c r="U132" s="1646"/>
      <c r="V132" s="1170"/>
      <c r="W132" s="1170"/>
      <c r="X132" s="554"/>
      <c r="Y132" s="1170"/>
      <c r="Z132" s="1170"/>
      <c r="AA132" s="1170"/>
      <c r="AB132" s="1170"/>
      <c r="AC132" s="1170"/>
      <c r="AD132" s="1642"/>
      <c r="AE132" s="576"/>
      <c r="AF132" s="576"/>
      <c r="AG132" s="576"/>
      <c r="AH132" s="576"/>
      <c r="AI132" s="1651">
        <v>11</v>
      </c>
    </row>
    <row s="1651" customFormat="1" customHeight="1" ht="11.549999999999999">
      <c r="A133" s="997"/>
      <c r="B133" s="1646"/>
      <c r="C133" s="1646"/>
      <c r="D133" s="361"/>
      <c r="J133" s="1651"/>
      <c r="K133" s="1651"/>
      <c r="L133" s="1651"/>
      <c r="N133" s="1170"/>
      <c r="O133" s="1646"/>
      <c r="P133" s="1646"/>
      <c r="Q133" s="1170"/>
      <c r="R133" s="1170"/>
      <c r="S133" s="1170"/>
      <c r="T133" s="1170"/>
      <c r="U133" s="1646"/>
      <c r="V133" s="1170"/>
      <c r="W133" s="1170"/>
      <c r="X133" s="554"/>
      <c r="Y133" s="1170"/>
      <c r="Z133" s="1170"/>
      <c r="AA133" s="1170"/>
      <c r="AB133" s="1170"/>
      <c r="AC133" s="1170"/>
      <c r="AD133" s="1642"/>
      <c r="AE133" s="576"/>
      <c r="AF133" s="576"/>
      <c r="AG133" s="576"/>
      <c r="AH133" s="576"/>
      <c r="AI133" s="1651">
        <v>11</v>
      </c>
    </row>
    <row s="1651" customFormat="1" customHeight="1" ht="11.549999999999999">
      <c r="A134" s="997"/>
      <c r="B134" s="1646"/>
      <c r="C134" s="1646"/>
      <c r="D134" s="361"/>
      <c r="J134" s="1651"/>
      <c r="K134" s="1651"/>
      <c r="L134" s="1651"/>
      <c r="N134" s="1170"/>
      <c r="O134" s="1646"/>
      <c r="P134" s="1646"/>
      <c r="Q134" s="1170"/>
      <c r="R134" s="1170"/>
      <c r="S134" s="1170"/>
      <c r="T134" s="1170"/>
      <c r="U134" s="1646"/>
      <c r="V134" s="1170"/>
      <c r="W134" s="1170"/>
      <c r="X134" s="554"/>
      <c r="Y134" s="1170"/>
      <c r="Z134" s="1170"/>
      <c r="AA134" s="1170"/>
      <c r="AB134" s="1170"/>
      <c r="AC134" s="1170"/>
      <c r="AD134" s="1642"/>
      <c r="AE134" s="576"/>
      <c r="AF134" s="576"/>
      <c r="AG134" s="576"/>
      <c r="AH134" s="576"/>
      <c r="AI134" s="1651">
        <v>11</v>
      </c>
    </row>
    <row s="1651" customFormat="1" customHeight="1" ht="11.549999999999999">
      <c r="A135" s="997"/>
      <c r="B135" s="1646"/>
      <c r="C135" s="1646"/>
      <c r="D135" s="361"/>
      <c r="J135" s="1651"/>
      <c r="K135" s="1651"/>
      <c r="L135" s="1651"/>
      <c r="N135" s="1170"/>
      <c r="O135" s="1646"/>
      <c r="P135" s="1646"/>
      <c r="Q135" s="1170"/>
      <c r="R135" s="1170"/>
      <c r="S135" s="1170"/>
      <c r="T135" s="1170"/>
      <c r="U135" s="1646"/>
      <c r="V135" s="1170"/>
      <c r="W135" s="1170"/>
      <c r="X135" s="554"/>
      <c r="Y135" s="1170"/>
      <c r="Z135" s="1170"/>
      <c r="AA135" s="1170"/>
      <c r="AB135" s="1170"/>
      <c r="AC135" s="1170"/>
      <c r="AD135" s="1642"/>
      <c r="AE135" s="576"/>
      <c r="AF135" s="576"/>
      <c r="AG135" s="576"/>
      <c r="AH135" s="576"/>
      <c r="AI135" s="1651">
        <v>11</v>
      </c>
    </row>
    <row s="1651" customFormat="1" customHeight="1" ht="11.549999999999999">
      <c r="A136" s="997"/>
      <c r="B136" s="1646"/>
      <c r="C136" s="1646"/>
      <c r="D136" s="361"/>
      <c r="J136" s="1651"/>
      <c r="K136" s="1651"/>
      <c r="L136" s="1651"/>
      <c r="N136" s="1170"/>
      <c r="O136" s="1646"/>
      <c r="P136" s="1646"/>
      <c r="Q136" s="1170"/>
      <c r="R136" s="1170"/>
      <c r="S136" s="1170"/>
      <c r="T136" s="1170"/>
      <c r="U136" s="1646"/>
      <c r="V136" s="1170"/>
      <c r="W136" s="1170"/>
      <c r="X136" s="554"/>
      <c r="Y136" s="1170"/>
      <c r="Z136" s="1170"/>
      <c r="AA136" s="1170"/>
      <c r="AB136" s="1170"/>
      <c r="AC136" s="1170"/>
      <c r="AD136" s="1642"/>
      <c r="AE136" s="576"/>
      <c r="AF136" s="576"/>
      <c r="AG136" s="576"/>
      <c r="AH136" s="576"/>
      <c r="AI136" s="1651">
        <v>11</v>
      </c>
    </row>
    <row s="1651" customFormat="1" customHeight="1" ht="11.549999999999999">
      <c r="A137" s="997"/>
      <c r="B137" s="1646"/>
      <c r="C137" s="1646"/>
      <c r="D137" s="361"/>
      <c r="J137" s="1651"/>
      <c r="K137" s="1651"/>
      <c r="L137" s="1651"/>
      <c r="N137" s="1170"/>
      <c r="O137" s="1646"/>
      <c r="P137" s="1646"/>
      <c r="Q137" s="1170"/>
      <c r="R137" s="1170"/>
      <c r="S137" s="1170"/>
      <c r="T137" s="1170"/>
      <c r="U137" s="1646"/>
      <c r="V137" s="1170"/>
      <c r="W137" s="1170"/>
      <c r="X137" s="554"/>
      <c r="Y137" s="1170"/>
      <c r="Z137" s="1170"/>
      <c r="AA137" s="1170"/>
      <c r="AB137" s="1170"/>
      <c r="AC137" s="1170"/>
      <c r="AD137" s="1642"/>
      <c r="AE137" s="576"/>
      <c r="AF137" s="576"/>
      <c r="AG137" s="576"/>
      <c r="AH137" s="576"/>
      <c r="AI137" s="1651">
        <v>11</v>
      </c>
    </row>
    <row s="1651" customFormat="1" customHeight="1" ht="11.549999999999999">
      <c r="A138" s="997"/>
      <c r="B138" s="1646"/>
      <c r="C138" s="1646"/>
      <c r="D138" s="361"/>
      <c r="J138" s="1651"/>
      <c r="K138" s="1651"/>
      <c r="L138" s="1651"/>
      <c r="N138" s="1170"/>
      <c r="O138" s="1646"/>
      <c r="P138" s="1646"/>
      <c r="Q138" s="1170"/>
      <c r="R138" s="1170"/>
      <c r="S138" s="1170"/>
      <c r="T138" s="1170"/>
      <c r="U138" s="1646"/>
      <c r="V138" s="1170"/>
      <c r="W138" s="1170"/>
      <c r="X138" s="554"/>
      <c r="Y138" s="1170"/>
      <c r="Z138" s="1170"/>
      <c r="AA138" s="1170"/>
      <c r="AB138" s="1170"/>
      <c r="AC138" s="1170"/>
      <c r="AD138" s="1642"/>
      <c r="AE138" s="576"/>
      <c r="AF138" s="576"/>
      <c r="AG138" s="576"/>
      <c r="AH138" s="576"/>
      <c r="AI138" s="1651">
        <v>11</v>
      </c>
    </row>
    <row s="1651" customFormat="1" customHeight="1" ht="11.549999999999999">
      <c r="A139" s="997"/>
      <c r="B139" s="1646"/>
      <c r="C139" s="1646"/>
      <c r="D139" s="361"/>
      <c r="J139" s="1651"/>
      <c r="K139" s="1651"/>
      <c r="L139" s="1651"/>
      <c r="N139" s="1170"/>
      <c r="O139" s="1646"/>
      <c r="P139" s="1646"/>
      <c r="Q139" s="1170"/>
      <c r="R139" s="1170"/>
      <c r="S139" s="1170"/>
      <c r="T139" s="1170"/>
      <c r="U139" s="1646"/>
      <c r="V139" s="1170"/>
      <c r="W139" s="1170"/>
      <c r="X139" s="554"/>
      <c r="Y139" s="1170"/>
      <c r="Z139" s="1170"/>
      <c r="AA139" s="1170"/>
      <c r="AB139" s="1170"/>
      <c r="AC139" s="1170"/>
      <c r="AD139" s="1642"/>
      <c r="AE139" s="576"/>
      <c r="AF139" s="576"/>
      <c r="AG139" s="576"/>
      <c r="AH139" s="576"/>
      <c r="AI139" s="1651">
        <v>11</v>
      </c>
    </row>
    <row s="1651" customFormat="1" customHeight="1" ht="11.549999999999999">
      <c r="A140" s="997"/>
      <c r="B140" s="1646"/>
      <c r="C140" s="1646"/>
      <c r="D140" s="361"/>
      <c r="J140" s="1651"/>
      <c r="K140" s="1651"/>
      <c r="L140" s="1651"/>
      <c r="N140" s="1170"/>
      <c r="O140" s="1646"/>
      <c r="P140" s="1646"/>
      <c r="Q140" s="1170"/>
      <c r="R140" s="1170"/>
      <c r="S140" s="1170"/>
      <c r="T140" s="1170"/>
      <c r="U140" s="1646"/>
      <c r="V140" s="1170"/>
      <c r="W140" s="1170"/>
      <c r="X140" s="554"/>
      <c r="Y140" s="1170"/>
      <c r="Z140" s="1170"/>
      <c r="AA140" s="1170"/>
      <c r="AB140" s="1170"/>
      <c r="AC140" s="1170"/>
      <c r="AD140" s="1642"/>
      <c r="AE140" s="576"/>
      <c r="AF140" s="576"/>
      <c r="AG140" s="576"/>
      <c r="AH140" s="576"/>
      <c r="AI140" s="1651">
        <v>11</v>
      </c>
    </row>
    <row s="1651" customFormat="1" customHeight="1" ht="11.549999999999999">
      <c r="A141" s="997"/>
      <c r="B141" s="1646"/>
      <c r="C141" s="1646"/>
      <c r="D141" s="361"/>
      <c r="J141" s="1651"/>
      <c r="K141" s="1651"/>
      <c r="L141" s="1651"/>
      <c r="N141" s="1170"/>
      <c r="O141" s="1646"/>
      <c r="P141" s="1646"/>
      <c r="Q141" s="1170"/>
      <c r="R141" s="1170"/>
      <c r="S141" s="1170"/>
      <c r="T141" s="1170"/>
      <c r="U141" s="1646"/>
      <c r="V141" s="1170"/>
      <c r="W141" s="1170"/>
      <c r="X141" s="554"/>
      <c r="Y141" s="1170"/>
      <c r="Z141" s="1170"/>
      <c r="AA141" s="1170"/>
      <c r="AB141" s="1170"/>
      <c r="AC141" s="1170"/>
      <c r="AD141" s="1642"/>
      <c r="AE141" s="576"/>
      <c r="AF141" s="576"/>
      <c r="AG141" s="576"/>
      <c r="AH141" s="576"/>
      <c r="AI141" s="1651">
        <v>11</v>
      </c>
    </row>
    <row s="1651" customFormat="1" customHeight="1" ht="11.549999999999999">
      <c r="A142" s="997"/>
      <c r="B142" s="1646"/>
      <c r="C142" s="1646"/>
      <c r="D142" s="361"/>
      <c r="J142" s="1651"/>
      <c r="K142" s="1651"/>
      <c r="L142" s="1651"/>
      <c r="N142" s="1170"/>
      <c r="O142" s="1646"/>
      <c r="P142" s="1646"/>
      <c r="Q142" s="1170"/>
      <c r="R142" s="1170"/>
      <c r="S142" s="1170"/>
      <c r="T142" s="1170"/>
      <c r="U142" s="1646"/>
      <c r="V142" s="1170"/>
      <c r="W142" s="1170"/>
      <c r="X142" s="554"/>
      <c r="Y142" s="1170"/>
      <c r="Z142" s="1170"/>
      <c r="AA142" s="1170"/>
      <c r="AB142" s="1170"/>
      <c r="AC142" s="1170"/>
      <c r="AD142" s="1642"/>
      <c r="AE142" s="576"/>
      <c r="AF142" s="576"/>
      <c r="AG142" s="576"/>
      <c r="AH142" s="576"/>
      <c r="AI142" s="1651">
        <v>11</v>
      </c>
    </row>
    <row s="1651" customFormat="1" customHeight="1" ht="11.549999999999999">
      <c r="A143" s="997"/>
      <c r="B143" s="1646"/>
      <c r="C143" s="1646"/>
      <c r="D143" s="361"/>
      <c r="J143" s="1651"/>
      <c r="K143" s="1651"/>
      <c r="L143" s="1651"/>
      <c r="N143" s="1170"/>
      <c r="O143" s="1646"/>
      <c r="P143" s="1646"/>
      <c r="Q143" s="1170"/>
      <c r="R143" s="1170"/>
      <c r="S143" s="1170"/>
      <c r="T143" s="1170"/>
      <c r="U143" s="1646"/>
      <c r="V143" s="1170"/>
      <c r="W143" s="1170"/>
      <c r="X143" s="554"/>
      <c r="Y143" s="1170"/>
      <c r="Z143" s="1170"/>
      <c r="AA143" s="1170"/>
      <c r="AB143" s="1170"/>
      <c r="AC143" s="1170"/>
      <c r="AD143" s="1642"/>
      <c r="AE143" s="576"/>
      <c r="AF143" s="576"/>
      <c r="AG143" s="576"/>
      <c r="AH143" s="576"/>
      <c r="AI143" s="1651">
        <v>11</v>
      </c>
    </row>
    <row s="1651" customFormat="1" customHeight="1" ht="11.549999999999999">
      <c r="A144" s="997"/>
      <c r="B144" s="1646"/>
      <c r="C144" s="1646"/>
      <c r="D144" s="361"/>
      <c r="J144" s="1651"/>
      <c r="K144" s="1651"/>
      <c r="L144" s="1651"/>
      <c r="N144" s="1170"/>
      <c r="O144" s="1646"/>
      <c r="P144" s="1646"/>
      <c r="Q144" s="1170"/>
      <c r="R144" s="1170"/>
      <c r="S144" s="1170"/>
      <c r="T144" s="1170"/>
      <c r="U144" s="1646"/>
      <c r="V144" s="1170"/>
      <c r="W144" s="1170"/>
      <c r="X144" s="554"/>
      <c r="Y144" s="1170"/>
      <c r="Z144" s="1170"/>
      <c r="AA144" s="1170"/>
      <c r="AB144" s="1170"/>
      <c r="AC144" s="1170"/>
      <c r="AD144" s="1642"/>
      <c r="AE144" s="576"/>
      <c r="AF144" s="576"/>
      <c r="AG144" s="576"/>
      <c r="AH144" s="576"/>
      <c r="AI144" s="1651">
        <v>11</v>
      </c>
    </row>
    <row s="1651" customFormat="1" customHeight="1" ht="11.549999999999999">
      <c r="A145" s="997"/>
      <c r="B145" s="1646"/>
      <c r="C145" s="1646"/>
      <c r="D145" s="361"/>
      <c r="J145" s="1651"/>
      <c r="K145" s="1651"/>
      <c r="L145" s="1651"/>
      <c r="N145" s="1170"/>
      <c r="O145" s="1646"/>
      <c r="P145" s="1646"/>
      <c r="Q145" s="1170"/>
      <c r="R145" s="1170"/>
      <c r="S145" s="1170"/>
      <c r="T145" s="1170"/>
      <c r="U145" s="1646"/>
      <c r="V145" s="1170"/>
      <c r="W145" s="1170"/>
      <c r="X145" s="554"/>
      <c r="Y145" s="1170"/>
      <c r="Z145" s="1170"/>
      <c r="AA145" s="1170"/>
      <c r="AB145" s="1170"/>
      <c r="AC145" s="1170"/>
      <c r="AD145" s="1642"/>
      <c r="AE145" s="576"/>
      <c r="AF145" s="576"/>
      <c r="AG145" s="576"/>
      <c r="AH145" s="576"/>
      <c r="AI145" s="1651">
        <v>11</v>
      </c>
    </row>
    <row s="1651" customFormat="1" customHeight="1" ht="11.549999999999999">
      <c r="A146" s="997"/>
      <c r="B146" s="1646"/>
      <c r="C146" s="1646"/>
      <c r="D146" s="361"/>
      <c r="J146" s="1651"/>
      <c r="K146" s="1651"/>
      <c r="L146" s="1651"/>
      <c r="N146" s="1170"/>
      <c r="O146" s="1646"/>
      <c r="P146" s="1646"/>
      <c r="Q146" s="1170"/>
      <c r="R146" s="1170"/>
      <c r="S146" s="1170"/>
      <c r="T146" s="1170"/>
      <c r="U146" s="1646"/>
      <c r="V146" s="1170"/>
      <c r="W146" s="1170"/>
      <c r="X146" s="554"/>
      <c r="Y146" s="1170"/>
      <c r="Z146" s="1170"/>
      <c r="AA146" s="1170"/>
      <c r="AB146" s="1170"/>
      <c r="AC146" s="1170"/>
      <c r="AD146" s="1642"/>
      <c r="AE146" s="576"/>
      <c r="AF146" s="576"/>
      <c r="AG146" s="576"/>
      <c r="AH146" s="576"/>
      <c r="AI146" s="1651">
        <v>11</v>
      </c>
    </row>
    <row s="1651" customFormat="1" customHeight="1" ht="11.549999999999999">
      <c r="A147" s="997"/>
      <c r="B147" s="1646"/>
      <c r="C147" s="1646"/>
      <c r="D147" s="361"/>
      <c r="J147" s="1651"/>
      <c r="K147" s="1651"/>
      <c r="L147" s="1651"/>
      <c r="N147" s="1170"/>
      <c r="O147" s="1646"/>
      <c r="P147" s="1646"/>
      <c r="Q147" s="1170"/>
      <c r="R147" s="1170"/>
      <c r="S147" s="1170"/>
      <c r="T147" s="1170"/>
      <c r="U147" s="1646"/>
      <c r="V147" s="1170"/>
      <c r="W147" s="1170"/>
      <c r="X147" s="554"/>
      <c r="Y147" s="1170"/>
      <c r="Z147" s="1170"/>
      <c r="AA147" s="1170"/>
      <c r="AB147" s="1170"/>
      <c r="AC147" s="1170"/>
      <c r="AD147" s="1642"/>
      <c r="AE147" s="576"/>
      <c r="AF147" s="576"/>
      <c r="AG147" s="576"/>
      <c r="AH147" s="576"/>
      <c r="AI147" s="1651">
        <v>11</v>
      </c>
    </row>
    <row s="1651" customFormat="1" customHeight="1" ht="11.549999999999999">
      <c r="A148" s="997"/>
      <c r="B148" s="1646"/>
      <c r="C148" s="1646"/>
      <c r="D148" s="361"/>
      <c r="J148" s="1651"/>
      <c r="K148" s="1651"/>
      <c r="L148" s="1651"/>
      <c r="N148" s="1170"/>
      <c r="O148" s="1646"/>
      <c r="P148" s="1646"/>
      <c r="Q148" s="1170"/>
      <c r="R148" s="1170"/>
      <c r="S148" s="1170"/>
      <c r="T148" s="1170"/>
      <c r="U148" s="1646"/>
      <c r="V148" s="1170"/>
      <c r="W148" s="1170"/>
      <c r="X148" s="554"/>
      <c r="Y148" s="1170"/>
      <c r="Z148" s="1170"/>
      <c r="AA148" s="1170"/>
      <c r="AB148" s="1170"/>
      <c r="AC148" s="1170"/>
      <c r="AD148" s="1642"/>
      <c r="AE148" s="576"/>
      <c r="AF148" s="576"/>
      <c r="AG148" s="576"/>
      <c r="AH148" s="576"/>
      <c r="AI148" s="1651">
        <v>11</v>
      </c>
    </row>
    <row s="1651" customFormat="1" customHeight="1" ht="11.549999999999999">
      <c r="A149" s="997"/>
      <c r="B149" s="1646"/>
      <c r="C149" s="1646"/>
      <c r="D149" s="361"/>
      <c r="J149" s="1651"/>
      <c r="K149" s="1651"/>
      <c r="L149" s="1651"/>
      <c r="N149" s="1170"/>
      <c r="O149" s="1646"/>
      <c r="P149" s="1646"/>
      <c r="Q149" s="1170"/>
      <c r="R149" s="1170"/>
      <c r="S149" s="1170"/>
      <c r="T149" s="1170"/>
      <c r="U149" s="1646"/>
      <c r="V149" s="1170"/>
      <c r="W149" s="1170"/>
      <c r="X149" s="554"/>
      <c r="Y149" s="1170"/>
      <c r="Z149" s="1170"/>
      <c r="AA149" s="1170"/>
      <c r="AB149" s="1170"/>
      <c r="AC149" s="1170"/>
      <c r="AD149" s="1642"/>
      <c r="AE149" s="576"/>
      <c r="AF149" s="576"/>
      <c r="AG149" s="576"/>
      <c r="AH149" s="576"/>
      <c r="AI149" s="1651">
        <v>11</v>
      </c>
    </row>
    <row s="1651" customFormat="1" customHeight="1" ht="11.549999999999999">
      <c r="A150" s="997"/>
      <c r="B150" s="1646"/>
      <c r="C150" s="1646"/>
      <c r="D150" s="361"/>
      <c r="J150" s="1651"/>
      <c r="K150" s="1651"/>
      <c r="L150" s="1651"/>
      <c r="N150" s="1170"/>
      <c r="O150" s="1646"/>
      <c r="P150" s="1646"/>
      <c r="Q150" s="1170"/>
      <c r="R150" s="1170"/>
      <c r="S150" s="1170"/>
      <c r="T150" s="1170"/>
      <c r="U150" s="1646"/>
      <c r="V150" s="1170"/>
      <c r="W150" s="1170"/>
      <c r="X150" s="554"/>
      <c r="Y150" s="1170"/>
      <c r="Z150" s="1170"/>
      <c r="AA150" s="1170"/>
      <c r="AB150" s="1170"/>
      <c r="AC150" s="1170"/>
      <c r="AD150" s="1642"/>
      <c r="AE150" s="576"/>
      <c r="AF150" s="576"/>
      <c r="AG150" s="576"/>
      <c r="AH150" s="576"/>
      <c r="AI150" s="1651">
        <v>11</v>
      </c>
    </row>
    <row s="1651" customFormat="1" customHeight="1" ht="11.549999999999999">
      <c r="A151" s="997"/>
      <c r="B151" s="1646"/>
      <c r="C151" s="1646"/>
      <c r="D151" s="361"/>
      <c r="J151" s="1651"/>
      <c r="K151" s="1651"/>
      <c r="L151" s="1651"/>
      <c r="N151" s="1170"/>
      <c r="O151" s="1646"/>
      <c r="P151" s="1646"/>
      <c r="Q151" s="1170"/>
      <c r="R151" s="1170"/>
      <c r="S151" s="1170"/>
      <c r="T151" s="1170"/>
      <c r="U151" s="1646"/>
      <c r="V151" s="1170"/>
      <c r="W151" s="1170"/>
      <c r="X151" s="554"/>
      <c r="Y151" s="1170"/>
      <c r="Z151" s="1170"/>
      <c r="AA151" s="1170"/>
      <c r="AB151" s="1170"/>
      <c r="AC151" s="1170"/>
      <c r="AD151" s="1642"/>
      <c r="AE151" s="576"/>
      <c r="AF151" s="576"/>
      <c r="AG151" s="576"/>
      <c r="AH151" s="576"/>
      <c r="AI151" s="1651">
        <v>11</v>
      </c>
    </row>
    <row s="1651" customFormat="1" customHeight="1" ht="11.549999999999999">
      <c r="A152" s="997"/>
      <c r="B152" s="1646"/>
      <c r="C152" s="1646"/>
      <c r="D152" s="361"/>
      <c r="J152" s="1651"/>
      <c r="K152" s="1651"/>
      <c r="L152" s="1651"/>
      <c r="N152" s="1170"/>
      <c r="O152" s="1646"/>
      <c r="P152" s="1646"/>
      <c r="Q152" s="1170"/>
      <c r="R152" s="1170"/>
      <c r="S152" s="1170"/>
      <c r="T152" s="1170"/>
      <c r="U152" s="1646"/>
      <c r="V152" s="1170"/>
      <c r="W152" s="1170"/>
      <c r="X152" s="554"/>
      <c r="Y152" s="1170"/>
      <c r="Z152" s="1170"/>
      <c r="AA152" s="1170"/>
      <c r="AB152" s="1170"/>
      <c r="AC152" s="1170"/>
      <c r="AD152" s="1642"/>
      <c r="AE152" s="576"/>
      <c r="AF152" s="576"/>
      <c r="AG152" s="576"/>
      <c r="AH152" s="576"/>
      <c r="AI152" s="1651">
        <v>11</v>
      </c>
    </row>
    <row s="1651" customFormat="1" customHeight="1" ht="11.549999999999999">
      <c r="A153" s="997"/>
      <c r="B153" s="1646"/>
      <c r="C153" s="1646"/>
      <c r="D153" s="361"/>
      <c r="J153" s="1651"/>
      <c r="K153" s="1651"/>
      <c r="L153" s="1651"/>
      <c r="N153" s="1170"/>
      <c r="O153" s="1646"/>
      <c r="P153" s="1646"/>
      <c r="Q153" s="1170"/>
      <c r="R153" s="1170"/>
      <c r="S153" s="1170"/>
      <c r="T153" s="1170"/>
      <c r="U153" s="1646"/>
      <c r="V153" s="1170"/>
      <c r="W153" s="1170"/>
      <c r="X153" s="554"/>
      <c r="Y153" s="1170"/>
      <c r="Z153" s="1170"/>
      <c r="AA153" s="1170"/>
      <c r="AB153" s="1170"/>
      <c r="AC153" s="1170"/>
      <c r="AD153" s="1642"/>
      <c r="AE153" s="576"/>
      <c r="AF153" s="576"/>
      <c r="AG153" s="576"/>
      <c r="AH153" s="576"/>
      <c r="AI153" s="1651">
        <v>11</v>
      </c>
    </row>
    <row s="1651" customFormat="1" customHeight="1" ht="11.549999999999999">
      <c r="A154" s="997"/>
      <c r="B154" s="1646"/>
      <c r="C154" s="1646"/>
      <c r="D154" s="361"/>
      <c r="J154" s="1651"/>
      <c r="K154" s="1651"/>
      <c r="L154" s="1651"/>
      <c r="N154" s="1170"/>
      <c r="O154" s="1646"/>
      <c r="P154" s="1646"/>
      <c r="Q154" s="1170"/>
      <c r="R154" s="1170"/>
      <c r="S154" s="1170"/>
      <c r="T154" s="1170"/>
      <c r="U154" s="1646"/>
      <c r="V154" s="1170"/>
      <c r="W154" s="1170"/>
      <c r="X154" s="554"/>
      <c r="Y154" s="1170"/>
      <c r="Z154" s="1170"/>
      <c r="AA154" s="1170"/>
      <c r="AB154" s="1170"/>
      <c r="AC154" s="1170"/>
      <c r="AD154" s="1642"/>
      <c r="AE154" s="576"/>
      <c r="AF154" s="576"/>
      <c r="AG154" s="576"/>
      <c r="AH154" s="576"/>
      <c r="AI154" s="1651">
        <v>11</v>
      </c>
    </row>
    <row s="1651" customFormat="1" customHeight="1" ht="11.549999999999999">
      <c r="A155" s="997"/>
      <c r="B155" s="1646"/>
      <c r="C155" s="1646"/>
      <c r="D155" s="361"/>
      <c r="J155" s="1651"/>
      <c r="K155" s="1651"/>
      <c r="L155" s="1651"/>
      <c r="N155" s="1170"/>
      <c r="O155" s="1646"/>
      <c r="P155" s="1646"/>
      <c r="Q155" s="1170"/>
      <c r="R155" s="1170"/>
      <c r="S155" s="1170"/>
      <c r="T155" s="1170"/>
      <c r="U155" s="1646"/>
      <c r="V155" s="1170"/>
      <c r="W155" s="1170"/>
      <c r="X155" s="554"/>
      <c r="Y155" s="1170"/>
      <c r="Z155" s="1170"/>
      <c r="AA155" s="1170"/>
      <c r="AB155" s="1170"/>
      <c r="AC155" s="1170"/>
      <c r="AD155" s="1642"/>
      <c r="AE155" s="576"/>
      <c r="AF155" s="576"/>
      <c r="AG155" s="576"/>
      <c r="AH155" s="576"/>
      <c r="AI155" s="1651">
        <v>11</v>
      </c>
    </row>
    <row s="1651" customFormat="1" customHeight="1" ht="11.549999999999999">
      <c r="A156" s="997"/>
      <c r="B156" s="1646"/>
      <c r="C156" s="1646"/>
      <c r="D156" s="361"/>
      <c r="J156" s="1651"/>
      <c r="K156" s="1651"/>
      <c r="L156" s="1651"/>
      <c r="N156" s="1170"/>
      <c r="O156" s="1646"/>
      <c r="P156" s="1646"/>
      <c r="Q156" s="1170"/>
      <c r="R156" s="1170"/>
      <c r="S156" s="1170"/>
      <c r="T156" s="1170"/>
      <c r="U156" s="1646"/>
      <c r="V156" s="1170"/>
      <c r="W156" s="1170"/>
      <c r="X156" s="554"/>
      <c r="Y156" s="1170"/>
      <c r="Z156" s="1170"/>
      <c r="AA156" s="1170"/>
      <c r="AB156" s="1170"/>
      <c r="AC156" s="1170"/>
      <c r="AD156" s="1642"/>
      <c r="AE156" s="576"/>
      <c r="AF156" s="576"/>
      <c r="AG156" s="576"/>
      <c r="AH156" s="576"/>
      <c r="AI156" s="1651">
        <v>11</v>
      </c>
    </row>
    <row s="1651" customFormat="1" customHeight="1" ht="11.549999999999999">
      <c r="A157" s="997"/>
      <c r="B157" s="1646"/>
      <c r="C157" s="1646"/>
      <c r="D157" s="361"/>
      <c r="J157" s="1651"/>
      <c r="K157" s="1651"/>
      <c r="L157" s="1651"/>
      <c r="N157" s="1170"/>
      <c r="O157" s="1646"/>
      <c r="P157" s="1646"/>
      <c r="Q157" s="1170"/>
      <c r="R157" s="1170"/>
      <c r="S157" s="1170"/>
      <c r="T157" s="1170"/>
      <c r="U157" s="1646"/>
      <c r="V157" s="1170"/>
      <c r="W157" s="1170"/>
      <c r="X157" s="554"/>
      <c r="Y157" s="1170"/>
      <c r="Z157" s="1170"/>
      <c r="AA157" s="1170"/>
      <c r="AB157" s="1170"/>
      <c r="AC157" s="1170"/>
      <c r="AD157" s="1642"/>
      <c r="AE157" s="576"/>
      <c r="AF157" s="576"/>
      <c r="AG157" s="576"/>
      <c r="AH157" s="576"/>
      <c r="AI157" s="1651">
        <v>11</v>
      </c>
    </row>
    <row s="1651" customFormat="1" customHeight="1" ht="11.549999999999999">
      <c r="A158" s="997"/>
      <c r="B158" s="1646"/>
      <c r="C158" s="1646"/>
      <c r="D158" s="361"/>
      <c r="J158" s="1651"/>
      <c r="K158" s="1651"/>
      <c r="L158" s="1651"/>
      <c r="N158" s="1170"/>
      <c r="O158" s="1646"/>
      <c r="P158" s="1646"/>
      <c r="Q158" s="1170"/>
      <c r="R158" s="1170"/>
      <c r="S158" s="1170"/>
      <c r="T158" s="1170"/>
      <c r="U158" s="1646"/>
      <c r="V158" s="1170"/>
      <c r="W158" s="1170"/>
      <c r="X158" s="554"/>
      <c r="Y158" s="1170"/>
      <c r="Z158" s="1170"/>
      <c r="AA158" s="1170"/>
      <c r="AB158" s="1170"/>
      <c r="AC158" s="1170"/>
      <c r="AD158" s="1642"/>
      <c r="AE158" s="576"/>
      <c r="AF158" s="576"/>
      <c r="AG158" s="576"/>
      <c r="AH158" s="576"/>
      <c r="AI158" s="1651">
        <v>11</v>
      </c>
    </row>
    <row s="1651" customFormat="1" customHeight="1" ht="11.549999999999999">
      <c r="A159" s="997"/>
      <c r="B159" s="1646"/>
      <c r="C159" s="1646"/>
      <c r="D159" s="361"/>
      <c r="J159" s="1651"/>
      <c r="K159" s="1651"/>
      <c r="L159" s="1651"/>
      <c r="N159" s="1170"/>
      <c r="O159" s="1646"/>
      <c r="P159" s="1646"/>
      <c r="Q159" s="1170"/>
      <c r="R159" s="1170"/>
      <c r="S159" s="1170"/>
      <c r="T159" s="1170"/>
      <c r="U159" s="1646"/>
      <c r="V159" s="1170"/>
      <c r="W159" s="1170"/>
      <c r="X159" s="554"/>
      <c r="Y159" s="1170"/>
      <c r="Z159" s="1170"/>
      <c r="AA159" s="1170"/>
      <c r="AB159" s="1170"/>
      <c r="AC159" s="1170"/>
      <c r="AD159" s="1642"/>
      <c r="AE159" s="576"/>
      <c r="AF159" s="576"/>
      <c r="AG159" s="576"/>
      <c r="AH159" s="576"/>
      <c r="AI159" s="1651">
        <v>11</v>
      </c>
    </row>
    <row s="1651" customFormat="1" customHeight="1" ht="11.549999999999999">
      <c r="A160" s="997"/>
      <c r="B160" s="1646"/>
      <c r="C160" s="1646"/>
      <c r="D160" s="361"/>
      <c r="J160" s="1651"/>
      <c r="K160" s="1651"/>
      <c r="L160" s="1651"/>
      <c r="N160" s="1170"/>
      <c r="O160" s="1646"/>
      <c r="P160" s="1646"/>
      <c r="Q160" s="1170"/>
      <c r="R160" s="1170"/>
      <c r="S160" s="1170"/>
      <c r="T160" s="1170"/>
      <c r="U160" s="1646"/>
      <c r="V160" s="1170"/>
      <c r="W160" s="1170"/>
      <c r="X160" s="554"/>
      <c r="Y160" s="1170"/>
      <c r="Z160" s="1170"/>
      <c r="AA160" s="1170"/>
      <c r="AB160" s="1170"/>
      <c r="AC160" s="1170"/>
      <c r="AD160" s="1642"/>
      <c r="AE160" s="576"/>
      <c r="AF160" s="576"/>
      <c r="AG160" s="576"/>
      <c r="AH160" s="576"/>
      <c r="AI160" s="1651">
        <v>11</v>
      </c>
    </row>
    <row s="1651" customFormat="1" customHeight="1" ht="11.549999999999999">
      <c r="A161" s="997"/>
      <c r="B161" s="1646"/>
      <c r="C161" s="1646"/>
      <c r="D161" s="361"/>
      <c r="J161" s="1651"/>
      <c r="K161" s="1651"/>
      <c r="L161" s="1651"/>
      <c r="N161" s="1170"/>
      <c r="O161" s="1646"/>
      <c r="P161" s="1646"/>
      <c r="Q161" s="1170"/>
      <c r="R161" s="1170"/>
      <c r="S161" s="1170"/>
      <c r="T161" s="1170"/>
      <c r="U161" s="1646"/>
      <c r="V161" s="1170"/>
      <c r="W161" s="1170"/>
      <c r="X161" s="554"/>
      <c r="Y161" s="1170"/>
      <c r="Z161" s="1170"/>
      <c r="AA161" s="1170"/>
      <c r="AB161" s="1170"/>
      <c r="AC161" s="1170"/>
      <c r="AD161" s="1642"/>
      <c r="AE161" s="576"/>
      <c r="AF161" s="576"/>
      <c r="AG161" s="576"/>
      <c r="AH161" s="576"/>
      <c r="AI161" s="1651">
        <v>11</v>
      </c>
    </row>
    <row s="1651" customFormat="1" customHeight="1" ht="11.549999999999999">
      <c r="A162" s="997"/>
      <c r="B162" s="1646"/>
      <c r="C162" s="1646"/>
      <c r="D162" s="361"/>
      <c r="J162" s="1651"/>
      <c r="K162" s="1651"/>
      <c r="L162" s="1651"/>
      <c r="N162" s="1170"/>
      <c r="O162" s="1646"/>
      <c r="P162" s="1646"/>
      <c r="Q162" s="1170"/>
      <c r="R162" s="1170"/>
      <c r="S162" s="1170"/>
      <c r="T162" s="1170"/>
      <c r="U162" s="1646"/>
      <c r="V162" s="1170"/>
      <c r="W162" s="1170"/>
      <c r="X162" s="554"/>
      <c r="Y162" s="1170"/>
      <c r="Z162" s="1170"/>
      <c r="AA162" s="1170"/>
      <c r="AB162" s="1170"/>
      <c r="AC162" s="1170"/>
      <c r="AD162" s="1642"/>
      <c r="AE162" s="576"/>
      <c r="AF162" s="576"/>
      <c r="AG162" s="576"/>
      <c r="AH162" s="576"/>
      <c r="AI162" s="1651">
        <v>11</v>
      </c>
    </row>
    <row s="1651" customFormat="1" customHeight="1" ht="11.549999999999999">
      <c r="A163" s="997"/>
      <c r="B163" s="1646"/>
      <c r="C163" s="1646"/>
      <c r="D163" s="361"/>
      <c r="J163" s="1651"/>
      <c r="K163" s="1651"/>
      <c r="L163" s="1651"/>
      <c r="N163" s="1170"/>
      <c r="O163" s="1646"/>
      <c r="P163" s="1646"/>
      <c r="Q163" s="1170"/>
      <c r="R163" s="1170"/>
      <c r="S163" s="1170"/>
      <c r="T163" s="1170"/>
      <c r="U163" s="1646"/>
      <c r="V163" s="1170"/>
      <c r="W163" s="1170"/>
      <c r="X163" s="554"/>
      <c r="Y163" s="1170"/>
      <c r="Z163" s="1170"/>
      <c r="AA163" s="1170"/>
      <c r="AB163" s="1170"/>
      <c r="AC163" s="1170"/>
      <c r="AD163" s="1642"/>
      <c r="AE163" s="576"/>
      <c r="AF163" s="576"/>
      <c r="AG163" s="576"/>
      <c r="AH163" s="576"/>
      <c r="AI163" s="1651">
        <v>11</v>
      </c>
    </row>
    <row s="1651" customFormat="1" customHeight="1" ht="11.549999999999999">
      <c r="A164" s="997"/>
      <c r="B164" s="1646"/>
      <c r="C164" s="1646"/>
      <c r="D164" s="361"/>
      <c r="J164" s="1651"/>
      <c r="K164" s="1651"/>
      <c r="L164" s="1651"/>
      <c r="N164" s="1170"/>
      <c r="O164" s="1646"/>
      <c r="P164" s="1646"/>
      <c r="Q164" s="1170"/>
      <c r="R164" s="1170"/>
      <c r="S164" s="1170"/>
      <c r="T164" s="1170"/>
      <c r="U164" s="1646"/>
      <c r="V164" s="1170"/>
      <c r="W164" s="1170"/>
      <c r="X164" s="554"/>
      <c r="Y164" s="1170"/>
      <c r="Z164" s="1170"/>
      <c r="AA164" s="1170"/>
      <c r="AB164" s="1170"/>
      <c r="AC164" s="1170"/>
      <c r="AD164" s="1642"/>
      <c r="AE164" s="576"/>
      <c r="AF164" s="576"/>
      <c r="AG164" s="576"/>
      <c r="AH164" s="576"/>
      <c r="AI164" s="1651">
        <v>11</v>
      </c>
    </row>
    <row s="1651" customFormat="1" customHeight="1" ht="11.549999999999999">
      <c r="A165" s="997"/>
      <c r="B165" s="1646"/>
      <c r="C165" s="1646"/>
      <c r="D165" s="361"/>
      <c r="J165" s="1651"/>
      <c r="K165" s="1651"/>
      <c r="L165" s="1651"/>
      <c r="N165" s="1170"/>
      <c r="O165" s="1646"/>
      <c r="P165" s="1646"/>
      <c r="Q165" s="1170"/>
      <c r="R165" s="1170"/>
      <c r="S165" s="1170"/>
      <c r="T165" s="1170"/>
      <c r="U165" s="1646"/>
      <c r="V165" s="1170"/>
      <c r="W165" s="1170"/>
      <c r="X165" s="554"/>
      <c r="Y165" s="1170"/>
      <c r="Z165" s="1170"/>
      <c r="AA165" s="1170"/>
      <c r="AB165" s="1170"/>
      <c r="AC165" s="1170"/>
      <c r="AD165" s="1642"/>
      <c r="AE165" s="576"/>
      <c r="AF165" s="576"/>
      <c r="AG165" s="576"/>
      <c r="AH165" s="576"/>
      <c r="AI165" s="1651">
        <v>11</v>
      </c>
    </row>
    <row s="1651" customFormat="1" customHeight="1" ht="11.549999999999999">
      <c r="A166" s="997"/>
      <c r="B166" s="1646"/>
      <c r="C166" s="1646"/>
      <c r="D166" s="361"/>
      <c r="J166" s="1651"/>
      <c r="K166" s="1651"/>
      <c r="L166" s="1651"/>
      <c r="N166" s="1170"/>
      <c r="O166" s="1646"/>
      <c r="P166" s="1646"/>
      <c r="Q166" s="1170"/>
      <c r="R166" s="1170"/>
      <c r="S166" s="1170"/>
      <c r="T166" s="1170"/>
      <c r="U166" s="1646"/>
      <c r="V166" s="1170"/>
      <c r="W166" s="1170"/>
      <c r="X166" s="554"/>
      <c r="Y166" s="1170"/>
      <c r="Z166" s="1170"/>
      <c r="AA166" s="1170"/>
      <c r="AB166" s="1170"/>
      <c r="AC166" s="1170"/>
      <c r="AD166" s="1642"/>
      <c r="AE166" s="576"/>
      <c r="AF166" s="576"/>
      <c r="AG166" s="576"/>
      <c r="AH166" s="576"/>
      <c r="AI166" s="1651">
        <v>11</v>
      </c>
    </row>
    <row s="1651" customFormat="1" customHeight="1" ht="11.549999999999999">
      <c r="A167" s="997"/>
      <c r="B167" s="1646"/>
      <c r="C167" s="1646"/>
      <c r="D167" s="361"/>
      <c r="J167" s="1651"/>
      <c r="K167" s="1651"/>
      <c r="L167" s="1651"/>
      <c r="N167" s="1170"/>
      <c r="O167" s="1646"/>
      <c r="P167" s="1646"/>
      <c r="Q167" s="1170"/>
      <c r="R167" s="1170"/>
      <c r="S167" s="1170"/>
      <c r="T167" s="1170"/>
      <c r="U167" s="1646"/>
      <c r="V167" s="1170"/>
      <c r="W167" s="1170"/>
      <c r="X167" s="554"/>
      <c r="Y167" s="1170"/>
      <c r="Z167" s="1170"/>
      <c r="AA167" s="1170"/>
      <c r="AB167" s="1170"/>
      <c r="AC167" s="1170"/>
      <c r="AD167" s="1642"/>
      <c r="AE167" s="576"/>
      <c r="AF167" s="576"/>
      <c r="AG167" s="576"/>
      <c r="AH167" s="576"/>
      <c r="AI167" s="1651">
        <v>11</v>
      </c>
    </row>
    <row s="1651" customFormat="1" customHeight="1" ht="11.549999999999999">
      <c r="A168" s="997"/>
      <c r="B168" s="1646"/>
      <c r="C168" s="1646"/>
      <c r="D168" s="361"/>
      <c r="J168" s="1651"/>
      <c r="K168" s="1651"/>
      <c r="L168" s="1651"/>
      <c r="N168" s="1170"/>
      <c r="O168" s="1646"/>
      <c r="P168" s="1646"/>
      <c r="Q168" s="1170"/>
      <c r="R168" s="1170"/>
      <c r="S168" s="1170"/>
      <c r="T168" s="1170"/>
      <c r="U168" s="1646"/>
      <c r="V168" s="1170"/>
      <c r="W168" s="1170"/>
      <c r="X168" s="554"/>
      <c r="Y168" s="1170"/>
      <c r="Z168" s="1170"/>
      <c r="AA168" s="1170"/>
      <c r="AB168" s="1170"/>
      <c r="AC168" s="1170"/>
      <c r="AD168" s="1642"/>
      <c r="AE168" s="576"/>
      <c r="AF168" s="576"/>
      <c r="AG168" s="576"/>
      <c r="AH168" s="576"/>
      <c r="AI168" s="1651">
        <v>11</v>
      </c>
    </row>
    <row s="1651" customFormat="1" customHeight="1" ht="11.549999999999999">
      <c r="A169" s="997"/>
      <c r="B169" s="1646"/>
      <c r="C169" s="1646"/>
      <c r="D169" s="361"/>
      <c r="J169" s="1651"/>
      <c r="K169" s="1651"/>
      <c r="L169" s="1651"/>
      <c r="N169" s="1170"/>
      <c r="O169" s="1646"/>
      <c r="P169" s="1646"/>
      <c r="Q169" s="1170"/>
      <c r="R169" s="1170"/>
      <c r="S169" s="1170"/>
      <c r="T169" s="1170"/>
      <c r="U169" s="1646"/>
      <c r="V169" s="1170"/>
      <c r="W169" s="1170"/>
      <c r="X169" s="554"/>
      <c r="Y169" s="1170"/>
      <c r="Z169" s="1170"/>
      <c r="AA169" s="1170"/>
      <c r="AB169" s="1170"/>
      <c r="AC169" s="1170"/>
      <c r="AD169" s="1642"/>
      <c r="AE169" s="576"/>
      <c r="AF169" s="576"/>
      <c r="AG169" s="576"/>
      <c r="AH169" s="576"/>
      <c r="AI169" s="1651">
        <v>11</v>
      </c>
    </row>
    <row s="1651" customFormat="1" customHeight="1" ht="11.549999999999999">
      <c r="A170" s="997"/>
      <c r="B170" s="1646"/>
      <c r="C170" s="1646"/>
      <c r="D170" s="361"/>
      <c r="J170" s="1651"/>
      <c r="K170" s="1651"/>
      <c r="L170" s="1651"/>
      <c r="N170" s="1170"/>
      <c r="O170" s="1646"/>
      <c r="P170" s="1646"/>
      <c r="Q170" s="1170"/>
      <c r="R170" s="1170"/>
      <c r="S170" s="1170"/>
      <c r="T170" s="1170"/>
      <c r="U170" s="1646"/>
      <c r="V170" s="1170"/>
      <c r="W170" s="1170"/>
      <c r="X170" s="554"/>
      <c r="Y170" s="1170"/>
      <c r="Z170" s="1170"/>
      <c r="AA170" s="1170"/>
      <c r="AB170" s="1170"/>
      <c r="AC170" s="1170"/>
      <c r="AD170" s="1642"/>
      <c r="AE170" s="576"/>
      <c r="AF170" s="576"/>
      <c r="AG170" s="576"/>
      <c r="AH170" s="576"/>
      <c r="AI170" s="1651">
        <v>11</v>
      </c>
    </row>
    <row s="1651" customFormat="1" customHeight="1" ht="11.549999999999999">
      <c r="A171" s="997"/>
      <c r="B171" s="1646"/>
      <c r="C171" s="1646"/>
      <c r="D171" s="361"/>
      <c r="J171" s="1651"/>
      <c r="K171" s="1651"/>
      <c r="L171" s="1651"/>
      <c r="N171" s="1170"/>
      <c r="O171" s="1646"/>
      <c r="P171" s="1646"/>
      <c r="Q171" s="1170"/>
      <c r="R171" s="1170"/>
      <c r="S171" s="1170"/>
      <c r="T171" s="1170"/>
      <c r="U171" s="1646"/>
      <c r="V171" s="1170"/>
      <c r="W171" s="1170"/>
      <c r="X171" s="554"/>
      <c r="Y171" s="1170"/>
      <c r="Z171" s="1170"/>
      <c r="AA171" s="1170"/>
      <c r="AB171" s="1170"/>
      <c r="AC171" s="1170"/>
      <c r="AD171" s="1642"/>
      <c r="AE171" s="576"/>
      <c r="AF171" s="576"/>
      <c r="AG171" s="576"/>
      <c r="AH171" s="576"/>
      <c r="AI171" s="1651">
        <v>11</v>
      </c>
    </row>
    <row s="1651" customFormat="1" customHeight="1" ht="11.549999999999999">
      <c r="A172" s="997"/>
      <c r="B172" s="1646"/>
      <c r="C172" s="1646"/>
      <c r="D172" s="361"/>
      <c r="J172" s="1651"/>
      <c r="K172" s="1651"/>
      <c r="L172" s="1651"/>
      <c r="N172" s="1170"/>
      <c r="O172" s="1646"/>
      <c r="P172" s="1646"/>
      <c r="Q172" s="1170"/>
      <c r="R172" s="1170"/>
      <c r="S172" s="1170"/>
      <c r="T172" s="1170"/>
      <c r="U172" s="1646"/>
      <c r="V172" s="1170"/>
      <c r="W172" s="1170"/>
      <c r="X172" s="554"/>
      <c r="Y172" s="1170"/>
      <c r="Z172" s="1170"/>
      <c r="AA172" s="1170"/>
      <c r="AB172" s="1170"/>
      <c r="AC172" s="1170"/>
      <c r="AD172" s="1642"/>
      <c r="AE172" s="576"/>
      <c r="AF172" s="576"/>
      <c r="AG172" s="576"/>
      <c r="AH172" s="576"/>
      <c r="AI172" s="1651">
        <v>11</v>
      </c>
    </row>
    <row s="1651" customFormat="1" customHeight="1" ht="11.549999999999999">
      <c r="A173" s="997"/>
      <c r="B173" s="1646"/>
      <c r="C173" s="1646"/>
      <c r="D173" s="361"/>
      <c r="J173" s="1651"/>
      <c r="K173" s="1651"/>
      <c r="L173" s="1651"/>
      <c r="N173" s="1170"/>
      <c r="O173" s="1646"/>
      <c r="P173" s="1646"/>
      <c r="Q173" s="1170"/>
      <c r="R173" s="1170"/>
      <c r="S173" s="1170"/>
      <c r="T173" s="1170"/>
      <c r="U173" s="1646"/>
      <c r="V173" s="1170"/>
      <c r="W173" s="1170"/>
      <c r="X173" s="554"/>
      <c r="Y173" s="1170"/>
      <c r="Z173" s="1170"/>
      <c r="AA173" s="1170"/>
      <c r="AB173" s="1170"/>
      <c r="AC173" s="1170"/>
      <c r="AD173" s="1642"/>
      <c r="AE173" s="576"/>
      <c r="AF173" s="576"/>
      <c r="AG173" s="576"/>
      <c r="AH173" s="576"/>
      <c r="AI173" s="1651">
        <v>11</v>
      </c>
    </row>
    <row s="1651" customFormat="1" customHeight="1" ht="11.549999999999999">
      <c r="A174" s="997"/>
      <c r="B174" s="1646"/>
      <c r="C174" s="1646"/>
      <c r="D174" s="361"/>
      <c r="J174" s="1651"/>
      <c r="K174" s="1651"/>
      <c r="L174" s="1651"/>
      <c r="N174" s="1170"/>
      <c r="O174" s="1646"/>
      <c r="P174" s="1646"/>
      <c r="Q174" s="1170"/>
      <c r="R174" s="1170"/>
      <c r="S174" s="1170"/>
      <c r="T174" s="1170"/>
      <c r="U174" s="1646"/>
      <c r="V174" s="1170"/>
      <c r="W174" s="1170"/>
      <c r="X174" s="554"/>
      <c r="Y174" s="1170"/>
      <c r="Z174" s="1170"/>
      <c r="AA174" s="1170"/>
      <c r="AB174" s="1170"/>
      <c r="AC174" s="1170"/>
      <c r="AD174" s="1642"/>
      <c r="AE174" s="576"/>
      <c r="AF174" s="576"/>
      <c r="AG174" s="576"/>
      <c r="AH174" s="576"/>
      <c r="AI174" s="1651">
        <v>11</v>
      </c>
    </row>
    <row s="1651" customFormat="1" customHeight="1" ht="11.549999999999999">
      <c r="A175" s="997"/>
      <c r="B175" s="1646"/>
      <c r="C175" s="1646"/>
      <c r="D175" s="361"/>
      <c r="J175" s="1651"/>
      <c r="K175" s="1651"/>
      <c r="L175" s="1651"/>
      <c r="N175" s="1170"/>
      <c r="O175" s="1646"/>
      <c r="P175" s="1646"/>
      <c r="Q175" s="1170"/>
      <c r="R175" s="1170"/>
      <c r="S175" s="1170"/>
      <c r="T175" s="1170"/>
      <c r="U175" s="1646"/>
      <c r="V175" s="1170"/>
      <c r="W175" s="1170"/>
      <c r="X175" s="554"/>
      <c r="Y175" s="1170"/>
      <c r="Z175" s="1170"/>
      <c r="AA175" s="1170"/>
      <c r="AB175" s="1170"/>
      <c r="AC175" s="1170"/>
      <c r="AD175" s="1642"/>
      <c r="AE175" s="576"/>
      <c r="AF175" s="576"/>
      <c r="AG175" s="576"/>
      <c r="AH175" s="576"/>
      <c r="AI175" s="1651">
        <v>11</v>
      </c>
    </row>
    <row s="1651" customFormat="1" customHeight="1" ht="11.549999999999999">
      <c r="A176" s="997"/>
      <c r="B176" s="1646"/>
      <c r="C176" s="1646"/>
      <c r="D176" s="361"/>
      <c r="J176" s="1651"/>
      <c r="K176" s="1651"/>
      <c r="L176" s="1651"/>
      <c r="N176" s="1170"/>
      <c r="O176" s="1646"/>
      <c r="P176" s="1646"/>
      <c r="Q176" s="1170"/>
      <c r="R176" s="1170"/>
      <c r="S176" s="1170"/>
      <c r="T176" s="1170"/>
      <c r="U176" s="1646"/>
      <c r="V176" s="1170"/>
      <c r="W176" s="1170"/>
      <c r="X176" s="554"/>
      <c r="Y176" s="1170"/>
      <c r="Z176" s="1170"/>
      <c r="AA176" s="1170"/>
      <c r="AB176" s="1170"/>
      <c r="AC176" s="1170"/>
      <c r="AD176" s="1642"/>
      <c r="AE176" s="576"/>
      <c r="AF176" s="576"/>
      <c r="AG176" s="576"/>
      <c r="AH176" s="576"/>
      <c r="AI176" s="1651">
        <v>11</v>
      </c>
    </row>
    <row s="1651" customFormat="1" customHeight="1" ht="11.549999999999999">
      <c r="A177" s="997"/>
      <c r="B177" s="1646"/>
      <c r="C177" s="1646"/>
      <c r="D177" s="361"/>
      <c r="J177" s="1651"/>
      <c r="K177" s="1651"/>
      <c r="L177" s="1651"/>
      <c r="N177" s="1170"/>
      <c r="O177" s="1646"/>
      <c r="P177" s="1646"/>
      <c r="Q177" s="1170"/>
      <c r="R177" s="1170"/>
      <c r="S177" s="1170"/>
      <c r="T177" s="1170"/>
      <c r="U177" s="1646"/>
      <c r="V177" s="1170"/>
      <c r="W177" s="1170"/>
      <c r="X177" s="554"/>
      <c r="Y177" s="1170"/>
      <c r="Z177" s="1170"/>
      <c r="AA177" s="1170"/>
      <c r="AB177" s="1170"/>
      <c r="AC177" s="1170"/>
      <c r="AD177" s="1642"/>
      <c r="AE177" s="576"/>
      <c r="AF177" s="576"/>
      <c r="AG177" s="576"/>
      <c r="AH177" s="576"/>
      <c r="AI177" s="1651">
        <v>11</v>
      </c>
    </row>
    <row s="1651" customFormat="1" customHeight="1" ht="11.549999999999999">
      <c r="A178" s="997"/>
      <c r="B178" s="1646"/>
      <c r="C178" s="1646"/>
      <c r="D178" s="361"/>
      <c r="J178" s="1651"/>
      <c r="K178" s="1651"/>
      <c r="L178" s="1651"/>
      <c r="N178" s="1170"/>
      <c r="O178" s="1646"/>
      <c r="P178" s="1646"/>
      <c r="Q178" s="1170"/>
      <c r="R178" s="1170"/>
      <c r="S178" s="1170"/>
      <c r="T178" s="1170"/>
      <c r="U178" s="1646"/>
      <c r="V178" s="1170"/>
      <c r="W178" s="1170"/>
      <c r="X178" s="554"/>
      <c r="Y178" s="1170"/>
      <c r="Z178" s="1170"/>
      <c r="AA178" s="1170"/>
      <c r="AB178" s="1170"/>
      <c r="AC178" s="1170"/>
      <c r="AD178" s="1642"/>
      <c r="AE178" s="576"/>
      <c r="AF178" s="576"/>
      <c r="AG178" s="576"/>
      <c r="AH178" s="576"/>
      <c r="AI178" s="1651">
        <v>11</v>
      </c>
    </row>
    <row s="1651" customFormat="1" customHeight="1" ht="11.549999999999999">
      <c r="A179" s="997"/>
      <c r="B179" s="1646"/>
      <c r="C179" s="1646"/>
      <c r="D179" s="361"/>
      <c r="J179" s="1651"/>
      <c r="K179" s="1651"/>
      <c r="L179" s="1651"/>
      <c r="N179" s="1170"/>
      <c r="O179" s="1646"/>
      <c r="P179" s="1646"/>
      <c r="Q179" s="1170"/>
      <c r="R179" s="1170"/>
      <c r="S179" s="1170"/>
      <c r="T179" s="1170"/>
      <c r="U179" s="1646"/>
      <c r="V179" s="1170"/>
      <c r="W179" s="1170"/>
      <c r="X179" s="554"/>
      <c r="Y179" s="1170"/>
      <c r="Z179" s="1170"/>
      <c r="AA179" s="1170"/>
      <c r="AB179" s="1170"/>
      <c r="AC179" s="1170"/>
      <c r="AD179" s="1642"/>
      <c r="AE179" s="576"/>
      <c r="AF179" s="576"/>
      <c r="AG179" s="576"/>
      <c r="AH179" s="576"/>
      <c r="AI179" s="1651">
        <v>11</v>
      </c>
    </row>
    <row s="1651" customFormat="1" customHeight="1" ht="11.549999999999999">
      <c r="A180" s="997"/>
      <c r="B180" s="1646"/>
      <c r="C180" s="1646"/>
      <c r="D180" s="361"/>
      <c r="J180" s="1651"/>
      <c r="K180" s="1651"/>
      <c r="L180" s="1651"/>
      <c r="N180" s="1170"/>
      <c r="O180" s="1646"/>
      <c r="P180" s="1646"/>
      <c r="Q180" s="1170"/>
      <c r="R180" s="1170"/>
      <c r="S180" s="1170"/>
      <c r="T180" s="1170"/>
      <c r="U180" s="1646"/>
      <c r="V180" s="1170"/>
      <c r="W180" s="1170"/>
      <c r="X180" s="554"/>
      <c r="Y180" s="1170"/>
      <c r="Z180" s="1170"/>
      <c r="AA180" s="1170"/>
      <c r="AB180" s="1170"/>
      <c r="AC180" s="1170"/>
      <c r="AD180" s="1642"/>
      <c r="AE180" s="576"/>
      <c r="AF180" s="576"/>
      <c r="AG180" s="576"/>
      <c r="AH180" s="576"/>
      <c r="AI180" s="1651">
        <v>11</v>
      </c>
    </row>
    <row s="1651" customFormat="1" customHeight="1" ht="11.549999999999999">
      <c r="A181" s="997"/>
      <c r="B181" s="1646"/>
      <c r="C181" s="1646"/>
      <c r="D181" s="361"/>
      <c r="J181" s="1651"/>
      <c r="K181" s="1651"/>
      <c r="L181" s="1651"/>
      <c r="N181" s="1170"/>
      <c r="O181" s="1646"/>
      <c r="P181" s="1646"/>
      <c r="Q181" s="1170"/>
      <c r="R181" s="1170"/>
      <c r="S181" s="1170"/>
      <c r="T181" s="1170"/>
      <c r="U181" s="1646"/>
      <c r="V181" s="1170"/>
      <c r="W181" s="1170"/>
      <c r="X181" s="554"/>
      <c r="Y181" s="1170"/>
      <c r="Z181" s="1170"/>
      <c r="AA181" s="1170"/>
      <c r="AB181" s="1170"/>
      <c r="AC181" s="1170"/>
      <c r="AD181" s="1642"/>
      <c r="AE181" s="576"/>
      <c r="AF181" s="576"/>
      <c r="AG181" s="576"/>
      <c r="AH181" s="576"/>
      <c r="AI181" s="1651">
        <v>11</v>
      </c>
    </row>
    <row s="1651" customFormat="1" customHeight="1" ht="11.549999999999999">
      <c r="A182" s="997"/>
      <c r="B182" s="1646"/>
      <c r="C182" s="1646"/>
      <c r="D182" s="361"/>
      <c r="J182" s="1651"/>
      <c r="K182" s="1651"/>
      <c r="L182" s="1651"/>
      <c r="N182" s="1170"/>
      <c r="O182" s="1646"/>
      <c r="P182" s="1646"/>
      <c r="Q182" s="1170"/>
      <c r="R182" s="1170"/>
      <c r="S182" s="1170"/>
      <c r="T182" s="1170"/>
      <c r="U182" s="1646"/>
      <c r="V182" s="1170"/>
      <c r="W182" s="1170"/>
      <c r="X182" s="554"/>
      <c r="Y182" s="1170"/>
      <c r="Z182" s="1170"/>
      <c r="AA182" s="1170"/>
      <c r="AB182" s="1170"/>
      <c r="AC182" s="1170"/>
      <c r="AD182" s="1642"/>
      <c r="AE182" s="576"/>
      <c r="AF182" s="576"/>
      <c r="AG182" s="576"/>
      <c r="AH182" s="576"/>
      <c r="AI182" s="1651">
        <v>11</v>
      </c>
    </row>
    <row s="1651" customFormat="1" customHeight="1" ht="11.549999999999999">
      <c r="A183" s="997"/>
      <c r="B183" s="1646"/>
      <c r="C183" s="1646"/>
      <c r="D183" s="361"/>
      <c r="J183" s="1651"/>
      <c r="K183" s="1651"/>
      <c r="L183" s="1651"/>
      <c r="N183" s="1170"/>
      <c r="O183" s="1646"/>
      <c r="P183" s="1646"/>
      <c r="Q183" s="1170"/>
      <c r="R183" s="1170"/>
      <c r="S183" s="1170"/>
      <c r="T183" s="1170"/>
      <c r="U183" s="1646"/>
      <c r="V183" s="1170"/>
      <c r="W183" s="1170"/>
      <c r="X183" s="554"/>
      <c r="Y183" s="1170"/>
      <c r="Z183" s="1170"/>
      <c r="AA183" s="1170"/>
      <c r="AB183" s="1170"/>
      <c r="AC183" s="1170"/>
      <c r="AD183" s="1642"/>
      <c r="AE183" s="576"/>
      <c r="AF183" s="576"/>
      <c r="AG183" s="576"/>
      <c r="AH183" s="576"/>
      <c r="AI183" s="1651">
        <v>11</v>
      </c>
    </row>
    <row s="1651" customFormat="1" customHeight="1" ht="11.549999999999999">
      <c r="A184" s="997"/>
      <c r="B184" s="1646"/>
      <c r="C184" s="1646"/>
      <c r="D184" s="361"/>
      <c r="J184" s="1651"/>
      <c r="K184" s="1651"/>
      <c r="L184" s="1651"/>
      <c r="N184" s="1170"/>
      <c r="O184" s="1646"/>
      <c r="P184" s="1646"/>
      <c r="Q184" s="1170"/>
      <c r="R184" s="1170"/>
      <c r="S184" s="1170"/>
      <c r="T184" s="1170"/>
      <c r="U184" s="1646"/>
      <c r="V184" s="1170"/>
      <c r="W184" s="1170"/>
      <c r="X184" s="554"/>
      <c r="Y184" s="1170"/>
      <c r="Z184" s="1170"/>
      <c r="AA184" s="1170"/>
      <c r="AB184" s="1170"/>
      <c r="AC184" s="1170"/>
      <c r="AD184" s="1642"/>
      <c r="AE184" s="576"/>
      <c r="AF184" s="576"/>
      <c r="AG184" s="576"/>
      <c r="AH184" s="576"/>
      <c r="AI184" s="1651">
        <v>11</v>
      </c>
    </row>
    <row s="1651" customFormat="1" customHeight="1" ht="11.549999999999999">
      <c r="A185" s="997"/>
      <c r="B185" s="1646"/>
      <c r="C185" s="1646"/>
      <c r="D185" s="361"/>
      <c r="J185" s="1651"/>
      <c r="K185" s="1651"/>
      <c r="L185" s="1651"/>
      <c r="N185" s="1170"/>
      <c r="O185" s="1646"/>
      <c r="P185" s="1646"/>
      <c r="Q185" s="1170"/>
      <c r="R185" s="1170"/>
      <c r="S185" s="1170"/>
      <c r="T185" s="1170"/>
      <c r="U185" s="1646"/>
      <c r="V185" s="1170"/>
      <c r="W185" s="1170"/>
      <c r="X185" s="554"/>
      <c r="Y185" s="1170"/>
      <c r="Z185" s="1170"/>
      <c r="AA185" s="1170"/>
      <c r="AB185" s="1170"/>
      <c r="AC185" s="1170"/>
      <c r="AD185" s="1642"/>
      <c r="AE185" s="576"/>
      <c r="AF185" s="576"/>
      <c r="AG185" s="576"/>
      <c r="AH185" s="576"/>
      <c r="AI185" s="1651">
        <v>11</v>
      </c>
    </row>
    <row s="1651" customFormat="1" customHeight="1" ht="11.549999999999999">
      <c r="A186" s="997"/>
      <c r="B186" s="1646"/>
      <c r="C186" s="1646"/>
      <c r="D186" s="361"/>
      <c r="J186" s="1651"/>
      <c r="K186" s="1651"/>
      <c r="L186" s="1651"/>
      <c r="N186" s="1170"/>
      <c r="O186" s="1646"/>
      <c r="P186" s="1646"/>
      <c r="Q186" s="1170"/>
      <c r="R186" s="1170"/>
      <c r="S186" s="1170"/>
      <c r="T186" s="1170"/>
      <c r="U186" s="1646"/>
      <c r="V186" s="1170"/>
      <c r="W186" s="1170"/>
      <c r="X186" s="554"/>
      <c r="Y186" s="1170"/>
      <c r="Z186" s="1170"/>
      <c r="AA186" s="1170"/>
      <c r="AB186" s="1170"/>
      <c r="AC186" s="1170"/>
      <c r="AD186" s="1642"/>
      <c r="AE186" s="576"/>
      <c r="AF186" s="576"/>
      <c r="AG186" s="576"/>
      <c r="AH186" s="576"/>
      <c r="AI186" s="1651">
        <v>11</v>
      </c>
    </row>
    <row s="1651" customFormat="1" customHeight="1" ht="11.549999999999999">
      <c r="A187" s="997"/>
      <c r="B187" s="1646"/>
      <c r="C187" s="1646"/>
      <c r="D187" s="361"/>
      <c r="J187" s="1651"/>
      <c r="K187" s="1651"/>
      <c r="L187" s="1651"/>
      <c r="N187" s="1170"/>
      <c r="O187" s="1646"/>
      <c r="P187" s="1646"/>
      <c r="Q187" s="1170"/>
      <c r="R187" s="1170"/>
      <c r="S187" s="1170"/>
      <c r="T187" s="1170"/>
      <c r="U187" s="1646"/>
      <c r="V187" s="1170"/>
      <c r="W187" s="1170"/>
      <c r="X187" s="554"/>
      <c r="Y187" s="1170"/>
      <c r="Z187" s="1170"/>
      <c r="AA187" s="1170"/>
      <c r="AB187" s="1170"/>
      <c r="AC187" s="1170"/>
      <c r="AD187" s="1642"/>
      <c r="AE187" s="576"/>
      <c r="AF187" s="576"/>
      <c r="AG187" s="576"/>
      <c r="AH187" s="576"/>
      <c r="AI187" s="1651">
        <v>11</v>
      </c>
    </row>
    <row s="1651" customFormat="1" customHeight="1" ht="11.549999999999999">
      <c r="A188" s="997"/>
      <c r="B188" s="1646"/>
      <c r="C188" s="1646"/>
      <c r="D188" s="361"/>
      <c r="J188" s="1651"/>
      <c r="K188" s="1651"/>
      <c r="L188" s="1651"/>
      <c r="N188" s="1170"/>
      <c r="O188" s="1646"/>
      <c r="P188" s="1646"/>
      <c r="Q188" s="1170"/>
      <c r="R188" s="1170"/>
      <c r="S188" s="1170"/>
      <c r="T188" s="1170"/>
      <c r="U188" s="1646"/>
      <c r="V188" s="1170"/>
      <c r="W188" s="1170"/>
      <c r="X188" s="554"/>
      <c r="Y188" s="1170"/>
      <c r="Z188" s="1170"/>
      <c r="AA188" s="1170"/>
      <c r="AB188" s="1170"/>
      <c r="AC188" s="1170"/>
      <c r="AD188" s="1642"/>
      <c r="AE188" s="576"/>
      <c r="AF188" s="576"/>
      <c r="AG188" s="576"/>
      <c r="AH188" s="576"/>
      <c r="AI188" s="1651">
        <v>11</v>
      </c>
    </row>
    <row s="1651" customFormat="1" customHeight="1" ht="11.549999999999999">
      <c r="A189" s="997"/>
      <c r="B189" s="1646"/>
      <c r="C189" s="1646"/>
      <c r="D189" s="361"/>
      <c r="J189" s="1651"/>
      <c r="K189" s="1651"/>
      <c r="L189" s="1651"/>
      <c r="N189" s="1170"/>
      <c r="O189" s="1646"/>
      <c r="P189" s="1646"/>
      <c r="Q189" s="1170"/>
      <c r="R189" s="1170"/>
      <c r="S189" s="1170"/>
      <c r="T189" s="1170"/>
      <c r="U189" s="1646"/>
      <c r="V189" s="1170"/>
      <c r="W189" s="1170"/>
      <c r="X189" s="554"/>
      <c r="Y189" s="1170"/>
      <c r="Z189" s="1170"/>
      <c r="AA189" s="1170"/>
      <c r="AB189" s="1170"/>
      <c r="AC189" s="1170"/>
      <c r="AD189" s="1642"/>
      <c r="AE189" s="576"/>
      <c r="AF189" s="576"/>
      <c r="AG189" s="576"/>
      <c r="AH189" s="576"/>
      <c r="AI189" s="1651">
        <v>11</v>
      </c>
    </row>
    <row s="1651" customFormat="1" customHeight="1" ht="11.549999999999999">
      <c r="A190" s="997"/>
      <c r="B190" s="1646"/>
      <c r="C190" s="1646"/>
      <c r="D190" s="361"/>
      <c r="J190" s="1651"/>
      <c r="K190" s="1651"/>
      <c r="L190" s="1651"/>
      <c r="N190" s="1170"/>
      <c r="O190" s="1646"/>
      <c r="P190" s="1646"/>
      <c r="Q190" s="1170"/>
      <c r="R190" s="1170"/>
      <c r="S190" s="1170"/>
      <c r="T190" s="1170"/>
      <c r="U190" s="1646"/>
      <c r="V190" s="1170"/>
      <c r="W190" s="1170"/>
      <c r="X190" s="554"/>
      <c r="Y190" s="1170"/>
      <c r="Z190" s="1170"/>
      <c r="AA190" s="1170"/>
      <c r="AB190" s="1170"/>
      <c r="AC190" s="1170"/>
      <c r="AD190" s="1642"/>
      <c r="AE190" s="576"/>
      <c r="AF190" s="576"/>
      <c r="AG190" s="576"/>
      <c r="AH190" s="576"/>
      <c r="AI190" s="1651">
        <v>11</v>
      </c>
    </row>
    <row s="1651" customFormat="1" customHeight="1" ht="11.549999999999999">
      <c r="A191" s="997"/>
      <c r="B191" s="1646"/>
      <c r="C191" s="1646"/>
      <c r="D191" s="361"/>
      <c r="J191" s="1651"/>
      <c r="K191" s="1651"/>
      <c r="L191" s="1651"/>
      <c r="N191" s="1170"/>
      <c r="O191" s="1646"/>
      <c r="P191" s="1646"/>
      <c r="Q191" s="1170"/>
      <c r="R191" s="1170"/>
      <c r="S191" s="1170"/>
      <c r="T191" s="1170"/>
      <c r="U191" s="1646"/>
      <c r="V191" s="1170"/>
      <c r="W191" s="1170"/>
      <c r="X191" s="554"/>
      <c r="Y191" s="1170"/>
      <c r="Z191" s="1170"/>
      <c r="AA191" s="1170"/>
      <c r="AB191" s="1170"/>
      <c r="AC191" s="1170"/>
      <c r="AD191" s="1642"/>
      <c r="AE191" s="576"/>
      <c r="AF191" s="576"/>
      <c r="AG191" s="576"/>
      <c r="AH191" s="576"/>
      <c r="AI191" s="1651">
        <v>11</v>
      </c>
    </row>
    <row s="1651" customFormat="1" customHeight="1" ht="11.549999999999999">
      <c r="A192" s="997"/>
      <c r="B192" s="1646"/>
      <c r="C192" s="1646"/>
      <c r="D192" s="361"/>
      <c r="J192" s="1651"/>
      <c r="K192" s="1651"/>
      <c r="L192" s="1651"/>
      <c r="N192" s="1170"/>
      <c r="O192" s="1646"/>
      <c r="P192" s="1646"/>
      <c r="Q192" s="1170"/>
      <c r="R192" s="1170"/>
      <c r="S192" s="1170"/>
      <c r="T192" s="1170"/>
      <c r="U192" s="1646"/>
      <c r="V192" s="1170"/>
      <c r="W192" s="1170"/>
      <c r="X192" s="554"/>
      <c r="Y192" s="1170"/>
      <c r="Z192" s="1170"/>
      <c r="AA192" s="1170"/>
      <c r="AB192" s="1170"/>
      <c r="AC192" s="1170"/>
      <c r="AD192" s="1642"/>
      <c r="AE192" s="576"/>
      <c r="AF192" s="576"/>
      <c r="AG192" s="576"/>
      <c r="AH192" s="576"/>
      <c r="AI192" s="1651">
        <v>11</v>
      </c>
    </row>
    <row s="1651" customFormat="1" customHeight="1" ht="11.549999999999999">
      <c r="A193" s="997"/>
      <c r="B193" s="1646"/>
      <c r="C193" s="1646"/>
      <c r="D193" s="361"/>
      <c r="J193" s="1651"/>
      <c r="K193" s="1651"/>
      <c r="L193" s="1651"/>
      <c r="N193" s="1170"/>
      <c r="O193" s="1646"/>
      <c r="P193" s="1646"/>
      <c r="Q193" s="1170"/>
      <c r="R193" s="1170"/>
      <c r="S193" s="1170"/>
      <c r="T193" s="1170"/>
      <c r="U193" s="1646"/>
      <c r="V193" s="1170"/>
      <c r="W193" s="1170"/>
      <c r="X193" s="554"/>
      <c r="Y193" s="1170"/>
      <c r="Z193" s="1170"/>
      <c r="AA193" s="1170"/>
      <c r="AB193" s="1170"/>
      <c r="AC193" s="1170"/>
      <c r="AD193" s="1642"/>
      <c r="AE193" s="576"/>
      <c r="AF193" s="576"/>
      <c r="AG193" s="576"/>
      <c r="AH193" s="576"/>
      <c r="AI193" s="1651">
        <v>11</v>
      </c>
    </row>
    <row s="1651" customFormat="1" customHeight="1" ht="11.549999999999999">
      <c r="A194" s="997"/>
      <c r="B194" s="1646"/>
      <c r="C194" s="1646"/>
      <c r="D194" s="361"/>
      <c r="J194" s="1651"/>
      <c r="K194" s="1651"/>
      <c r="L194" s="1651"/>
      <c r="N194" s="1170"/>
      <c r="O194" s="1646"/>
      <c r="P194" s="1646"/>
      <c r="Q194" s="1170"/>
      <c r="R194" s="1170"/>
      <c r="S194" s="1170"/>
      <c r="T194" s="1170"/>
      <c r="U194" s="1646"/>
      <c r="V194" s="1170"/>
      <c r="W194" s="1170"/>
      <c r="X194" s="554"/>
      <c r="Y194" s="1170"/>
      <c r="Z194" s="1170"/>
      <c r="AA194" s="1170"/>
      <c r="AB194" s="1170"/>
      <c r="AC194" s="1170"/>
      <c r="AD194" s="1642"/>
      <c r="AE194" s="576"/>
      <c r="AF194" s="576"/>
      <c r="AG194" s="576"/>
      <c r="AH194" s="576"/>
      <c r="AI194" s="1651">
        <v>11</v>
      </c>
    </row>
    <row s="1651" customFormat="1" customHeight="1" ht="11.549999999999999">
      <c r="A195" s="997"/>
      <c r="B195" s="1646"/>
      <c r="C195" s="1646"/>
      <c r="D195" s="361"/>
      <c r="J195" s="1651"/>
      <c r="K195" s="1651"/>
      <c r="L195" s="1651"/>
      <c r="N195" s="1170"/>
      <c r="O195" s="1646"/>
      <c r="P195" s="1646"/>
      <c r="Q195" s="1170"/>
      <c r="R195" s="1170"/>
      <c r="S195" s="1170"/>
      <c r="T195" s="1170"/>
      <c r="U195" s="1646"/>
      <c r="V195" s="1170"/>
      <c r="W195" s="1170"/>
      <c r="X195" s="554"/>
      <c r="Y195" s="1170"/>
      <c r="Z195" s="1170"/>
      <c r="AA195" s="1170"/>
      <c r="AB195" s="1170"/>
      <c r="AC195" s="1170"/>
      <c r="AD195" s="1642"/>
      <c r="AE195" s="576"/>
      <c r="AF195" s="576"/>
      <c r="AG195" s="576"/>
      <c r="AH195" s="576"/>
      <c r="AI195" s="1651">
        <v>11</v>
      </c>
    </row>
    <row s="1651" customFormat="1" customHeight="1" ht="11.549999999999999">
      <c r="A196" s="997"/>
      <c r="B196" s="1646"/>
      <c r="C196" s="1646"/>
      <c r="D196" s="361"/>
      <c r="J196" s="1651"/>
      <c r="K196" s="1651"/>
      <c r="L196" s="1651"/>
      <c r="N196" s="1170"/>
      <c r="O196" s="1646"/>
      <c r="P196" s="1646"/>
      <c r="Q196" s="1170"/>
      <c r="R196" s="1170"/>
      <c r="S196" s="1170"/>
      <c r="T196" s="1170"/>
      <c r="U196" s="1646"/>
      <c r="V196" s="1170"/>
      <c r="W196" s="1170"/>
      <c r="X196" s="554"/>
      <c r="Y196" s="1170"/>
      <c r="Z196" s="1170"/>
      <c r="AA196" s="1170"/>
      <c r="AB196" s="1170"/>
      <c r="AC196" s="1170"/>
      <c r="AD196" s="1642"/>
      <c r="AE196" s="576"/>
      <c r="AF196" s="576"/>
      <c r="AG196" s="576"/>
      <c r="AH196" s="576"/>
      <c r="AI196" s="1651">
        <v>11</v>
      </c>
    </row>
    <row s="1651" customFormat="1" customHeight="1" ht="11.549999999999999">
      <c r="A197" s="997"/>
      <c r="B197" s="1646"/>
      <c r="C197" s="1646"/>
      <c r="D197" s="361"/>
      <c r="J197" s="1651"/>
      <c r="K197" s="1651"/>
      <c r="L197" s="1651"/>
      <c r="N197" s="1170"/>
      <c r="O197" s="1646"/>
      <c r="P197" s="1646"/>
      <c r="Q197" s="1170"/>
      <c r="R197" s="1170"/>
      <c r="S197" s="1170"/>
      <c r="T197" s="1170"/>
      <c r="U197" s="1646"/>
      <c r="V197" s="1170"/>
      <c r="W197" s="1170"/>
      <c r="X197" s="554"/>
      <c r="Y197" s="1170"/>
      <c r="Z197" s="1170"/>
      <c r="AA197" s="1170"/>
      <c r="AB197" s="1170"/>
      <c r="AC197" s="1170"/>
      <c r="AD197" s="1642"/>
      <c r="AE197" s="576"/>
      <c r="AF197" s="576"/>
      <c r="AG197" s="576"/>
      <c r="AH197" s="576"/>
      <c r="AI197" s="1651">
        <v>11</v>
      </c>
    </row>
    <row s="1651" customFormat="1" customHeight="1" ht="11.549999999999999">
      <c r="A198" s="997"/>
      <c r="B198" s="1646"/>
      <c r="C198" s="1646"/>
      <c r="D198" s="361"/>
      <c r="J198" s="1651"/>
      <c r="K198" s="1651"/>
      <c r="L198" s="1651"/>
      <c r="N198" s="1170"/>
      <c r="O198" s="1646"/>
      <c r="P198" s="1646"/>
      <c r="Q198" s="1170"/>
      <c r="R198" s="1170"/>
      <c r="S198" s="1170"/>
      <c r="T198" s="1170"/>
      <c r="U198" s="1646"/>
      <c r="V198" s="1170"/>
      <c r="W198" s="1170"/>
      <c r="X198" s="554"/>
      <c r="Y198" s="1170"/>
      <c r="Z198" s="1170"/>
      <c r="AA198" s="1170"/>
      <c r="AB198" s="1170"/>
      <c r="AC198" s="1170"/>
      <c r="AD198" s="1642"/>
      <c r="AE198" s="576"/>
      <c r="AF198" s="576"/>
      <c r="AG198" s="576"/>
      <c r="AH198" s="576"/>
      <c r="AI198" s="1651">
        <v>11</v>
      </c>
    </row>
    <row s="1651" customFormat="1" customHeight="1" ht="11.549999999999999">
      <c r="A199" s="997"/>
      <c r="B199" s="1646"/>
      <c r="C199" s="1646"/>
      <c r="D199" s="361"/>
      <c r="J199" s="1651"/>
      <c r="K199" s="1651"/>
      <c r="L199" s="1651"/>
      <c r="N199" s="1170"/>
      <c r="O199" s="1646"/>
      <c r="P199" s="1646"/>
      <c r="Q199" s="1170"/>
      <c r="R199" s="1170"/>
      <c r="S199" s="1170"/>
      <c r="T199" s="1170"/>
      <c r="U199" s="1646"/>
      <c r="V199" s="1170"/>
      <c r="W199" s="1170"/>
      <c r="X199" s="554"/>
      <c r="Y199" s="1170"/>
      <c r="Z199" s="1170"/>
      <c r="AA199" s="1170"/>
      <c r="AB199" s="1170"/>
      <c r="AC199" s="1170"/>
      <c r="AD199" s="1642"/>
      <c r="AE199" s="576"/>
      <c r="AF199" s="576"/>
      <c r="AG199" s="576"/>
      <c r="AH199" s="576"/>
      <c r="AI199" s="1651">
        <v>11</v>
      </c>
    </row>
    <row s="1651" customFormat="1" customHeight="1" ht="11.549999999999999">
      <c r="A200" s="997"/>
      <c r="B200" s="1646"/>
      <c r="C200" s="1646"/>
      <c r="D200" s="361"/>
      <c r="J200" s="1651"/>
      <c r="K200" s="1651"/>
      <c r="L200" s="1651"/>
      <c r="N200" s="1170"/>
      <c r="O200" s="1646"/>
      <c r="P200" s="1646"/>
      <c r="Q200" s="1170"/>
      <c r="R200" s="1170"/>
      <c r="S200" s="1170"/>
      <c r="T200" s="1170"/>
      <c r="U200" s="1646"/>
      <c r="V200" s="1170"/>
      <c r="W200" s="1170"/>
      <c r="X200" s="554"/>
      <c r="Y200" s="1170"/>
      <c r="Z200" s="1170"/>
      <c r="AA200" s="1170"/>
      <c r="AB200" s="1170"/>
      <c r="AC200" s="1170"/>
      <c r="AD200" s="1642"/>
      <c r="AE200" s="576"/>
      <c r="AF200" s="576"/>
      <c r="AG200" s="576"/>
      <c r="AH200" s="576"/>
      <c r="AI200" s="1651">
        <v>11</v>
      </c>
    </row>
    <row s="1651" customFormat="1" customHeight="1" ht="11.549999999999999">
      <c r="A201" s="997"/>
      <c r="B201" s="1646"/>
      <c r="C201" s="1646"/>
      <c r="D201" s="361"/>
      <c r="J201" s="1651"/>
      <c r="K201" s="1651"/>
      <c r="L201" s="1651"/>
      <c r="N201" s="1170"/>
      <c r="O201" s="1646"/>
      <c r="P201" s="1646"/>
      <c r="Q201" s="1170"/>
      <c r="R201" s="1170"/>
      <c r="S201" s="1170"/>
      <c r="T201" s="1170"/>
      <c r="U201" s="1646"/>
      <c r="V201" s="1170"/>
      <c r="W201" s="1170"/>
      <c r="X201" s="554"/>
      <c r="Y201" s="1170"/>
      <c r="Z201" s="1170"/>
      <c r="AA201" s="1170"/>
      <c r="AB201" s="1170"/>
      <c r="AC201" s="1170"/>
      <c r="AD201" s="1642"/>
      <c r="AE201" s="576"/>
      <c r="AF201" s="576"/>
      <c r="AG201" s="576"/>
      <c r="AH201" s="576"/>
      <c r="AI201" s="1651">
        <v>11</v>
      </c>
    </row>
    <row s="1651" customFormat="1" customHeight="1" ht="11.549999999999999">
      <c r="A202" s="997"/>
      <c r="B202" s="1646"/>
      <c r="C202" s="1646"/>
      <c r="D202" s="361"/>
      <c r="J202" s="1651"/>
      <c r="K202" s="1651"/>
      <c r="L202" s="1651"/>
      <c r="N202" s="1170"/>
      <c r="O202" s="1646"/>
      <c r="P202" s="1646"/>
      <c r="Q202" s="1170"/>
      <c r="R202" s="1170"/>
      <c r="S202" s="1170"/>
      <c r="T202" s="1170"/>
      <c r="U202" s="1646"/>
      <c r="V202" s="1170"/>
      <c r="W202" s="1170"/>
      <c r="X202" s="554"/>
      <c r="Y202" s="1170"/>
      <c r="Z202" s="1170"/>
      <c r="AA202" s="1170"/>
      <c r="AB202" s="1170"/>
      <c r="AC202" s="1170"/>
      <c r="AD202" s="1642"/>
      <c r="AE202" s="576"/>
      <c r="AF202" s="576"/>
      <c r="AG202" s="576"/>
      <c r="AH202" s="576"/>
      <c r="AI202" s="1651">
        <v>11</v>
      </c>
    </row>
    <row customHeight="1" ht="11.549999999999999">
      <c r="J203" s="1645"/>
      <c r="K203" s="1645"/>
      <c r="L203" s="1645"/>
      <c r="AI203" s="1641">
        <v>11</v>
      </c>
    </row>
    <row customHeight="1" ht="11.549999999999999">
      <c r="J204" s="1645"/>
      <c r="K204" s="1645"/>
      <c r="L204" s="1645"/>
      <c r="AI204" s="1641">
        <v>11</v>
      </c>
    </row>
    <row customHeight="1" ht="11.549999999999999">
      <c r="J205" s="1645"/>
      <c r="K205" s="1645"/>
      <c r="L205" s="1645"/>
      <c r="AI205" s="1641">
        <v>11</v>
      </c>
    </row>
    <row customHeight="1" ht="11.549999999999999">
      <c r="A206" s="1000"/>
      <c r="B206" s="1641"/>
      <c r="D206" s="1641"/>
      <c r="J206" s="1645"/>
      <c r="K206" s="1645"/>
      <c r="L206" s="1645"/>
      <c r="N206" s="1641"/>
      <c r="Q206" s="1641"/>
      <c r="R206" s="1641"/>
      <c r="S206" s="1641"/>
      <c r="T206" s="1641"/>
      <c r="V206" s="1641"/>
      <c r="W206" s="1641"/>
      <c r="X206" s="1641"/>
      <c r="Y206" s="1641"/>
      <c r="Z206" s="1641"/>
      <c r="AA206" s="1641"/>
      <c r="AB206" s="1641"/>
      <c r="AC206" s="1641"/>
      <c r="AD206" s="1641"/>
      <c r="AE206" s="1641"/>
      <c r="AF206" s="1641"/>
      <c r="AG206" s="1641"/>
      <c r="AH206" s="1641"/>
      <c r="AI206" s="1641">
        <v>11</v>
      </c>
    </row>
    <row customHeight="1" ht="11.549999999999999">
      <c r="A207" s="1000"/>
      <c r="B207" s="1641"/>
      <c r="D207" s="1641"/>
      <c r="J207" s="1645"/>
      <c r="K207" s="1645"/>
      <c r="L207" s="1645"/>
      <c r="N207" s="1641"/>
      <c r="Q207" s="1641"/>
      <c r="R207" s="1641"/>
      <c r="S207" s="1641"/>
      <c r="T207" s="1641"/>
      <c r="V207" s="1641"/>
      <c r="W207" s="1641"/>
      <c r="X207" s="1641"/>
      <c r="Y207" s="1641"/>
      <c r="Z207" s="1641"/>
      <c r="AA207" s="1641"/>
      <c r="AB207" s="1641"/>
      <c r="AC207" s="1641"/>
      <c r="AD207" s="1641"/>
      <c r="AE207" s="1641"/>
      <c r="AF207" s="1641"/>
      <c r="AG207" s="1641"/>
      <c r="AH207" s="1641"/>
      <c r="AI207" s="1641">
        <v>11</v>
      </c>
    </row>
    <row customHeight="1" ht="11.549999999999999">
      <c r="A208" s="1000"/>
      <c r="B208" s="1641"/>
      <c r="D208" s="1641"/>
      <c r="J208" s="1645"/>
      <c r="K208" s="1645"/>
      <c r="L208" s="1645"/>
      <c r="N208" s="1641"/>
      <c r="Q208" s="1641"/>
      <c r="R208" s="1641"/>
      <c r="S208" s="1641"/>
      <c r="T208" s="1641"/>
      <c r="V208" s="1641"/>
      <c r="W208" s="1641"/>
      <c r="X208" s="1641"/>
      <c r="Y208" s="1641"/>
      <c r="Z208" s="1641"/>
      <c r="AA208" s="1641"/>
      <c r="AB208" s="1641"/>
      <c r="AC208" s="1641"/>
      <c r="AD208" s="1641"/>
      <c r="AE208" s="1641"/>
      <c r="AF208" s="1641"/>
      <c r="AG208" s="1641"/>
      <c r="AH208" s="1641"/>
      <c r="AI208" s="1641">
        <v>11</v>
      </c>
    </row>
    <row customHeight="1" ht="11.549999999999999">
      <c r="A209" s="1000"/>
      <c r="B209" s="1641"/>
      <c r="D209" s="1641"/>
      <c r="J209" s="1645"/>
      <c r="K209" s="1645"/>
      <c r="L209" s="1645"/>
      <c r="N209" s="1641"/>
      <c r="Q209" s="1641"/>
      <c r="R209" s="1641"/>
      <c r="S209" s="1641"/>
      <c r="T209" s="1641"/>
      <c r="V209" s="1641"/>
      <c r="W209" s="1641"/>
      <c r="X209" s="1641"/>
      <c r="Y209" s="1641"/>
      <c r="Z209" s="1641"/>
      <c r="AA209" s="1641"/>
      <c r="AB209" s="1641"/>
      <c r="AC209" s="1641"/>
      <c r="AD209" s="1641"/>
      <c r="AE209" s="1641"/>
      <c r="AF209" s="1641"/>
      <c r="AG209" s="1641"/>
      <c r="AH209" s="1641"/>
      <c r="AI209" s="1641">
        <v>11</v>
      </c>
    </row>
    <row customHeight="1" ht="11.549999999999999">
      <c r="A210" s="1000"/>
      <c r="B210" s="1641"/>
      <c r="D210" s="1641"/>
      <c r="J210" s="1645"/>
      <c r="K210" s="1645"/>
      <c r="L210" s="1645"/>
      <c r="N210" s="1641"/>
      <c r="Q210" s="1641"/>
      <c r="R210" s="1641"/>
      <c r="S210" s="1641"/>
      <c r="T210" s="1641"/>
      <c r="V210" s="1641"/>
      <c r="W210" s="1641"/>
      <c r="X210" s="1641"/>
      <c r="Y210" s="1641"/>
      <c r="Z210" s="1641"/>
      <c r="AA210" s="1641"/>
      <c r="AB210" s="1641"/>
      <c r="AC210" s="1641"/>
      <c r="AD210" s="1641"/>
      <c r="AE210" s="1641"/>
      <c r="AF210" s="1641"/>
      <c r="AG210" s="1641"/>
      <c r="AH210" s="1641"/>
      <c r="AI210" s="1641">
        <v>11</v>
      </c>
    </row>
    <row customHeight="1" ht="11.549999999999999">
      <c r="A211" s="1000"/>
      <c r="B211" s="1641"/>
      <c r="D211" s="1641"/>
      <c r="J211" s="1645"/>
      <c r="K211" s="1645"/>
      <c r="L211" s="1645"/>
      <c r="N211" s="1641"/>
      <c r="Q211" s="1641"/>
      <c r="R211" s="1641"/>
      <c r="S211" s="1641"/>
      <c r="T211" s="1641"/>
      <c r="V211" s="1641"/>
      <c r="W211" s="1641"/>
      <c r="X211" s="1641"/>
      <c r="Y211" s="1641"/>
      <c r="Z211" s="1641"/>
      <c r="AA211" s="1641"/>
      <c r="AB211" s="1641"/>
      <c r="AC211" s="1641"/>
      <c r="AD211" s="1641"/>
      <c r="AE211" s="1641"/>
      <c r="AF211" s="1641"/>
      <c r="AG211" s="1641"/>
      <c r="AH211" s="1641"/>
      <c r="AI211" s="1641">
        <v>11</v>
      </c>
    </row>
    <row customHeight="1" ht="11.549999999999999">
      <c r="A212" s="1000"/>
      <c r="B212" s="1641"/>
      <c r="D212" s="1641"/>
      <c r="J212" s="1645"/>
      <c r="K212" s="1645"/>
      <c r="L212" s="1645"/>
      <c r="N212" s="1641"/>
      <c r="Q212" s="1641"/>
      <c r="R212" s="1641"/>
      <c r="S212" s="1641"/>
      <c r="T212" s="1641"/>
      <c r="V212" s="1641"/>
      <c r="W212" s="1641"/>
      <c r="X212" s="1641"/>
      <c r="Y212" s="1641"/>
      <c r="Z212" s="1641"/>
      <c r="AA212" s="1641"/>
      <c r="AB212" s="1641"/>
      <c r="AC212" s="1641"/>
      <c r="AD212" s="1641"/>
      <c r="AE212" s="1641"/>
      <c r="AF212" s="1641"/>
      <c r="AG212" s="1641"/>
      <c r="AH212" s="1641"/>
      <c r="AI212" s="1641">
        <v>11</v>
      </c>
    </row>
    <row customHeight="1" ht="11.549999999999999">
      <c r="A213" s="1000"/>
      <c r="B213" s="1641"/>
      <c r="D213" s="1641"/>
      <c r="J213" s="1645"/>
      <c r="K213" s="1645"/>
      <c r="L213" s="1645"/>
      <c r="N213" s="1641"/>
      <c r="Q213" s="1641"/>
      <c r="R213" s="1641"/>
      <c r="S213" s="1641"/>
      <c r="T213" s="1641"/>
      <c r="V213" s="1641"/>
      <c r="W213" s="1641"/>
      <c r="X213" s="1641"/>
      <c r="Y213" s="1641"/>
      <c r="Z213" s="1641"/>
      <c r="AA213" s="1641"/>
      <c r="AB213" s="1641"/>
      <c r="AC213" s="1641"/>
      <c r="AD213" s="1641"/>
      <c r="AE213" s="1641"/>
      <c r="AF213" s="1641"/>
      <c r="AG213" s="1641"/>
      <c r="AH213" s="1641"/>
      <c r="AI213" s="1641">
        <v>11</v>
      </c>
    </row>
    <row customHeight="1" ht="11.549999999999999">
      <c r="A214" s="1000"/>
      <c r="B214" s="1641"/>
      <c r="D214" s="1641"/>
      <c r="J214" s="1645"/>
      <c r="K214" s="1645"/>
      <c r="L214" s="1645"/>
      <c r="N214" s="1641"/>
      <c r="Q214" s="1641"/>
      <c r="R214" s="1641"/>
      <c r="S214" s="1641"/>
      <c r="T214" s="1641"/>
      <c r="V214" s="1641"/>
      <c r="W214" s="1641"/>
      <c r="X214" s="1641"/>
      <c r="Y214" s="1641"/>
      <c r="Z214" s="1641"/>
      <c r="AA214" s="1641"/>
      <c r="AB214" s="1641"/>
      <c r="AC214" s="1641"/>
      <c r="AD214" s="1641"/>
      <c r="AE214" s="1641"/>
      <c r="AF214" s="1641"/>
      <c r="AG214" s="1641"/>
      <c r="AH214" s="1641"/>
      <c r="AI214" s="1641">
        <v>11</v>
      </c>
    </row>
    <row customHeight="1" ht="11.549999999999999">
      <c r="A215" s="1000"/>
      <c r="B215" s="1641"/>
      <c r="D215" s="1641"/>
      <c r="J215" s="1645"/>
      <c r="K215" s="1645"/>
      <c r="L215" s="1645"/>
      <c r="N215" s="1641"/>
      <c r="Q215" s="1641"/>
      <c r="R215" s="1641"/>
      <c r="S215" s="1641"/>
      <c r="T215" s="1641"/>
      <c r="V215" s="1641"/>
      <c r="W215" s="1641"/>
      <c r="X215" s="1641"/>
      <c r="Y215" s="1641"/>
      <c r="Z215" s="1641"/>
      <c r="AA215" s="1641"/>
      <c r="AB215" s="1641"/>
      <c r="AC215" s="1641"/>
      <c r="AD215" s="1641"/>
      <c r="AE215" s="1641"/>
      <c r="AF215" s="1641"/>
      <c r="AG215" s="1641"/>
      <c r="AH215" s="1641"/>
      <c r="AI215" s="1641">
        <v>11</v>
      </c>
    </row>
    <row customHeight="1" ht="11.549999999999999">
      <c r="A216" s="1000"/>
      <c r="B216" s="1641"/>
      <c r="D216" s="1641"/>
      <c r="J216" s="1645"/>
      <c r="K216" s="1645"/>
      <c r="L216" s="1645"/>
      <c r="N216" s="1641"/>
      <c r="Q216" s="1641"/>
      <c r="R216" s="1641"/>
      <c r="S216" s="1641"/>
      <c r="T216" s="1641"/>
      <c r="V216" s="1641"/>
      <c r="W216" s="1641"/>
      <c r="X216" s="1641"/>
      <c r="Y216" s="1641"/>
      <c r="Z216" s="1641"/>
      <c r="AA216" s="1641"/>
      <c r="AB216" s="1641"/>
      <c r="AC216" s="1641"/>
      <c r="AD216" s="1641"/>
      <c r="AE216" s="1641"/>
      <c r="AF216" s="1641"/>
      <c r="AG216" s="1641"/>
      <c r="AH216" s="1641"/>
      <c r="AI216" s="1641">
        <v>11</v>
      </c>
    </row>
    <row customHeight="1" ht="11.25" hidden="1">
      <c r="A217" s="997" t="s">
        <v>82</v>
      </c>
      <c r="B217" s="1170">
        <v>0</v>
      </c>
      <c r="C217" s="1646">
        <v>0</v>
      </c>
      <c r="D217" s="1645">
        <v>3</v>
      </c>
      <c r="E217" s="1641">
        <v>7</v>
      </c>
      <c r="F217" s="1641">
        <v>56</v>
      </c>
      <c r="G217" s="1641">
        <v>10</v>
      </c>
      <c r="H217" s="1641">
        <v>0</v>
      </c>
      <c r="I217" s="1641">
        <v>40</v>
      </c>
      <c r="J217" s="1645">
        <v>0</v>
      </c>
      <c r="K217" s="1645">
        <v>0</v>
      </c>
      <c r="L217" s="1645">
        <v>0</v>
      </c>
      <c r="M217" s="1641">
        <v>102</v>
      </c>
      <c r="N217" s="1170">
        <v>9</v>
      </c>
      <c r="O217" s="1646">
        <v>5</v>
      </c>
      <c r="P217" s="1646">
        <v>3</v>
      </c>
      <c r="Q217" s="1170">
        <v>3</v>
      </c>
      <c r="R217" s="1170">
        <v>3</v>
      </c>
      <c r="S217" s="1170">
        <v>3</v>
      </c>
      <c r="T217" s="1170">
        <v>3</v>
      </c>
      <c r="U217" s="1646">
        <v>10</v>
      </c>
      <c r="V217" s="1170">
        <v>34</v>
      </c>
      <c r="W217" s="1170">
        <v>9</v>
      </c>
      <c r="X217" s="554">
        <v>8</v>
      </c>
      <c r="Y217" s="1170">
        <v>8</v>
      </c>
      <c r="Z217" s="1170">
        <v>8</v>
      </c>
      <c r="AA217" s="1170">
        <v>8</v>
      </c>
      <c r="AB217" s="1170">
        <v>8</v>
      </c>
      <c r="AC217" s="1170">
        <v>8</v>
      </c>
      <c r="AD217" s="1642">
        <v>8</v>
      </c>
      <c r="AE217" s="1642">
        <v>8</v>
      </c>
      <c r="AF217" s="1642">
        <v>8</v>
      </c>
      <c r="AG217" s="1642">
        <v>8</v>
      </c>
      <c r="AH217" s="1642">
        <v>8</v>
      </c>
      <c r="AI217" s="1641">
        <v>11</v>
      </c>
    </row>
  </sheetData>
  <sheetProtection sheet="1" formatColumns="0" formatRows="0" autoFilter="0" sort="1" insertRows="1" insertColumns="1" deleteRows="1" deleteColumns="1"/>
  <mergeCells count="7">
    <mergeCell ref="E6:I6"/>
    <mergeCell ref="E7:I7"/>
    <mergeCell ref="F10:G10"/>
    <mergeCell ref="M10:M14"/>
    <mergeCell ref="F11:G11"/>
    <mergeCell ref="F12:G12"/>
    <mergeCell ref="E13:G13"/>
  </mergeCells>
  <dataValidations count="5">
    <dataValidation type="decimal" allowBlank="1" showErrorMessage="1" errorTitle="Ошибка" error="Допускается ввод только действительных чисел!" sqref="H40:L42">
      <formula1>-9.99999999999999E+37</formula1>
      <formula2>9.99999999999999E+37</formula2>
    </dataValidation>
    <dataValidation type="decimal" allowBlank="1" showErrorMessage="1" errorTitle="Ошибка" error="Допускается ввод только действительных чисел!" sqref="H36:L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L43">
      <formula1>900</formula1>
    </dataValidation>
    <dataValidation type="decimal" allowBlank="1" showErrorMessage="1" errorTitle="Ошибка" error="Допускается ввод только неотрицательных чисел!" sqref="H38:L39 H2:L2 H15:L15 H17:L32 H35:L35 H44:L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L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E42AFA-47A2-E8F4-C772-0.FA450EAD}" mc:Ignorable="x14ac xr xr2 xr3">
  <sheetPr>
    <tabColor theme="9" tint="-0.25"/>
  </sheetPr>
  <dimension ref="A1:AI210"/>
  <sheetViews>
    <sheetView showGridLines="0" zoomScale="90" workbookViewId="0">
      <pane xSplit="8" ySplit="14" topLeftCell="I15" activePane="bottomRight" state="frozen"/>
      <selection pane="bottomLeft" activeCell="A15" sqref="A15"/>
      <selection pane="topRight" activeCell="I1" sqref="I1"/>
      <selection pane="bottomRight" activeCell="L9" sqref="L9"/>
    </sheetView>
  </sheetViews>
  <sheetFormatPr defaultColWidth="9.140625" customHeight="1" defaultRowHeight="11.25"/>
  <cols>
    <col min="1" max="1" style="997" width="10.7109375" hidden="1" customWidth="1"/>
    <col min="2" max="2" style="1376" width="16.8515625" hidden="1" customWidth="1"/>
    <col min="3" max="3" style="1652" width="5.57421875" hidden="1" customWidth="1"/>
    <col min="4" max="4" style="1645" width="3.00390625" customWidth="1"/>
    <col min="5" max="5" style="1645" width="7.00390625" customWidth="1"/>
    <col min="6" max="6" style="1645" width="54.00390625" customWidth="1"/>
    <col min="7" max="7" style="1645" width="10.00390625" customWidth="1"/>
    <col min="8" max="8" style="1645" width="40.7109375" hidden="1" customWidth="1"/>
    <col min="9" max="9" style="1645" width="40.00390625" customWidth="1"/>
    <col min="10" max="12" style="1645" width="40.7109375" customWidth="1"/>
    <col min="13" max="13" style="1645" width="102.00390625" customWidth="1"/>
    <col min="14" max="14" style="1376" width="9.00390625" customWidth="1"/>
    <col min="15" max="15" style="1652" width="5.00390625" customWidth="1"/>
    <col min="16" max="16" style="1652" width="3.00390625" customWidth="1"/>
    <col min="17" max="20" style="1376" width="3.00390625" customWidth="1"/>
    <col min="21" max="21" style="1652" width="10.00390625" customWidth="1"/>
    <col min="22" max="22" style="1376" width="34.00390625" customWidth="1"/>
    <col min="23" max="23" style="1376" width="9.00390625" customWidth="1"/>
    <col min="24" max="24" style="746" width="8.00390625" customWidth="1"/>
    <col min="25" max="29" style="1376" width="8.00390625" customWidth="1"/>
    <col min="30" max="34" style="1642" width="8.00390625" customWidth="1"/>
    <col min="35" max="35" style="1645" width="9.140625" hidden="1"/>
  </cols>
  <sheetData>
    <row s="1376" customFormat="1" customHeight="1" ht="22.5" hidden="1">
      <c r="A1" s="997"/>
      <c r="C1" s="1646"/>
      <c r="D1" s="547"/>
      <c r="H1" s="1170">
        <v>4</v>
      </c>
      <c r="I1" s="1170">
        <v>4</v>
      </c>
      <c r="J1" s="1376">
        <v>4</v>
      </c>
      <c r="K1" s="1376">
        <v>4</v>
      </c>
      <c r="L1" s="1376">
        <v>4</v>
      </c>
      <c r="O1" s="1646"/>
      <c r="P1" s="1646"/>
      <c r="U1" s="1646"/>
      <c r="AI1" s="1170" t="s">
        <v>14</v>
      </c>
    </row>
    <row s="1376" customFormat="1" customHeight="1" ht="22.5" hidden="1">
      <c r="A2" s="997"/>
      <c r="C2" s="1646"/>
      <c r="D2" s="548"/>
      <c r="E2" s="1668"/>
      <c r="F2" s="550"/>
      <c r="G2" s="1667" t="s">
        <v>574</v>
      </c>
      <c r="H2" s="551"/>
      <c r="I2" s="551"/>
      <c r="J2" s="761"/>
      <c r="K2" s="761"/>
      <c r="L2" s="761"/>
      <c r="M2" s="552" t="s">
        <v>577</v>
      </c>
      <c r="N2" s="553"/>
      <c r="O2" s="1646"/>
      <c r="P2" s="1646"/>
      <c r="U2" s="1646"/>
      <c r="X2" s="554"/>
      <c r="AD2" s="1642"/>
      <c r="AE2" s="1642"/>
      <c r="AF2" s="1642"/>
      <c r="AG2" s="1642"/>
      <c r="AH2" s="1642"/>
      <c r="AI2" s="1170">
        <v>0</v>
      </c>
    </row>
    <row customHeight="1" ht="11.25" hidden="1">
      <c r="J3" s="1645"/>
      <c r="K3" s="1645"/>
      <c r="L3" s="1645"/>
      <c r="AI3" s="1641">
        <v>0</v>
      </c>
    </row>
    <row s="1642" customFormat="1" customHeight="1" ht="11.25" hidden="1">
      <c r="A4" s="997"/>
      <c r="B4" s="1170"/>
      <c r="C4" s="1646"/>
      <c r="D4" s="372"/>
      <c r="J4" s="1642"/>
      <c r="K4" s="1642"/>
      <c r="L4" s="1642"/>
      <c r="M4" s="1642">
        <v>4</v>
      </c>
      <c r="N4" s="1170"/>
      <c r="O4" s="1646"/>
      <c r="P4" s="1646"/>
      <c r="Q4" s="1170"/>
      <c r="R4" s="1170"/>
      <c r="S4" s="1170"/>
      <c r="T4" s="1170"/>
      <c r="U4" s="1646"/>
      <c r="V4" s="1170"/>
      <c r="W4" s="1170"/>
      <c r="X4" s="554"/>
      <c r="Y4" s="1170"/>
      <c r="Z4" s="1170"/>
      <c r="AA4" s="1170"/>
      <c r="AB4" s="1170"/>
      <c r="AC4" s="1170"/>
      <c r="AI4" s="1642">
        <v>0</v>
      </c>
    </row>
    <row customHeight="1" ht="11.549999999999999">
      <c r="J5" s="1645"/>
      <c r="K5" s="1645"/>
      <c r="L5" s="1645"/>
      <c r="AI5" s="1641">
        <v>11</v>
      </c>
    </row>
    <row customHeight="1" ht="33.75">
      <c r="E6" s="2258" t="s">
        <v>799</v>
      </c>
      <c r="F6" s="2258"/>
      <c r="G6" s="2258"/>
      <c r="H6" s="2258"/>
      <c r="I6" s="2258"/>
      <c r="J6" s="2258"/>
      <c r="K6" s="2258"/>
      <c r="L6" s="2258"/>
      <c r="M6" s="566"/>
      <c r="AI6" s="1641">
        <v>32</v>
      </c>
    </row>
    <row customHeight="1" ht="25.2">
      <c r="E7" s="2259" t="str">
        <f>IF(org=0,"Не определено",org)</f>
        <v>АО «ДГК» СП «Нерюнгринская ГРЭС»</v>
      </c>
      <c r="F7" s="2259"/>
      <c r="G7" s="2259"/>
      <c r="H7" s="2259"/>
      <c r="I7" s="2259"/>
      <c r="J7" s="2259"/>
      <c r="K7" s="2259"/>
      <c r="L7" s="2259"/>
      <c r="AI7" s="1641">
        <v>24</v>
      </c>
    </row>
    <row customHeight="1" ht="11.549999999999999">
      <c r="E8" s="1145"/>
      <c r="F8" s="1145"/>
      <c r="G8" s="1145"/>
      <c r="H8" s="1145"/>
      <c r="I8" s="1145"/>
      <c r="J8" s="1146" t="s">
        <v>22</v>
      </c>
      <c r="K8" s="1146" t="s">
        <v>22</v>
      </c>
      <c r="L8" s="1146" t="s">
        <v>22</v>
      </c>
      <c r="AI8" s="1641">
        <v>11</v>
      </c>
    </row>
    <row s="1652" customFormat="1" customHeight="1" ht="1.05">
      <c r="A9" s="1177"/>
      <c r="D9" s="1652"/>
      <c r="H9" s="899"/>
      <c r="I9" s="899" t="s">
        <v>132</v>
      </c>
      <c r="J9" s="899" t="s">
        <v>138</v>
      </c>
      <c r="K9" s="899" t="s">
        <v>141</v>
      </c>
      <c r="L9" s="899" t="s">
        <v>143</v>
      </c>
      <c r="AI9" s="1646">
        <v>1</v>
      </c>
    </row>
    <row customHeight="1" ht="11.549999999999999">
      <c r="E10" s="721"/>
      <c r="F10" s="2377" t="s">
        <v>120</v>
      </c>
      <c r="G10" s="2378"/>
      <c r="H10" s="1669" t="str">
        <f>IF(H9="","",INDEX(DIFFERENTIATION_UNMERGE_VD,MATCH(H9,DIFFERENTIATION_ID_DIFF,0)))</f>
        <v/>
      </c>
      <c r="I10" s="1669" t="str">
        <f>IF(I9="","",INDEX(DIFFERENTIATION_UNMERGE_VD,MATCH(I9,DIFFERENTIATION_ID_DIFF,0)))</f>
        <v>Производство тепловой энергии. Некомбинированная выработка</v>
      </c>
      <c r="J10" s="2403" t="str">
        <f>IF(J9="","",INDEX(DIFFERENTIATION_UNMERGE_VD,MATCH(J9,DIFFERENTIATION_ID_DIFF,0)))</f>
        <v>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K10" s="2403" t="str">
        <f>IF(K9="","",INDEX(DIFFERENTIATION_UNMERGE_VD,MATCH(K9,DIFFERENTIATION_ID_DIFF,0)))</f>
        <v>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L10" s="2403" t="str">
        <f>IF(L9="","",INDEX(DIFFERENTIATION_UNMERGE_VD,MATCH(L9,DIFFERENTIATION_ID_DIFF,0)))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 Передача. Тепловая энергия; Передача. Теплоноситель; Сбыт. Тепловая энергия; Сбыт. Теплоноситель</v>
      </c>
      <c r="M10" s="2137"/>
      <c r="AI10" s="1641">
        <v>11</v>
      </c>
    </row>
    <row customHeight="1" ht="11.549999999999999">
      <c r="E11" s="721"/>
      <c r="F11" s="2377" t="s">
        <v>586</v>
      </c>
      <c r="G11" s="2378"/>
      <c r="H11" s="1669" t="str">
        <f>IF(H9="","",INDEX(DIFFERENTIATION_UNMERGE_AREA,MATCH(H9,DIFFERENTIATION_ID_DIFF,0)))</f>
        <v/>
      </c>
      <c r="I11" s="1669" t="str">
        <f>IF(I9="","",INDEX(DIFFERENTIATION_UNMERGE_AREA,MATCH(I9,DIFFERENTIATION_ID_DIFF,0)))</f>
        <v>Территория 1</v>
      </c>
      <c r="J11" s="2403" t="str">
        <f>IF(J9="","",INDEX(DIFFERENTIATION_UNMERGE_AREA,MATCH(J9,DIFFERENTIATION_ID_DIFF,0)))</f>
        <v>Территория 2</v>
      </c>
      <c r="K11" s="2403" t="str">
        <f>IF(K9="","",INDEX(DIFFERENTIATION_UNMERGE_AREA,MATCH(K9,DIFFERENTIATION_ID_DIFF,0)))</f>
        <v>Территория 3</v>
      </c>
      <c r="L11" s="2403" t="str">
        <f>IF(L9="","",INDEX(DIFFERENTIATION_UNMERGE_AREA,MATCH(L9,DIFFERENTIATION_ID_DIFF,0)))</f>
        <v>Территория 4</v>
      </c>
      <c r="M11" s="2137"/>
      <c r="AI11" s="1641">
        <v>11</v>
      </c>
    </row>
    <row customHeight="1" ht="11.25" hidden="1">
      <c r="E12" s="1672"/>
      <c r="F12" s="2400" t="s">
        <v>587</v>
      </c>
      <c r="G12" s="2401"/>
      <c r="H12" s="1673" t="str">
        <f>IF(H9="","",INDEX(DIFFERENTIATION_UNMERGE_SYSTEM,MATCH(H9,DIFFERENTIATION_ID_DIFF,0)))</f>
        <v/>
      </c>
      <c r="I12" s="1673" t="str">
        <f>IF(I9="","",INDEX(DIFFERENTIATION_UNMERGE_SYSTEM,MATCH(I9,DIFFERENTIATION_ID_DIFF,0)))</f>
        <v>Нерюнгринская ГРЭС (г. Нерюнгри)</v>
      </c>
      <c r="J12" s="1673" t="str">
        <f>IF(J9="","",INDEX(DIFFERENTIATION_UNMERGE_SYSTEM,MATCH(J9,DIFFERENTIATION_ID_DIFF,0)))</f>
        <v>Нерюнгринская ГРЭС (п. Серебряный Бор)</v>
      </c>
      <c r="K12" s="1673" t="str">
        <f>IF(K9="","",INDEX(DIFFERENTIATION_UNMERGE_SYSTEM,MATCH(K9,DIFFERENTIATION_ID_DIFF,0)))</f>
        <v>Нерюнгринская ГРЭС (п. Беркакит)</v>
      </c>
      <c r="L12" s="1673" t="str">
        <f>IF(L9="","",INDEX(DIFFERENTIATION_UNMERGE_SYSTEM,MATCH(L9,DIFFERENTIATION_ID_DIFF,0)))</f>
        <v>Чульманская ТЭЦ (п. Чульман)</v>
      </c>
      <c r="M12" s="2137"/>
      <c r="AI12" s="1641">
        <v>0</v>
      </c>
    </row>
    <row customHeight="1" ht="11.549999999999999">
      <c r="E13" s="2379" t="s">
        <v>322</v>
      </c>
      <c r="F13" s="2380"/>
      <c r="G13" s="2380"/>
      <c r="H13" s="1666"/>
      <c r="I13" s="1666"/>
      <c r="J13" s="2377"/>
      <c r="K13" s="2377"/>
      <c r="L13" s="2377"/>
      <c r="M13" s="2137"/>
      <c r="AI13" s="1641">
        <v>11</v>
      </c>
    </row>
    <row customHeight="1" ht="24">
      <c r="E14" s="1667" t="s">
        <v>88</v>
      </c>
      <c r="F14" s="1670" t="s">
        <v>324</v>
      </c>
      <c r="G14" s="1670" t="s">
        <v>588</v>
      </c>
      <c r="H14" s="1670" t="s">
        <v>325</v>
      </c>
      <c r="I14" s="1670" t="s">
        <v>325</v>
      </c>
      <c r="J14" s="2322" t="s">
        <v>325</v>
      </c>
      <c r="K14" s="2322" t="s">
        <v>325</v>
      </c>
      <c r="L14" s="2322" t="s">
        <v>325</v>
      </c>
      <c r="M14" s="2137"/>
      <c r="AI14" s="1641">
        <v>23</v>
      </c>
    </row>
    <row customHeight="1" ht="19.95">
      <c r="D15" s="1648"/>
      <c r="E15" s="1640" t="s">
        <v>124</v>
      </c>
      <c r="F15" s="717" t="s">
        <v>800</v>
      </c>
      <c r="G15" s="1667" t="s">
        <v>574</v>
      </c>
      <c r="H15" s="567"/>
      <c r="I15" s="567"/>
      <c r="J15" s="567"/>
      <c r="K15" s="567"/>
      <c r="L15" s="567"/>
      <c r="M15" s="299" t="s">
        <v>801</v>
      </c>
      <c r="N15" s="553" t="s">
        <v>655</v>
      </c>
      <c r="AI15" s="1641">
        <v>19</v>
      </c>
    </row>
    <row customHeight="1" ht="24">
      <c r="D16" s="1648"/>
      <c r="E16" s="1640" t="s">
        <v>104</v>
      </c>
      <c r="F16" s="1675" t="s">
        <v>802</v>
      </c>
      <c r="G16" s="1667" t="s">
        <v>574</v>
      </c>
      <c r="H16" s="568">
        <f>SUM(H17,H20:H27)</f>
        <v>0</v>
      </c>
      <c r="I16" s="568">
        <f>SUM(I17,I20:I27)</f>
        <v>0</v>
      </c>
      <c r="J16" s="568">
        <f>SUM(J17,J20:J27)</f>
        <v>0</v>
      </c>
      <c r="K16" s="568">
        <f>SUM(K17,K20:K27)</f>
        <v>0</v>
      </c>
      <c r="L16" s="568">
        <f>SUM(L17,L20:L27)</f>
        <v>0</v>
      </c>
      <c r="M16" s="299" t="s">
        <v>803</v>
      </c>
      <c r="N16" s="553" t="s">
        <v>655</v>
      </c>
      <c r="AI16" s="1641">
        <v>23</v>
      </c>
    </row>
    <row customHeight="1" ht="35.699999999999996">
      <c r="D17" s="1648"/>
      <c r="E17" s="1674" t="s">
        <v>733</v>
      </c>
      <c r="F17" s="1677" t="s">
        <v>804</v>
      </c>
      <c r="G17" s="1664" t="s">
        <v>574</v>
      </c>
      <c r="H17" s="567"/>
      <c r="I17" s="567"/>
      <c r="J17" s="567"/>
      <c r="K17" s="567"/>
      <c r="L17" s="567"/>
      <c r="M17" s="299" t="s">
        <v>805</v>
      </c>
      <c r="N17" s="553"/>
      <c r="AI17" s="1641">
        <v>34</v>
      </c>
    </row>
    <row customHeight="1" ht="19.95">
      <c r="D18" s="1648"/>
      <c r="E18" s="1674" t="s">
        <v>736</v>
      </c>
      <c r="F18" s="1678" t="s">
        <v>806</v>
      </c>
      <c r="G18" s="1664" t="s">
        <v>574</v>
      </c>
      <c r="H18" s="567"/>
      <c r="I18" s="567"/>
      <c r="J18" s="567"/>
      <c r="K18" s="567"/>
      <c r="L18" s="567"/>
      <c r="M18" s="299"/>
      <c r="N18" s="553"/>
      <c r="AI18" s="1641">
        <v>19</v>
      </c>
    </row>
    <row customHeight="1" ht="24">
      <c r="D19" s="1648"/>
      <c r="E19" s="1674" t="s">
        <v>739</v>
      </c>
      <c r="F19" s="1678" t="s">
        <v>807</v>
      </c>
      <c r="G19" s="1664" t="s">
        <v>574</v>
      </c>
      <c r="H19" s="567"/>
      <c r="I19" s="567"/>
      <c r="J19" s="567"/>
      <c r="K19" s="567"/>
      <c r="L19" s="567"/>
      <c r="M19" s="299"/>
      <c r="N19" s="553"/>
      <c r="AI19" s="1641">
        <v>23</v>
      </c>
    </row>
    <row customHeight="1" ht="35.699999999999996">
      <c r="D20" s="1648"/>
      <c r="E20" s="1674" t="s">
        <v>329</v>
      </c>
      <c r="F20" s="1677" t="s">
        <v>808</v>
      </c>
      <c r="G20" s="1664" t="s">
        <v>574</v>
      </c>
      <c r="H20" s="567"/>
      <c r="I20" s="567"/>
      <c r="J20" s="567"/>
      <c r="K20" s="567"/>
      <c r="L20" s="567"/>
      <c r="M20" s="299"/>
      <c r="N20" s="553"/>
      <c r="AI20" s="1641">
        <v>34</v>
      </c>
    </row>
    <row customHeight="1" ht="48.29999999999999">
      <c r="D21" s="1648"/>
      <c r="E21" s="1674" t="s">
        <v>332</v>
      </c>
      <c r="F21" s="1677" t="s">
        <v>809</v>
      </c>
      <c r="G21" s="1664" t="s">
        <v>574</v>
      </c>
      <c r="H21" s="567"/>
      <c r="I21" s="567"/>
      <c r="J21" s="567"/>
      <c r="K21" s="567"/>
      <c r="L21" s="567"/>
      <c r="M21" s="299"/>
      <c r="N21" s="553"/>
      <c r="AI21" s="1641">
        <v>46</v>
      </c>
    </row>
    <row customHeight="1" ht="60">
      <c r="D22" s="1648"/>
      <c r="E22" s="1674" t="s">
        <v>753</v>
      </c>
      <c r="F22" s="1677" t="s">
        <v>810</v>
      </c>
      <c r="G22" s="1664" t="s">
        <v>574</v>
      </c>
      <c r="H22" s="567"/>
      <c r="I22" s="567"/>
      <c r="J22" s="567"/>
      <c r="K22" s="567"/>
      <c r="L22" s="567"/>
      <c r="M22" s="299"/>
      <c r="N22" s="553"/>
      <c r="AI22" s="1641">
        <v>57</v>
      </c>
    </row>
    <row customHeight="1" ht="35.699999999999996">
      <c r="D23" s="1648"/>
      <c r="E23" s="1674" t="s">
        <v>760</v>
      </c>
      <c r="F23" s="1677" t="s">
        <v>811</v>
      </c>
      <c r="G23" s="1664" t="s">
        <v>574</v>
      </c>
      <c r="H23" s="567"/>
      <c r="I23" s="567"/>
      <c r="J23" s="567"/>
      <c r="K23" s="567"/>
      <c r="L23" s="567"/>
      <c r="M23" s="299"/>
      <c r="N23" s="553"/>
      <c r="AI23" s="1641">
        <v>34</v>
      </c>
    </row>
    <row customHeight="1" ht="35.699999999999996">
      <c r="D24" s="1648"/>
      <c r="E24" s="1674" t="s">
        <v>762</v>
      </c>
      <c r="F24" s="1677" t="s">
        <v>812</v>
      </c>
      <c r="G24" s="1664" t="s">
        <v>574</v>
      </c>
      <c r="H24" s="567"/>
      <c r="I24" s="567"/>
      <c r="J24" s="567"/>
      <c r="K24" s="567"/>
      <c r="L24" s="567"/>
      <c r="M24" s="299"/>
      <c r="N24" s="553"/>
      <c r="AI24" s="1641">
        <v>34</v>
      </c>
    </row>
    <row customHeight="1" ht="24">
      <c r="D25" s="1648"/>
      <c r="E25" s="1674" t="s">
        <v>764</v>
      </c>
      <c r="F25" s="1677" t="s">
        <v>813</v>
      </c>
      <c r="G25" s="1664" t="s">
        <v>574</v>
      </c>
      <c r="H25" s="567"/>
      <c r="I25" s="567"/>
      <c r="J25" s="567"/>
      <c r="K25" s="567"/>
      <c r="L25" s="567"/>
      <c r="M25" s="299"/>
      <c r="N25" s="553"/>
      <c r="AI25" s="1641">
        <v>23</v>
      </c>
    </row>
    <row customHeight="1" ht="76.5">
      <c r="D26" s="1648"/>
      <c r="E26" s="1674" t="s">
        <v>766</v>
      </c>
      <c r="F26" s="1677" t="s">
        <v>814</v>
      </c>
      <c r="G26" s="1664" t="s">
        <v>574</v>
      </c>
      <c r="H26" s="567"/>
      <c r="I26" s="567"/>
      <c r="J26" s="567"/>
      <c r="K26" s="567"/>
      <c r="L26" s="567"/>
      <c r="M26" s="299"/>
      <c r="N26" s="553"/>
      <c r="AI26" s="1641">
        <v>73</v>
      </c>
    </row>
    <row s="1376" customFormat="1" customHeight="1" ht="35.699999999999996">
      <c r="A27" s="997"/>
      <c r="C27" s="1646"/>
      <c r="D27" s="1648"/>
      <c r="E27" s="1639" t="s">
        <v>770</v>
      </c>
      <c r="F27" s="1638" t="s">
        <v>815</v>
      </c>
      <c r="G27" s="1665" t="s">
        <v>574</v>
      </c>
      <c r="H27" s="589">
        <f>SUM(H28:H29)</f>
        <v>0</v>
      </c>
      <c r="I27" s="589">
        <f>SUM(I28:I29)</f>
        <v>0</v>
      </c>
      <c r="J27" s="589">
        <f>SUM(J28:J29)</f>
        <v>0</v>
      </c>
      <c r="K27" s="589">
        <f>SUM(K28:K29)</f>
        <v>0</v>
      </c>
      <c r="L27" s="589">
        <f>SUM(L28:L29)</f>
        <v>0</v>
      </c>
      <c r="M27" s="299" t="s">
        <v>768</v>
      </c>
      <c r="N27" s="553"/>
      <c r="O27" s="1646"/>
      <c r="P27" s="1646"/>
      <c r="U27" s="1646"/>
      <c r="X27" s="554"/>
      <c r="AD27" s="1642"/>
      <c r="AE27" s="1642"/>
      <c r="AF27" s="1642"/>
      <c r="AG27" s="1642"/>
      <c r="AH27" s="1642"/>
      <c r="AI27" s="1170">
        <v>34</v>
      </c>
    </row>
    <row s="1652" customFormat="1" customHeight="1" ht="1.05">
      <c r="A28" s="1177"/>
      <c r="D28" s="558"/>
      <c r="E28" s="812" t="str">
        <f>E27&amp;".0"</f>
        <v>2.9.0</v>
      </c>
      <c r="F28" s="1001"/>
      <c r="G28" s="561"/>
      <c r="H28" s="1002"/>
      <c r="I28" s="1002"/>
      <c r="J28" s="1002"/>
      <c r="K28" s="1002"/>
      <c r="L28" s="1002"/>
      <c r="M28" s="1003"/>
      <c r="AI28" s="1646">
        <v>1</v>
      </c>
    </row>
    <row s="1376" customFormat="1" customHeight="1" ht="19.95">
      <c r="A29" s="997"/>
      <c r="C29" s="1646"/>
      <c r="D29" s="1643"/>
      <c r="E29" s="580"/>
      <c r="F29" s="1676" t="s">
        <v>599</v>
      </c>
      <c r="G29" s="582"/>
      <c r="H29" s="583"/>
      <c r="I29" s="583"/>
      <c r="J29" s="2669"/>
      <c r="K29" s="2670"/>
      <c r="L29" s="2671"/>
      <c r="M29" s="311" t="s">
        <v>769</v>
      </c>
      <c r="N29" s="553"/>
      <c r="O29" s="1646"/>
      <c r="P29" s="1646"/>
      <c r="U29" s="1646"/>
      <c r="X29" s="554"/>
      <c r="AD29" s="1642"/>
      <c r="AE29" s="1642"/>
      <c r="AF29" s="1642"/>
      <c r="AG29" s="1642"/>
      <c r="AH29" s="1642"/>
      <c r="AI29" s="1170">
        <v>19</v>
      </c>
    </row>
    <row s="1376" customFormat="1" customHeight="1" ht="24">
      <c r="A30" s="997"/>
      <c r="C30" s="1646"/>
      <c r="D30" s="1648"/>
      <c r="E30" s="1674" t="s">
        <v>90</v>
      </c>
      <c r="F30" s="1671" t="s">
        <v>816</v>
      </c>
      <c r="G30" s="1664" t="s">
        <v>574</v>
      </c>
      <c r="H30" s="567"/>
      <c r="I30" s="567"/>
      <c r="J30" s="567"/>
      <c r="K30" s="567"/>
      <c r="L30" s="567"/>
      <c r="M30" s="299"/>
      <c r="N30" s="553"/>
      <c r="O30" s="1646"/>
      <c r="P30" s="1646"/>
      <c r="U30" s="1646"/>
      <c r="X30" s="554"/>
      <c r="AD30" s="1642"/>
      <c r="AE30" s="1642"/>
      <c r="AF30" s="1642"/>
      <c r="AG30" s="1642"/>
      <c r="AH30" s="1642"/>
      <c r="AI30" s="1170">
        <v>23</v>
      </c>
    </row>
    <row s="1376" customFormat="1" customHeight="1" ht="35.699999999999996">
      <c r="A31" s="997"/>
      <c r="C31" s="1646"/>
      <c r="D31" s="585"/>
      <c r="E31" s="1674" t="s">
        <v>91</v>
      </c>
      <c r="F31" s="1671" t="s">
        <v>817</v>
      </c>
      <c r="G31" s="1664" t="s">
        <v>574</v>
      </c>
      <c r="H31" s="567"/>
      <c r="I31" s="567"/>
      <c r="J31" s="567"/>
      <c r="K31" s="567"/>
      <c r="L31" s="567"/>
      <c r="M31" s="299" t="s">
        <v>818</v>
      </c>
      <c r="N31" s="553"/>
      <c r="O31" s="1646"/>
      <c r="P31" s="1646"/>
      <c r="U31" s="1646"/>
      <c r="X31" s="554"/>
      <c r="AD31" s="1642"/>
      <c r="AE31" s="1642"/>
      <c r="AF31" s="1642"/>
      <c r="AG31" s="1642"/>
      <c r="AH31" s="1642"/>
      <c r="AI31" s="1170">
        <v>34</v>
      </c>
    </row>
    <row s="1376" customFormat="1" customHeight="1" ht="24">
      <c r="A32" s="997"/>
      <c r="C32" s="1646"/>
      <c r="D32" s="1648"/>
      <c r="E32" s="1674" t="s">
        <v>778</v>
      </c>
      <c r="F32" s="700" t="s">
        <v>782</v>
      </c>
      <c r="G32" s="1664" t="s">
        <v>574</v>
      </c>
      <c r="H32" s="567"/>
      <c r="I32" s="567"/>
      <c r="J32" s="567"/>
      <c r="K32" s="567"/>
      <c r="L32" s="567"/>
      <c r="M32" s="299" t="s">
        <v>819</v>
      </c>
      <c r="N32" s="553"/>
      <c r="O32" s="1646"/>
      <c r="P32" s="1646"/>
      <c r="U32" s="1646"/>
      <c r="X32" s="554"/>
      <c r="AD32" s="1642"/>
      <c r="AE32" s="1642"/>
      <c r="AF32" s="1642"/>
      <c r="AG32" s="1642"/>
      <c r="AH32" s="1642"/>
      <c r="AI32" s="1170">
        <v>23</v>
      </c>
    </row>
    <row s="1376" customFormat="1" customHeight="1" ht="24">
      <c r="A33" s="997"/>
      <c r="C33" s="1646"/>
      <c r="D33" s="1648"/>
      <c r="E33" s="1674" t="s">
        <v>820</v>
      </c>
      <c r="F33" s="700" t="s">
        <v>821</v>
      </c>
      <c r="G33" s="1664" t="s">
        <v>574</v>
      </c>
      <c r="H33" s="567"/>
      <c r="I33" s="567"/>
      <c r="J33" s="567"/>
      <c r="K33" s="567"/>
      <c r="L33" s="567"/>
      <c r="M33" s="299" t="s">
        <v>822</v>
      </c>
      <c r="N33" s="553"/>
      <c r="O33" s="1646"/>
      <c r="P33" s="1646"/>
      <c r="U33" s="1646"/>
      <c r="X33" s="554"/>
      <c r="AD33" s="1642"/>
      <c r="AE33" s="1642"/>
      <c r="AF33" s="1642"/>
      <c r="AG33" s="1642"/>
      <c r="AH33" s="1642"/>
      <c r="AI33" s="1170">
        <v>23</v>
      </c>
    </row>
    <row s="1376" customFormat="1" customHeight="1" ht="24">
      <c r="A34" s="997"/>
      <c r="C34" s="1646"/>
      <c r="D34" s="1648"/>
      <c r="E34" s="1674" t="s">
        <v>823</v>
      </c>
      <c r="F34" s="700" t="s">
        <v>788</v>
      </c>
      <c r="G34" s="1664" t="s">
        <v>574</v>
      </c>
      <c r="H34" s="567"/>
      <c r="I34" s="567"/>
      <c r="J34" s="567"/>
      <c r="K34" s="567"/>
      <c r="L34" s="567"/>
      <c r="M34" s="299" t="s">
        <v>824</v>
      </c>
      <c r="N34" s="553"/>
      <c r="O34" s="1646"/>
      <c r="P34" s="1646"/>
      <c r="U34" s="1646"/>
      <c r="X34" s="554"/>
      <c r="AD34" s="1642"/>
      <c r="AE34" s="1642"/>
      <c r="AF34" s="1642"/>
      <c r="AG34" s="1642"/>
      <c r="AH34" s="1642"/>
      <c r="AI34" s="1170">
        <v>23</v>
      </c>
    </row>
    <row s="1376" customFormat="1" customHeight="1" ht="35.699999999999996">
      <c r="A35" s="997"/>
      <c r="C35" s="1646" t="s">
        <v>610</v>
      </c>
      <c r="D35" s="1648"/>
      <c r="E35" s="1674" t="s">
        <v>125</v>
      </c>
      <c r="F35" s="1671" t="s">
        <v>654</v>
      </c>
      <c r="G35" s="1667" t="s">
        <v>328</v>
      </c>
      <c r="H35" s="411"/>
      <c r="I35" s="411"/>
      <c r="J35" s="828"/>
      <c r="K35" s="828"/>
      <c r="L35" s="828"/>
      <c r="M35" s="299" t="s">
        <v>825</v>
      </c>
      <c r="N35" s="553"/>
      <c r="O35" s="1646"/>
      <c r="P35" s="1646"/>
      <c r="U35" s="1646"/>
      <c r="X35" s="554"/>
      <c r="AD35" s="1642"/>
      <c r="AE35" s="1642"/>
      <c r="AF35" s="1642"/>
      <c r="AG35" s="1642"/>
      <c r="AH35" s="1642"/>
      <c r="AI35" s="1170">
        <v>34</v>
      </c>
    </row>
    <row s="1376" customFormat="1" customHeight="1" ht="35.699999999999996">
      <c r="A36" s="997"/>
      <c r="C36" s="1646"/>
      <c r="D36" s="1648"/>
      <c r="E36" s="1674" t="s">
        <v>92</v>
      </c>
      <c r="F36" s="1671" t="s">
        <v>826</v>
      </c>
      <c r="G36" s="1664" t="s">
        <v>793</v>
      </c>
      <c r="H36" s="555"/>
      <c r="I36" s="555"/>
      <c r="J36" s="555"/>
      <c r="K36" s="555"/>
      <c r="L36" s="555"/>
      <c r="M36" s="299" t="s">
        <v>794</v>
      </c>
      <c r="N36" s="553"/>
      <c r="O36" s="1646"/>
      <c r="P36" s="1646"/>
      <c r="U36" s="1646"/>
      <c r="X36" s="554"/>
      <c r="AD36" s="1642"/>
      <c r="AE36" s="1642"/>
      <c r="AF36" s="1642"/>
      <c r="AG36" s="1642"/>
      <c r="AH36" s="1642"/>
      <c r="AI36" s="1170">
        <v>34</v>
      </c>
    </row>
    <row s="1376" customFormat="1" customHeight="1" ht="24">
      <c r="A37" s="997"/>
      <c r="C37" s="1646"/>
      <c r="D37" s="1648"/>
      <c r="E37" s="1674" t="s">
        <v>93</v>
      </c>
      <c r="F37" s="1671" t="s">
        <v>827</v>
      </c>
      <c r="G37" s="1664" t="s">
        <v>796</v>
      </c>
      <c r="H37" s="555"/>
      <c r="I37" s="555"/>
      <c r="J37" s="555"/>
      <c r="K37" s="555"/>
      <c r="L37" s="555"/>
      <c r="M37" s="299" t="s">
        <v>797</v>
      </c>
      <c r="N37" s="553"/>
      <c r="O37" s="1646"/>
      <c r="P37" s="1646"/>
      <c r="U37" s="1646"/>
      <c r="X37" s="554"/>
      <c r="AD37" s="1642"/>
      <c r="AE37" s="1642"/>
      <c r="AF37" s="1642"/>
      <c r="AG37" s="1642"/>
      <c r="AH37" s="1642"/>
      <c r="AI37" s="1170">
        <v>23</v>
      </c>
    </row>
    <row customHeight="1" ht="11.549999999999999">
      <c r="D38" s="1648"/>
      <c r="J38" s="1645"/>
      <c r="K38" s="1645"/>
      <c r="L38" s="1645"/>
      <c r="AI38" s="1641">
        <v>11</v>
      </c>
    </row>
    <row customHeight="1" ht="27.299999999999997">
      <c r="D39" s="1648"/>
      <c r="E39" s="1263" t="s">
        <v>828</v>
      </c>
      <c r="F39" s="2295" t="s">
        <v>829</v>
      </c>
      <c r="G39" s="2295"/>
      <c r="H39" s="379"/>
      <c r="I39" s="379"/>
      <c r="J39" s="1697"/>
      <c r="K39" s="1697"/>
      <c r="L39" s="1697"/>
      <c r="M39" s="379"/>
      <c r="AI39" s="1641">
        <v>26</v>
      </c>
    </row>
    <row s="1651" customFormat="1" customHeight="1" ht="39.75">
      <c r="A40" s="997"/>
      <c r="B40" s="1646"/>
      <c r="C40" s="1646"/>
      <c r="D40" s="361"/>
      <c r="F40" s="2295" t="s">
        <v>830</v>
      </c>
      <c r="G40" s="2295"/>
      <c r="H40" s="379"/>
      <c r="I40" s="379"/>
      <c r="J40" s="1697"/>
      <c r="K40" s="1697"/>
      <c r="L40" s="1697"/>
      <c r="M40" s="379"/>
      <c r="N40" s="1170"/>
      <c r="O40" s="1646"/>
      <c r="P40" s="1646"/>
      <c r="Q40" s="1170"/>
      <c r="R40" s="1170"/>
      <c r="S40" s="1170"/>
      <c r="T40" s="1170"/>
      <c r="U40" s="1646"/>
      <c r="V40" s="1170"/>
      <c r="W40" s="1170"/>
      <c r="X40" s="554"/>
      <c r="Y40" s="1170"/>
      <c r="Z40" s="1170"/>
      <c r="AA40" s="1170"/>
      <c r="AB40" s="1170"/>
      <c r="AC40" s="1170"/>
      <c r="AD40" s="1642"/>
      <c r="AE40" s="576"/>
      <c r="AF40" s="576"/>
      <c r="AG40" s="576"/>
      <c r="AH40" s="576"/>
      <c r="AI40" s="1651">
        <v>38</v>
      </c>
    </row>
    <row s="1651" customFormat="1" customHeight="1" ht="11.549999999999999">
      <c r="A41" s="997"/>
      <c r="B41" s="1646"/>
      <c r="C41" s="1646"/>
      <c r="D41" s="361"/>
      <c r="J41" s="1651"/>
      <c r="K41" s="1651"/>
      <c r="L41" s="1651"/>
      <c r="N41" s="1170"/>
      <c r="O41" s="1646"/>
      <c r="P41" s="1646"/>
      <c r="Q41" s="1170"/>
      <c r="R41" s="1170"/>
      <c r="S41" s="1170"/>
      <c r="T41" s="1170"/>
      <c r="U41" s="1646"/>
      <c r="V41" s="1170"/>
      <c r="W41" s="1170"/>
      <c r="X41" s="554"/>
      <c r="Y41" s="1170"/>
      <c r="Z41" s="1170"/>
      <c r="AA41" s="1170"/>
      <c r="AB41" s="1170"/>
      <c r="AC41" s="1170"/>
      <c r="AD41" s="1642"/>
      <c r="AE41" s="576"/>
      <c r="AF41" s="576"/>
      <c r="AG41" s="576"/>
      <c r="AH41" s="576"/>
      <c r="AI41" s="1651">
        <v>11</v>
      </c>
    </row>
    <row s="1651" customFormat="1" customHeight="1" ht="11.549999999999999">
      <c r="A42" s="997"/>
      <c r="B42" s="1646"/>
      <c r="C42" s="1646"/>
      <c r="D42" s="361"/>
      <c r="J42" s="1651"/>
      <c r="K42" s="1651"/>
      <c r="L42" s="1651"/>
      <c r="N42" s="1170"/>
      <c r="O42" s="1646"/>
      <c r="P42" s="1646"/>
      <c r="Q42" s="1170"/>
      <c r="R42" s="1170"/>
      <c r="S42" s="1170"/>
      <c r="T42" s="1170"/>
      <c r="U42" s="1646"/>
      <c r="V42" s="1170"/>
      <c r="W42" s="1170"/>
      <c r="X42" s="554"/>
      <c r="Y42" s="1170"/>
      <c r="Z42" s="1170"/>
      <c r="AA42" s="1170"/>
      <c r="AB42" s="1170"/>
      <c r="AC42" s="1170"/>
      <c r="AD42" s="1642"/>
      <c r="AE42" s="576"/>
      <c r="AF42" s="576"/>
      <c r="AG42" s="576"/>
      <c r="AH42" s="576"/>
      <c r="AI42" s="1651">
        <v>11</v>
      </c>
    </row>
    <row s="1651" customFormat="1" customHeight="1" ht="11.549999999999999">
      <c r="A43" s="997"/>
      <c r="B43" s="1646"/>
      <c r="C43" s="1646"/>
      <c r="D43" s="361"/>
      <c r="H43" s="576"/>
      <c r="I43" s="576"/>
      <c r="J43" s="632"/>
      <c r="K43" s="632"/>
      <c r="L43" s="632"/>
      <c r="N43" s="1170"/>
      <c r="O43" s="1646"/>
      <c r="P43" s="1646"/>
      <c r="Q43" s="1170"/>
      <c r="R43" s="1170"/>
      <c r="S43" s="1170"/>
      <c r="T43" s="1170"/>
      <c r="U43" s="1646"/>
      <c r="V43" s="1170"/>
      <c r="W43" s="1170"/>
      <c r="X43" s="554"/>
      <c r="Y43" s="1170"/>
      <c r="Z43" s="1170"/>
      <c r="AA43" s="1170"/>
      <c r="AB43" s="1170"/>
      <c r="AC43" s="1170"/>
      <c r="AD43" s="1642"/>
      <c r="AE43" s="576"/>
      <c r="AF43" s="576"/>
      <c r="AG43" s="576"/>
      <c r="AH43" s="576"/>
      <c r="AI43" s="1651">
        <v>11</v>
      </c>
    </row>
    <row s="1651" customFormat="1" customHeight="1" ht="11.549999999999999">
      <c r="A44" s="997"/>
      <c r="B44" s="1646"/>
      <c r="C44" s="1646"/>
      <c r="D44" s="361"/>
      <c r="J44" s="1651"/>
      <c r="K44" s="1651"/>
      <c r="L44" s="1651"/>
      <c r="N44" s="1170"/>
      <c r="O44" s="1646"/>
      <c r="P44" s="1646"/>
      <c r="Q44" s="1170"/>
      <c r="R44" s="1170"/>
      <c r="S44" s="1170"/>
      <c r="T44" s="1170"/>
      <c r="U44" s="1646"/>
      <c r="V44" s="1170"/>
      <c r="W44" s="1170"/>
      <c r="X44" s="554"/>
      <c r="Y44" s="1170"/>
      <c r="Z44" s="1170"/>
      <c r="AA44" s="1170"/>
      <c r="AB44" s="1170"/>
      <c r="AC44" s="1170"/>
      <c r="AD44" s="1642"/>
      <c r="AE44" s="576"/>
      <c r="AF44" s="576"/>
      <c r="AG44" s="576"/>
      <c r="AH44" s="576"/>
      <c r="AI44" s="1651">
        <v>11</v>
      </c>
    </row>
    <row s="1651" customFormat="1" customHeight="1" ht="11.549999999999999">
      <c r="A45" s="997"/>
      <c r="B45" s="1646"/>
      <c r="C45" s="1646"/>
      <c r="D45" s="361"/>
      <c r="J45" s="1651"/>
      <c r="K45" s="1651"/>
      <c r="L45" s="1651"/>
      <c r="N45" s="1170"/>
      <c r="O45" s="1646"/>
      <c r="P45" s="1646"/>
      <c r="Q45" s="1170"/>
      <c r="R45" s="1170"/>
      <c r="S45" s="1170"/>
      <c r="T45" s="1170"/>
      <c r="U45" s="1646"/>
      <c r="V45" s="1170"/>
      <c r="W45" s="1170"/>
      <c r="X45" s="554"/>
      <c r="Y45" s="1170"/>
      <c r="Z45" s="1170"/>
      <c r="AA45" s="1170"/>
      <c r="AB45" s="1170"/>
      <c r="AC45" s="1170"/>
      <c r="AD45" s="1642"/>
      <c r="AE45" s="576"/>
      <c r="AF45" s="576"/>
      <c r="AG45" s="576"/>
      <c r="AH45" s="576"/>
      <c r="AI45" s="1651">
        <v>11</v>
      </c>
    </row>
    <row s="1651" customFormat="1" customHeight="1" ht="11.549999999999999">
      <c r="A46" s="997"/>
      <c r="B46" s="1646"/>
      <c r="C46" s="1646"/>
      <c r="D46" s="361"/>
      <c r="J46" s="1651"/>
      <c r="K46" s="1651"/>
      <c r="L46" s="1651"/>
      <c r="N46" s="1170"/>
      <c r="O46" s="1646"/>
      <c r="P46" s="1646"/>
      <c r="Q46" s="1170"/>
      <c r="R46" s="1170"/>
      <c r="S46" s="1170"/>
      <c r="T46" s="1170"/>
      <c r="U46" s="1646"/>
      <c r="V46" s="1170"/>
      <c r="W46" s="1170"/>
      <c r="X46" s="554"/>
      <c r="Y46" s="1170"/>
      <c r="Z46" s="1170"/>
      <c r="AA46" s="1170"/>
      <c r="AB46" s="1170"/>
      <c r="AC46" s="1170"/>
      <c r="AD46" s="1642"/>
      <c r="AE46" s="576"/>
      <c r="AF46" s="576"/>
      <c r="AG46" s="576"/>
      <c r="AH46" s="576"/>
      <c r="AI46" s="1651">
        <v>11</v>
      </c>
    </row>
    <row s="1651" customFormat="1" customHeight="1" ht="11.549999999999999">
      <c r="A47" s="997"/>
      <c r="B47" s="1646"/>
      <c r="C47" s="1646"/>
      <c r="D47" s="361"/>
      <c r="J47" s="1651"/>
      <c r="K47" s="1651"/>
      <c r="L47" s="1651"/>
      <c r="N47" s="1170"/>
      <c r="O47" s="1646"/>
      <c r="P47" s="1646"/>
      <c r="Q47" s="1170"/>
      <c r="R47" s="1170"/>
      <c r="S47" s="1170"/>
      <c r="T47" s="1170"/>
      <c r="U47" s="1646"/>
      <c r="V47" s="1170"/>
      <c r="W47" s="1170"/>
      <c r="X47" s="554"/>
      <c r="Y47" s="1170"/>
      <c r="Z47" s="1170"/>
      <c r="AA47" s="1170"/>
      <c r="AB47" s="1170"/>
      <c r="AC47" s="1170"/>
      <c r="AD47" s="1642"/>
      <c r="AE47" s="576"/>
      <c r="AF47" s="576"/>
      <c r="AG47" s="576"/>
      <c r="AH47" s="576"/>
      <c r="AI47" s="1651">
        <v>11</v>
      </c>
    </row>
    <row s="1651" customFormat="1" customHeight="1" ht="11.549999999999999">
      <c r="A48" s="997"/>
      <c r="B48" s="1646"/>
      <c r="C48" s="1646"/>
      <c r="D48" s="361"/>
      <c r="J48" s="1651"/>
      <c r="K48" s="1651"/>
      <c r="L48" s="1651"/>
      <c r="N48" s="1170"/>
      <c r="O48" s="1646"/>
      <c r="P48" s="1646"/>
      <c r="Q48" s="1170"/>
      <c r="R48" s="1170"/>
      <c r="S48" s="1170"/>
      <c r="T48" s="1170"/>
      <c r="U48" s="1646"/>
      <c r="V48" s="1170"/>
      <c r="W48" s="1170"/>
      <c r="X48" s="554"/>
      <c r="Y48" s="1170"/>
      <c r="Z48" s="1170"/>
      <c r="AA48" s="1170"/>
      <c r="AB48" s="1170"/>
      <c r="AC48" s="1170"/>
      <c r="AD48" s="1642"/>
      <c r="AE48" s="576"/>
      <c r="AF48" s="576"/>
      <c r="AG48" s="576"/>
      <c r="AH48" s="576"/>
      <c r="AI48" s="1651">
        <v>11</v>
      </c>
    </row>
    <row s="1651" customFormat="1" customHeight="1" ht="11.549999999999999">
      <c r="A49" s="997"/>
      <c r="B49" s="1646"/>
      <c r="C49" s="1646"/>
      <c r="D49" s="361"/>
      <c r="J49" s="1651"/>
      <c r="K49" s="1651"/>
      <c r="L49" s="1651"/>
      <c r="N49" s="1170"/>
      <c r="O49" s="1646"/>
      <c r="P49" s="1646"/>
      <c r="Q49" s="1170"/>
      <c r="R49" s="1170"/>
      <c r="S49" s="1170"/>
      <c r="T49" s="1170"/>
      <c r="U49" s="1646"/>
      <c r="V49" s="1170"/>
      <c r="W49" s="1170"/>
      <c r="X49" s="554"/>
      <c r="Y49" s="1170"/>
      <c r="Z49" s="1170"/>
      <c r="AA49" s="1170"/>
      <c r="AB49" s="1170"/>
      <c r="AC49" s="1170"/>
      <c r="AD49" s="1642"/>
      <c r="AE49" s="576"/>
      <c r="AF49" s="576"/>
      <c r="AG49" s="576"/>
      <c r="AH49" s="576"/>
      <c r="AI49" s="1651">
        <v>11</v>
      </c>
    </row>
    <row s="1651" customFormat="1" customHeight="1" ht="11.549999999999999">
      <c r="A50" s="997"/>
      <c r="B50" s="1646"/>
      <c r="C50" s="1646"/>
      <c r="D50" s="361"/>
      <c r="J50" s="1651"/>
      <c r="K50" s="1651"/>
      <c r="L50" s="1651"/>
      <c r="N50" s="1170"/>
      <c r="O50" s="1646"/>
      <c r="P50" s="1646"/>
      <c r="Q50" s="1170"/>
      <c r="R50" s="1170"/>
      <c r="S50" s="1170"/>
      <c r="T50" s="1170"/>
      <c r="U50" s="1646"/>
      <c r="V50" s="1170"/>
      <c r="W50" s="1170"/>
      <c r="X50" s="554"/>
      <c r="Y50" s="1170"/>
      <c r="Z50" s="1170"/>
      <c r="AA50" s="1170"/>
      <c r="AB50" s="1170"/>
      <c r="AC50" s="1170"/>
      <c r="AD50" s="1642"/>
      <c r="AE50" s="576"/>
      <c r="AF50" s="576"/>
      <c r="AG50" s="576"/>
      <c r="AH50" s="576"/>
      <c r="AI50" s="1651">
        <v>11</v>
      </c>
    </row>
    <row s="1651" customFormat="1" customHeight="1" ht="11.549999999999999">
      <c r="A51" s="997"/>
      <c r="B51" s="1646"/>
      <c r="C51" s="1646"/>
      <c r="D51" s="361"/>
      <c r="J51" s="1651"/>
      <c r="K51" s="1651"/>
      <c r="L51" s="1651"/>
      <c r="N51" s="1170"/>
      <c r="O51" s="1646"/>
      <c r="P51" s="1646"/>
      <c r="Q51" s="1170"/>
      <c r="R51" s="1170"/>
      <c r="S51" s="1170"/>
      <c r="T51" s="1170"/>
      <c r="U51" s="1646"/>
      <c r="V51" s="1170"/>
      <c r="W51" s="1170"/>
      <c r="X51" s="554"/>
      <c r="Y51" s="1170"/>
      <c r="Z51" s="1170"/>
      <c r="AA51" s="1170"/>
      <c r="AB51" s="1170"/>
      <c r="AC51" s="1170"/>
      <c r="AD51" s="1642"/>
      <c r="AE51" s="576"/>
      <c r="AF51" s="576"/>
      <c r="AG51" s="576"/>
      <c r="AH51" s="576"/>
      <c r="AI51" s="1651">
        <v>11</v>
      </c>
    </row>
    <row s="1651" customFormat="1" customHeight="1" ht="11.549999999999999">
      <c r="A52" s="997"/>
      <c r="B52" s="1646"/>
      <c r="C52" s="1646"/>
      <c r="D52" s="361"/>
      <c r="J52" s="1651"/>
      <c r="K52" s="1651"/>
      <c r="L52" s="1651"/>
      <c r="N52" s="1170"/>
      <c r="O52" s="1646"/>
      <c r="P52" s="1646"/>
      <c r="Q52" s="1170"/>
      <c r="R52" s="1170"/>
      <c r="S52" s="1170"/>
      <c r="T52" s="1170"/>
      <c r="U52" s="1646"/>
      <c r="V52" s="1170"/>
      <c r="W52" s="1170"/>
      <c r="X52" s="554"/>
      <c r="Y52" s="1170"/>
      <c r="Z52" s="1170"/>
      <c r="AA52" s="1170"/>
      <c r="AB52" s="1170"/>
      <c r="AC52" s="1170"/>
      <c r="AD52" s="1642"/>
      <c r="AE52" s="576"/>
      <c r="AF52" s="576"/>
      <c r="AG52" s="576"/>
      <c r="AH52" s="576"/>
      <c r="AI52" s="1651">
        <v>11</v>
      </c>
    </row>
    <row s="1651" customFormat="1" customHeight="1" ht="11.549999999999999">
      <c r="A53" s="997"/>
      <c r="B53" s="1646"/>
      <c r="C53" s="1646"/>
      <c r="D53" s="361"/>
      <c r="J53" s="1651"/>
      <c r="K53" s="1651"/>
      <c r="L53" s="1651"/>
      <c r="N53" s="1170"/>
      <c r="O53" s="1646"/>
      <c r="P53" s="1646"/>
      <c r="Q53" s="1170"/>
      <c r="R53" s="1170"/>
      <c r="S53" s="1170"/>
      <c r="T53" s="1170"/>
      <c r="U53" s="1646"/>
      <c r="V53" s="1170"/>
      <c r="W53" s="1170"/>
      <c r="X53" s="554"/>
      <c r="Y53" s="1170"/>
      <c r="Z53" s="1170"/>
      <c r="AA53" s="1170"/>
      <c r="AB53" s="1170"/>
      <c r="AC53" s="1170"/>
      <c r="AD53" s="1642"/>
      <c r="AE53" s="576"/>
      <c r="AF53" s="576"/>
      <c r="AG53" s="576"/>
      <c r="AH53" s="576"/>
      <c r="AI53" s="1651">
        <v>11</v>
      </c>
    </row>
    <row s="1651" customFormat="1" customHeight="1" ht="11.549999999999999">
      <c r="A54" s="997"/>
      <c r="B54" s="1646"/>
      <c r="C54" s="1646"/>
      <c r="D54" s="361"/>
      <c r="J54" s="1651"/>
      <c r="K54" s="1651"/>
      <c r="L54" s="1651"/>
      <c r="N54" s="1170"/>
      <c r="O54" s="1646"/>
      <c r="P54" s="1646"/>
      <c r="Q54" s="1170"/>
      <c r="R54" s="1170"/>
      <c r="S54" s="1170"/>
      <c r="T54" s="1170"/>
      <c r="U54" s="1646"/>
      <c r="V54" s="1170"/>
      <c r="W54" s="1170"/>
      <c r="X54" s="554"/>
      <c r="Y54" s="1170"/>
      <c r="Z54" s="1170"/>
      <c r="AA54" s="1170"/>
      <c r="AB54" s="1170"/>
      <c r="AC54" s="1170"/>
      <c r="AD54" s="1642"/>
      <c r="AE54" s="576"/>
      <c r="AF54" s="576"/>
      <c r="AG54" s="576"/>
      <c r="AH54" s="576"/>
      <c r="AI54" s="1651">
        <v>11</v>
      </c>
    </row>
    <row s="1651" customFormat="1" customHeight="1" ht="11.549999999999999">
      <c r="A55" s="997"/>
      <c r="B55" s="1646"/>
      <c r="C55" s="1646"/>
      <c r="D55" s="361"/>
      <c r="J55" s="1651"/>
      <c r="K55" s="1651"/>
      <c r="L55" s="1651"/>
      <c r="N55" s="1170"/>
      <c r="O55" s="1646"/>
      <c r="P55" s="1646"/>
      <c r="Q55" s="1170"/>
      <c r="R55" s="1170"/>
      <c r="S55" s="1170"/>
      <c r="T55" s="1170"/>
      <c r="U55" s="1646"/>
      <c r="V55" s="1170"/>
      <c r="W55" s="1170"/>
      <c r="X55" s="554"/>
      <c r="Y55" s="1170"/>
      <c r="Z55" s="1170"/>
      <c r="AA55" s="1170"/>
      <c r="AB55" s="1170"/>
      <c r="AC55" s="1170"/>
      <c r="AD55" s="1642"/>
      <c r="AE55" s="576"/>
      <c r="AF55" s="576"/>
      <c r="AG55" s="576"/>
      <c r="AH55" s="576"/>
      <c r="AI55" s="1651">
        <v>11</v>
      </c>
    </row>
    <row s="1651" customFormat="1" customHeight="1" ht="11.549999999999999">
      <c r="A56" s="997"/>
      <c r="B56" s="1646"/>
      <c r="C56" s="1646"/>
      <c r="D56" s="361"/>
      <c r="J56" s="1651"/>
      <c r="K56" s="1651"/>
      <c r="L56" s="1651"/>
      <c r="N56" s="1170"/>
      <c r="O56" s="1646"/>
      <c r="P56" s="1646"/>
      <c r="Q56" s="1170"/>
      <c r="R56" s="1170"/>
      <c r="S56" s="1170"/>
      <c r="T56" s="1170"/>
      <c r="U56" s="1646"/>
      <c r="V56" s="1170"/>
      <c r="W56" s="1170"/>
      <c r="X56" s="554"/>
      <c r="Y56" s="1170"/>
      <c r="Z56" s="1170"/>
      <c r="AA56" s="1170"/>
      <c r="AB56" s="1170"/>
      <c r="AC56" s="1170"/>
      <c r="AD56" s="1642"/>
      <c r="AE56" s="576"/>
      <c r="AF56" s="576"/>
      <c r="AG56" s="576"/>
      <c r="AH56" s="576"/>
      <c r="AI56" s="1651">
        <v>11</v>
      </c>
    </row>
    <row s="1651" customFormat="1" customHeight="1" ht="11.549999999999999">
      <c r="A57" s="997"/>
      <c r="B57" s="1646"/>
      <c r="C57" s="1646"/>
      <c r="D57" s="361"/>
      <c r="J57" s="1651"/>
      <c r="K57" s="1651"/>
      <c r="L57" s="1651"/>
      <c r="N57" s="1170"/>
      <c r="O57" s="1646"/>
      <c r="P57" s="1646"/>
      <c r="Q57" s="1170"/>
      <c r="R57" s="1170"/>
      <c r="S57" s="1170"/>
      <c r="T57" s="1170"/>
      <c r="U57" s="1646"/>
      <c r="V57" s="1170"/>
      <c r="W57" s="1170"/>
      <c r="X57" s="554"/>
      <c r="Y57" s="1170"/>
      <c r="Z57" s="1170"/>
      <c r="AA57" s="1170"/>
      <c r="AB57" s="1170"/>
      <c r="AC57" s="1170"/>
      <c r="AD57" s="1642"/>
      <c r="AE57" s="576"/>
      <c r="AF57" s="576"/>
      <c r="AG57" s="576"/>
      <c r="AH57" s="576"/>
      <c r="AI57" s="1651">
        <v>11</v>
      </c>
    </row>
    <row s="1651" customFormat="1" customHeight="1" ht="11.549999999999999">
      <c r="A58" s="997"/>
      <c r="B58" s="1646"/>
      <c r="C58" s="1646"/>
      <c r="D58" s="361"/>
      <c r="J58" s="1651"/>
      <c r="K58" s="1651"/>
      <c r="L58" s="1651"/>
      <c r="N58" s="1170"/>
      <c r="O58" s="1646"/>
      <c r="P58" s="1646"/>
      <c r="Q58" s="1170"/>
      <c r="R58" s="1170"/>
      <c r="S58" s="1170"/>
      <c r="T58" s="1170"/>
      <c r="U58" s="1646"/>
      <c r="V58" s="1170"/>
      <c r="W58" s="1170"/>
      <c r="X58" s="554"/>
      <c r="Y58" s="1170"/>
      <c r="Z58" s="1170"/>
      <c r="AA58" s="1170"/>
      <c r="AB58" s="1170"/>
      <c r="AC58" s="1170"/>
      <c r="AD58" s="1642"/>
      <c r="AE58" s="576"/>
      <c r="AF58" s="576"/>
      <c r="AG58" s="576"/>
      <c r="AH58" s="576"/>
      <c r="AI58" s="1651">
        <v>11</v>
      </c>
    </row>
    <row s="1651" customFormat="1" customHeight="1" ht="11.549999999999999">
      <c r="A59" s="997"/>
      <c r="B59" s="1646"/>
      <c r="C59" s="1646"/>
      <c r="D59" s="361"/>
      <c r="J59" s="1651"/>
      <c r="K59" s="1651"/>
      <c r="L59" s="1651"/>
      <c r="N59" s="1170"/>
      <c r="O59" s="1646"/>
      <c r="P59" s="1646"/>
      <c r="Q59" s="1170"/>
      <c r="R59" s="1170"/>
      <c r="S59" s="1170"/>
      <c r="T59" s="1170"/>
      <c r="U59" s="1646"/>
      <c r="V59" s="1170"/>
      <c r="W59" s="1170"/>
      <c r="X59" s="554"/>
      <c r="Y59" s="1170"/>
      <c r="Z59" s="1170"/>
      <c r="AA59" s="1170"/>
      <c r="AB59" s="1170"/>
      <c r="AC59" s="1170"/>
      <c r="AD59" s="1642"/>
      <c r="AE59" s="576"/>
      <c r="AF59" s="576"/>
      <c r="AG59" s="576"/>
      <c r="AH59" s="576"/>
      <c r="AI59" s="1651">
        <v>11</v>
      </c>
    </row>
    <row s="1651" customFormat="1" customHeight="1" ht="11.549999999999999">
      <c r="A60" s="997"/>
      <c r="B60" s="1646"/>
      <c r="C60" s="1646"/>
      <c r="D60" s="361"/>
      <c r="J60" s="1651"/>
      <c r="K60" s="1651"/>
      <c r="L60" s="1651"/>
      <c r="N60" s="1170"/>
      <c r="O60" s="1646"/>
      <c r="P60" s="1646"/>
      <c r="Q60" s="1170"/>
      <c r="R60" s="1170"/>
      <c r="S60" s="1170"/>
      <c r="T60" s="1170"/>
      <c r="U60" s="1646"/>
      <c r="V60" s="1170"/>
      <c r="W60" s="1170"/>
      <c r="X60" s="554"/>
      <c r="Y60" s="1170"/>
      <c r="Z60" s="1170"/>
      <c r="AA60" s="1170"/>
      <c r="AB60" s="1170"/>
      <c r="AC60" s="1170"/>
      <c r="AD60" s="1642"/>
      <c r="AE60" s="576"/>
      <c r="AF60" s="576"/>
      <c r="AG60" s="576"/>
      <c r="AH60" s="576"/>
      <c r="AI60" s="1651">
        <v>11</v>
      </c>
    </row>
    <row s="1651" customFormat="1" customHeight="1" ht="11.549999999999999">
      <c r="A61" s="997"/>
      <c r="B61" s="1646"/>
      <c r="C61" s="1646"/>
      <c r="D61" s="361"/>
      <c r="J61" s="1651"/>
      <c r="K61" s="1651"/>
      <c r="L61" s="1651"/>
      <c r="N61" s="1170"/>
      <c r="O61" s="1646"/>
      <c r="P61" s="1646"/>
      <c r="Q61" s="1170"/>
      <c r="R61" s="1170"/>
      <c r="S61" s="1170"/>
      <c r="T61" s="1170"/>
      <c r="U61" s="1646"/>
      <c r="V61" s="1170"/>
      <c r="W61" s="1170"/>
      <c r="X61" s="554"/>
      <c r="Y61" s="1170"/>
      <c r="Z61" s="1170"/>
      <c r="AA61" s="1170"/>
      <c r="AB61" s="1170"/>
      <c r="AC61" s="1170"/>
      <c r="AD61" s="1642"/>
      <c r="AE61" s="576"/>
      <c r="AF61" s="576"/>
      <c r="AG61" s="576"/>
      <c r="AH61" s="576"/>
      <c r="AI61" s="1651">
        <v>11</v>
      </c>
    </row>
    <row s="1651" customFormat="1" customHeight="1" ht="11.549999999999999">
      <c r="A62" s="997"/>
      <c r="B62" s="1646"/>
      <c r="C62" s="1646"/>
      <c r="D62" s="361"/>
      <c r="J62" s="1651"/>
      <c r="K62" s="1651"/>
      <c r="L62" s="1651"/>
      <c r="N62" s="1170"/>
      <c r="O62" s="1646"/>
      <c r="P62" s="1646"/>
      <c r="Q62" s="1170"/>
      <c r="R62" s="1170"/>
      <c r="S62" s="1170"/>
      <c r="T62" s="1170"/>
      <c r="U62" s="1646"/>
      <c r="V62" s="1170"/>
      <c r="W62" s="1170"/>
      <c r="X62" s="554"/>
      <c r="Y62" s="1170"/>
      <c r="Z62" s="1170"/>
      <c r="AA62" s="1170"/>
      <c r="AB62" s="1170"/>
      <c r="AC62" s="1170"/>
      <c r="AD62" s="1642"/>
      <c r="AE62" s="576"/>
      <c r="AF62" s="576"/>
      <c r="AG62" s="576"/>
      <c r="AH62" s="576"/>
      <c r="AI62" s="1651">
        <v>11</v>
      </c>
    </row>
    <row s="1651" customFormat="1" customHeight="1" ht="11.549999999999999">
      <c r="A63" s="997"/>
      <c r="B63" s="1646"/>
      <c r="C63" s="1646"/>
      <c r="D63" s="361"/>
      <c r="J63" s="1651"/>
      <c r="K63" s="1651"/>
      <c r="L63" s="1651"/>
      <c r="N63" s="1170"/>
      <c r="O63" s="1646"/>
      <c r="P63" s="1646"/>
      <c r="Q63" s="1170"/>
      <c r="R63" s="1170"/>
      <c r="S63" s="1170"/>
      <c r="T63" s="1170"/>
      <c r="U63" s="1646"/>
      <c r="V63" s="1170"/>
      <c r="W63" s="1170"/>
      <c r="X63" s="554"/>
      <c r="Y63" s="1170"/>
      <c r="Z63" s="1170"/>
      <c r="AA63" s="1170"/>
      <c r="AB63" s="1170"/>
      <c r="AC63" s="1170"/>
      <c r="AD63" s="1642"/>
      <c r="AE63" s="576"/>
      <c r="AF63" s="576"/>
      <c r="AG63" s="576"/>
      <c r="AH63" s="576"/>
      <c r="AI63" s="1651">
        <v>11</v>
      </c>
    </row>
    <row s="1651" customFormat="1" customHeight="1" ht="11.549999999999999">
      <c r="A64" s="997"/>
      <c r="B64" s="1646"/>
      <c r="C64" s="1646"/>
      <c r="D64" s="361"/>
      <c r="J64" s="1651"/>
      <c r="K64" s="1651"/>
      <c r="L64" s="1651"/>
      <c r="N64" s="1170"/>
      <c r="O64" s="1646"/>
      <c r="P64" s="1646"/>
      <c r="Q64" s="1170"/>
      <c r="R64" s="1170"/>
      <c r="S64" s="1170"/>
      <c r="T64" s="1170"/>
      <c r="U64" s="1646"/>
      <c r="V64" s="1170"/>
      <c r="W64" s="1170"/>
      <c r="X64" s="554"/>
      <c r="Y64" s="1170"/>
      <c r="Z64" s="1170"/>
      <c r="AA64" s="1170"/>
      <c r="AB64" s="1170"/>
      <c r="AC64" s="1170"/>
      <c r="AD64" s="1642"/>
      <c r="AE64" s="576"/>
      <c r="AF64" s="576"/>
      <c r="AG64" s="576"/>
      <c r="AH64" s="576"/>
      <c r="AI64" s="1651">
        <v>11</v>
      </c>
    </row>
    <row s="1651" customFormat="1" customHeight="1" ht="11.549999999999999">
      <c r="A65" s="997"/>
      <c r="B65" s="1646"/>
      <c r="C65" s="1646"/>
      <c r="D65" s="361"/>
      <c r="J65" s="1651"/>
      <c r="K65" s="1651"/>
      <c r="L65" s="1651"/>
      <c r="N65" s="1170"/>
      <c r="O65" s="1646"/>
      <c r="P65" s="1646"/>
      <c r="Q65" s="1170"/>
      <c r="R65" s="1170"/>
      <c r="S65" s="1170"/>
      <c r="T65" s="1170"/>
      <c r="U65" s="1646"/>
      <c r="V65" s="1170"/>
      <c r="W65" s="1170"/>
      <c r="X65" s="554"/>
      <c r="Y65" s="1170"/>
      <c r="Z65" s="1170"/>
      <c r="AA65" s="1170"/>
      <c r="AB65" s="1170"/>
      <c r="AC65" s="1170"/>
      <c r="AD65" s="1642"/>
      <c r="AE65" s="576"/>
      <c r="AF65" s="576"/>
      <c r="AG65" s="576"/>
      <c r="AH65" s="576"/>
      <c r="AI65" s="1651">
        <v>11</v>
      </c>
    </row>
    <row s="1651" customFormat="1" customHeight="1" ht="11.549999999999999">
      <c r="A66" s="997"/>
      <c r="B66" s="1646"/>
      <c r="C66" s="1646"/>
      <c r="D66" s="361"/>
      <c r="J66" s="1651"/>
      <c r="K66" s="1651"/>
      <c r="L66" s="1651"/>
      <c r="N66" s="1170"/>
      <c r="O66" s="1646"/>
      <c r="P66" s="1646"/>
      <c r="Q66" s="1170"/>
      <c r="R66" s="1170"/>
      <c r="S66" s="1170"/>
      <c r="T66" s="1170"/>
      <c r="U66" s="1646"/>
      <c r="V66" s="1170"/>
      <c r="W66" s="1170"/>
      <c r="X66" s="554"/>
      <c r="Y66" s="1170"/>
      <c r="Z66" s="1170"/>
      <c r="AA66" s="1170"/>
      <c r="AB66" s="1170"/>
      <c r="AC66" s="1170"/>
      <c r="AD66" s="1642"/>
      <c r="AE66" s="576"/>
      <c r="AF66" s="576"/>
      <c r="AG66" s="576"/>
      <c r="AH66" s="576"/>
      <c r="AI66" s="1651">
        <v>11</v>
      </c>
    </row>
    <row s="1651" customFormat="1" customHeight="1" ht="11.549999999999999">
      <c r="A67" s="997"/>
      <c r="B67" s="1646"/>
      <c r="C67" s="1646"/>
      <c r="D67" s="361"/>
      <c r="J67" s="1651"/>
      <c r="K67" s="1651"/>
      <c r="L67" s="1651"/>
      <c r="N67" s="1170"/>
      <c r="O67" s="1646"/>
      <c r="P67" s="1646"/>
      <c r="Q67" s="1170"/>
      <c r="R67" s="1170"/>
      <c r="S67" s="1170"/>
      <c r="T67" s="1170"/>
      <c r="U67" s="1646"/>
      <c r="V67" s="1170"/>
      <c r="W67" s="1170"/>
      <c r="X67" s="554"/>
      <c r="Y67" s="1170"/>
      <c r="Z67" s="1170"/>
      <c r="AA67" s="1170"/>
      <c r="AB67" s="1170"/>
      <c r="AC67" s="1170"/>
      <c r="AD67" s="1642"/>
      <c r="AE67" s="576"/>
      <c r="AF67" s="576"/>
      <c r="AG67" s="576"/>
      <c r="AH67" s="576"/>
      <c r="AI67" s="1651">
        <v>11</v>
      </c>
    </row>
    <row s="1651" customFormat="1" customHeight="1" ht="11.549999999999999">
      <c r="A68" s="997"/>
      <c r="B68" s="1646"/>
      <c r="C68" s="1646"/>
      <c r="D68" s="361"/>
      <c r="J68" s="1651"/>
      <c r="K68" s="1651"/>
      <c r="L68" s="1651"/>
      <c r="N68" s="1170"/>
      <c r="O68" s="1646"/>
      <c r="P68" s="1646"/>
      <c r="Q68" s="1170"/>
      <c r="R68" s="1170"/>
      <c r="S68" s="1170"/>
      <c r="T68" s="1170"/>
      <c r="U68" s="1646"/>
      <c r="V68" s="1170"/>
      <c r="W68" s="1170"/>
      <c r="X68" s="554"/>
      <c r="Y68" s="1170"/>
      <c r="Z68" s="1170"/>
      <c r="AA68" s="1170"/>
      <c r="AB68" s="1170"/>
      <c r="AC68" s="1170"/>
      <c r="AD68" s="1642"/>
      <c r="AE68" s="576"/>
      <c r="AF68" s="576"/>
      <c r="AG68" s="576"/>
      <c r="AH68" s="576"/>
      <c r="AI68" s="1651">
        <v>11</v>
      </c>
    </row>
    <row s="1651" customFormat="1" customHeight="1" ht="11.549999999999999">
      <c r="A69" s="997"/>
      <c r="B69" s="1646"/>
      <c r="C69" s="1646"/>
      <c r="D69" s="361"/>
      <c r="J69" s="1651"/>
      <c r="K69" s="1651"/>
      <c r="L69" s="1651"/>
      <c r="N69" s="1170"/>
      <c r="O69" s="1646"/>
      <c r="P69" s="1646"/>
      <c r="Q69" s="1170"/>
      <c r="R69" s="1170"/>
      <c r="S69" s="1170"/>
      <c r="T69" s="1170"/>
      <c r="U69" s="1646"/>
      <c r="V69" s="1170"/>
      <c r="W69" s="1170"/>
      <c r="X69" s="554"/>
      <c r="Y69" s="1170"/>
      <c r="Z69" s="1170"/>
      <c r="AA69" s="1170"/>
      <c r="AB69" s="1170"/>
      <c r="AC69" s="1170"/>
      <c r="AD69" s="1642"/>
      <c r="AE69" s="576"/>
      <c r="AF69" s="576"/>
      <c r="AG69" s="576"/>
      <c r="AH69" s="576"/>
      <c r="AI69" s="1651">
        <v>11</v>
      </c>
    </row>
    <row s="1651" customFormat="1" customHeight="1" ht="11.549999999999999">
      <c r="A70" s="997"/>
      <c r="B70" s="1646"/>
      <c r="C70" s="1646"/>
      <c r="D70" s="361"/>
      <c r="J70" s="1651"/>
      <c r="K70" s="1651"/>
      <c r="L70" s="1651"/>
      <c r="N70" s="1170"/>
      <c r="O70" s="1646"/>
      <c r="P70" s="1646"/>
      <c r="Q70" s="1170"/>
      <c r="R70" s="1170"/>
      <c r="S70" s="1170"/>
      <c r="T70" s="1170"/>
      <c r="U70" s="1646"/>
      <c r="V70" s="1170"/>
      <c r="W70" s="1170"/>
      <c r="X70" s="554"/>
      <c r="Y70" s="1170"/>
      <c r="Z70" s="1170"/>
      <c r="AA70" s="1170"/>
      <c r="AB70" s="1170"/>
      <c r="AC70" s="1170"/>
      <c r="AD70" s="1642"/>
      <c r="AE70" s="576"/>
      <c r="AF70" s="576"/>
      <c r="AG70" s="576"/>
      <c r="AH70" s="576"/>
      <c r="AI70" s="1651">
        <v>11</v>
      </c>
    </row>
    <row s="1651" customFormat="1" customHeight="1" ht="11.549999999999999">
      <c r="A71" s="997"/>
      <c r="B71" s="1646"/>
      <c r="C71" s="1646"/>
      <c r="D71" s="361"/>
      <c r="J71" s="1651"/>
      <c r="K71" s="1651"/>
      <c r="L71" s="1651"/>
      <c r="N71" s="1170"/>
      <c r="O71" s="1646"/>
      <c r="P71" s="1646"/>
      <c r="Q71" s="1170"/>
      <c r="R71" s="1170"/>
      <c r="S71" s="1170"/>
      <c r="T71" s="1170"/>
      <c r="U71" s="1646"/>
      <c r="V71" s="1170"/>
      <c r="W71" s="1170"/>
      <c r="X71" s="554"/>
      <c r="Y71" s="1170"/>
      <c r="Z71" s="1170"/>
      <c r="AA71" s="1170"/>
      <c r="AB71" s="1170"/>
      <c r="AC71" s="1170"/>
      <c r="AD71" s="1642"/>
      <c r="AE71" s="576"/>
      <c r="AF71" s="576"/>
      <c r="AG71" s="576"/>
      <c r="AH71" s="576"/>
      <c r="AI71" s="1651">
        <v>11</v>
      </c>
    </row>
    <row s="1651" customFormat="1" customHeight="1" ht="11.549999999999999">
      <c r="A72" s="997"/>
      <c r="B72" s="1646"/>
      <c r="C72" s="1646"/>
      <c r="D72" s="361"/>
      <c r="J72" s="1651"/>
      <c r="K72" s="1651"/>
      <c r="L72" s="1651"/>
      <c r="N72" s="1170"/>
      <c r="O72" s="1646"/>
      <c r="P72" s="1646"/>
      <c r="Q72" s="1170"/>
      <c r="R72" s="1170"/>
      <c r="S72" s="1170"/>
      <c r="T72" s="1170"/>
      <c r="U72" s="1646"/>
      <c r="V72" s="1170"/>
      <c r="W72" s="1170"/>
      <c r="X72" s="554"/>
      <c r="Y72" s="1170"/>
      <c r="Z72" s="1170"/>
      <c r="AA72" s="1170"/>
      <c r="AB72" s="1170"/>
      <c r="AC72" s="1170"/>
      <c r="AD72" s="1642"/>
      <c r="AE72" s="576"/>
      <c r="AF72" s="576"/>
      <c r="AG72" s="576"/>
      <c r="AH72" s="576"/>
      <c r="AI72" s="1651">
        <v>11</v>
      </c>
    </row>
    <row s="1651" customFormat="1" customHeight="1" ht="11.549999999999999">
      <c r="A73" s="997"/>
      <c r="B73" s="1646"/>
      <c r="C73" s="1646"/>
      <c r="D73" s="361"/>
      <c r="J73" s="1651"/>
      <c r="K73" s="1651"/>
      <c r="L73" s="1651"/>
      <c r="N73" s="1170"/>
      <c r="O73" s="1646"/>
      <c r="P73" s="1646"/>
      <c r="Q73" s="1170"/>
      <c r="R73" s="1170"/>
      <c r="S73" s="1170"/>
      <c r="T73" s="1170"/>
      <c r="U73" s="1646"/>
      <c r="V73" s="1170"/>
      <c r="W73" s="1170"/>
      <c r="X73" s="554"/>
      <c r="Y73" s="1170"/>
      <c r="Z73" s="1170"/>
      <c r="AA73" s="1170"/>
      <c r="AB73" s="1170"/>
      <c r="AC73" s="1170"/>
      <c r="AD73" s="1642"/>
      <c r="AE73" s="576"/>
      <c r="AF73" s="576"/>
      <c r="AG73" s="576"/>
      <c r="AH73" s="576"/>
      <c r="AI73" s="1651">
        <v>11</v>
      </c>
    </row>
    <row s="1651" customFormat="1" customHeight="1" ht="11.549999999999999">
      <c r="A74" s="997"/>
      <c r="B74" s="1646"/>
      <c r="C74" s="1646"/>
      <c r="D74" s="361"/>
      <c r="J74" s="1651"/>
      <c r="K74" s="1651"/>
      <c r="L74" s="1651"/>
      <c r="N74" s="1170"/>
      <c r="O74" s="1646"/>
      <c r="P74" s="1646"/>
      <c r="Q74" s="1170"/>
      <c r="R74" s="1170"/>
      <c r="S74" s="1170"/>
      <c r="T74" s="1170"/>
      <c r="U74" s="1646"/>
      <c r="V74" s="1170"/>
      <c r="W74" s="1170"/>
      <c r="X74" s="554"/>
      <c r="Y74" s="1170"/>
      <c r="Z74" s="1170"/>
      <c r="AA74" s="1170"/>
      <c r="AB74" s="1170"/>
      <c r="AC74" s="1170"/>
      <c r="AD74" s="1642"/>
      <c r="AE74" s="576"/>
      <c r="AF74" s="576"/>
      <c r="AG74" s="576"/>
      <c r="AH74" s="576"/>
      <c r="AI74" s="1651">
        <v>11</v>
      </c>
    </row>
    <row s="1651" customFormat="1" customHeight="1" ht="11.549999999999999">
      <c r="A75" s="997"/>
      <c r="B75" s="1646"/>
      <c r="C75" s="1646"/>
      <c r="D75" s="361"/>
      <c r="J75" s="1651"/>
      <c r="K75" s="1651"/>
      <c r="L75" s="1651"/>
      <c r="N75" s="1170"/>
      <c r="O75" s="1646"/>
      <c r="P75" s="1646"/>
      <c r="Q75" s="1170"/>
      <c r="R75" s="1170"/>
      <c r="S75" s="1170"/>
      <c r="T75" s="1170"/>
      <c r="U75" s="1646"/>
      <c r="V75" s="1170"/>
      <c r="W75" s="1170"/>
      <c r="X75" s="554"/>
      <c r="Y75" s="1170"/>
      <c r="Z75" s="1170"/>
      <c r="AA75" s="1170"/>
      <c r="AB75" s="1170"/>
      <c r="AC75" s="1170"/>
      <c r="AD75" s="1642"/>
      <c r="AE75" s="576"/>
      <c r="AF75" s="576"/>
      <c r="AG75" s="576"/>
      <c r="AH75" s="576"/>
      <c r="AI75" s="1651">
        <v>11</v>
      </c>
    </row>
    <row s="1651" customFormat="1" customHeight="1" ht="11.549999999999999">
      <c r="A76" s="997"/>
      <c r="B76" s="1646"/>
      <c r="C76" s="1646"/>
      <c r="D76" s="361"/>
      <c r="J76" s="1651"/>
      <c r="K76" s="1651"/>
      <c r="L76" s="1651"/>
      <c r="N76" s="1170"/>
      <c r="O76" s="1646"/>
      <c r="P76" s="1646"/>
      <c r="Q76" s="1170"/>
      <c r="R76" s="1170"/>
      <c r="S76" s="1170"/>
      <c r="T76" s="1170"/>
      <c r="U76" s="1646"/>
      <c r="V76" s="1170"/>
      <c r="W76" s="1170"/>
      <c r="X76" s="554"/>
      <c r="Y76" s="1170"/>
      <c r="Z76" s="1170"/>
      <c r="AA76" s="1170"/>
      <c r="AB76" s="1170"/>
      <c r="AC76" s="1170"/>
      <c r="AD76" s="1642"/>
      <c r="AE76" s="576"/>
      <c r="AF76" s="576"/>
      <c r="AG76" s="576"/>
      <c r="AH76" s="576"/>
      <c r="AI76" s="1651">
        <v>11</v>
      </c>
    </row>
    <row s="1651" customFormat="1" customHeight="1" ht="11.549999999999999">
      <c r="A77" s="997"/>
      <c r="B77" s="1646"/>
      <c r="C77" s="1646"/>
      <c r="D77" s="361"/>
      <c r="J77" s="1651"/>
      <c r="K77" s="1651"/>
      <c r="L77" s="1651"/>
      <c r="N77" s="1170"/>
      <c r="O77" s="1646"/>
      <c r="P77" s="1646"/>
      <c r="Q77" s="1170"/>
      <c r="R77" s="1170"/>
      <c r="S77" s="1170"/>
      <c r="T77" s="1170"/>
      <c r="U77" s="1646"/>
      <c r="V77" s="1170"/>
      <c r="W77" s="1170"/>
      <c r="X77" s="554"/>
      <c r="Y77" s="1170"/>
      <c r="Z77" s="1170"/>
      <c r="AA77" s="1170"/>
      <c r="AB77" s="1170"/>
      <c r="AC77" s="1170"/>
      <c r="AD77" s="1642"/>
      <c r="AE77" s="576"/>
      <c r="AF77" s="576"/>
      <c r="AG77" s="576"/>
      <c r="AH77" s="576"/>
      <c r="AI77" s="1651">
        <v>11</v>
      </c>
    </row>
    <row s="1651" customFormat="1" customHeight="1" ht="11.549999999999999">
      <c r="A78" s="997"/>
      <c r="B78" s="1646"/>
      <c r="C78" s="1646"/>
      <c r="D78" s="361"/>
      <c r="J78" s="1651"/>
      <c r="K78" s="1651"/>
      <c r="L78" s="1651"/>
      <c r="N78" s="1170"/>
      <c r="O78" s="1646"/>
      <c r="P78" s="1646"/>
      <c r="Q78" s="1170"/>
      <c r="R78" s="1170"/>
      <c r="S78" s="1170"/>
      <c r="T78" s="1170"/>
      <c r="U78" s="1646"/>
      <c r="V78" s="1170"/>
      <c r="W78" s="1170"/>
      <c r="X78" s="554"/>
      <c r="Y78" s="1170"/>
      <c r="Z78" s="1170"/>
      <c r="AA78" s="1170"/>
      <c r="AB78" s="1170"/>
      <c r="AC78" s="1170"/>
      <c r="AD78" s="1642"/>
      <c r="AE78" s="576"/>
      <c r="AF78" s="576"/>
      <c r="AG78" s="576"/>
      <c r="AH78" s="576"/>
      <c r="AI78" s="1651">
        <v>11</v>
      </c>
    </row>
    <row s="1651" customFormat="1" customHeight="1" ht="11.549999999999999">
      <c r="A79" s="997"/>
      <c r="B79" s="1646"/>
      <c r="C79" s="1646"/>
      <c r="D79" s="361"/>
      <c r="J79" s="1651"/>
      <c r="K79" s="1651"/>
      <c r="L79" s="1651"/>
      <c r="N79" s="1170"/>
      <c r="O79" s="1646"/>
      <c r="P79" s="1646"/>
      <c r="Q79" s="1170"/>
      <c r="R79" s="1170"/>
      <c r="S79" s="1170"/>
      <c r="T79" s="1170"/>
      <c r="U79" s="1646"/>
      <c r="V79" s="1170"/>
      <c r="W79" s="1170"/>
      <c r="X79" s="554"/>
      <c r="Y79" s="1170"/>
      <c r="Z79" s="1170"/>
      <c r="AA79" s="1170"/>
      <c r="AB79" s="1170"/>
      <c r="AC79" s="1170"/>
      <c r="AD79" s="1642"/>
      <c r="AE79" s="576"/>
      <c r="AF79" s="576"/>
      <c r="AG79" s="576"/>
      <c r="AH79" s="576"/>
      <c r="AI79" s="1651">
        <v>11</v>
      </c>
    </row>
    <row s="1651" customFormat="1" customHeight="1" ht="11.549999999999999">
      <c r="A80" s="997"/>
      <c r="B80" s="1646"/>
      <c r="C80" s="1646"/>
      <c r="D80" s="361"/>
      <c r="J80" s="1651"/>
      <c r="K80" s="1651"/>
      <c r="L80" s="1651"/>
      <c r="N80" s="1170"/>
      <c r="O80" s="1646"/>
      <c r="P80" s="1646"/>
      <c r="Q80" s="1170"/>
      <c r="R80" s="1170"/>
      <c r="S80" s="1170"/>
      <c r="T80" s="1170"/>
      <c r="U80" s="1646"/>
      <c r="V80" s="1170"/>
      <c r="W80" s="1170"/>
      <c r="X80" s="554"/>
      <c r="Y80" s="1170"/>
      <c r="Z80" s="1170"/>
      <c r="AA80" s="1170"/>
      <c r="AB80" s="1170"/>
      <c r="AC80" s="1170"/>
      <c r="AD80" s="1642"/>
      <c r="AE80" s="576"/>
      <c r="AF80" s="576"/>
      <c r="AG80" s="576"/>
      <c r="AH80" s="576"/>
      <c r="AI80" s="1651">
        <v>11</v>
      </c>
    </row>
    <row s="1651" customFormat="1" customHeight="1" ht="11.549999999999999">
      <c r="A81" s="997"/>
      <c r="B81" s="1646"/>
      <c r="C81" s="1646"/>
      <c r="D81" s="361"/>
      <c r="J81" s="1651"/>
      <c r="K81" s="1651"/>
      <c r="L81" s="1651"/>
      <c r="N81" s="1170"/>
      <c r="O81" s="1646"/>
      <c r="P81" s="1646"/>
      <c r="Q81" s="1170"/>
      <c r="R81" s="1170"/>
      <c r="S81" s="1170"/>
      <c r="T81" s="1170"/>
      <c r="U81" s="1646"/>
      <c r="V81" s="1170"/>
      <c r="W81" s="1170"/>
      <c r="X81" s="554"/>
      <c r="Y81" s="1170"/>
      <c r="Z81" s="1170"/>
      <c r="AA81" s="1170"/>
      <c r="AB81" s="1170"/>
      <c r="AC81" s="1170"/>
      <c r="AD81" s="1642"/>
      <c r="AE81" s="576"/>
      <c r="AF81" s="576"/>
      <c r="AG81" s="576"/>
      <c r="AH81" s="576"/>
      <c r="AI81" s="1651">
        <v>11</v>
      </c>
    </row>
    <row s="1651" customFormat="1" customHeight="1" ht="11.549999999999999">
      <c r="A82" s="997"/>
      <c r="B82" s="1646"/>
      <c r="C82" s="1646"/>
      <c r="D82" s="361"/>
      <c r="J82" s="1651"/>
      <c r="K82" s="1651"/>
      <c r="L82" s="1651"/>
      <c r="N82" s="1170"/>
      <c r="O82" s="1646"/>
      <c r="P82" s="1646"/>
      <c r="Q82" s="1170"/>
      <c r="R82" s="1170"/>
      <c r="S82" s="1170"/>
      <c r="T82" s="1170"/>
      <c r="U82" s="1646"/>
      <c r="V82" s="1170"/>
      <c r="W82" s="1170"/>
      <c r="X82" s="554"/>
      <c r="Y82" s="1170"/>
      <c r="Z82" s="1170"/>
      <c r="AA82" s="1170"/>
      <c r="AB82" s="1170"/>
      <c r="AC82" s="1170"/>
      <c r="AD82" s="1642"/>
      <c r="AE82" s="576"/>
      <c r="AF82" s="576"/>
      <c r="AG82" s="576"/>
      <c r="AH82" s="576"/>
      <c r="AI82" s="1651">
        <v>11</v>
      </c>
    </row>
    <row s="1651" customFormat="1" customHeight="1" ht="11.549999999999999">
      <c r="A83" s="997"/>
      <c r="B83" s="1646"/>
      <c r="C83" s="1646"/>
      <c r="D83" s="361"/>
      <c r="J83" s="1651"/>
      <c r="K83" s="1651"/>
      <c r="L83" s="1651"/>
      <c r="N83" s="1170"/>
      <c r="O83" s="1646"/>
      <c r="P83" s="1646"/>
      <c r="Q83" s="1170"/>
      <c r="R83" s="1170"/>
      <c r="S83" s="1170"/>
      <c r="T83" s="1170"/>
      <c r="U83" s="1646"/>
      <c r="V83" s="1170"/>
      <c r="W83" s="1170"/>
      <c r="X83" s="554"/>
      <c r="Y83" s="1170"/>
      <c r="Z83" s="1170"/>
      <c r="AA83" s="1170"/>
      <c r="AB83" s="1170"/>
      <c r="AC83" s="1170"/>
      <c r="AD83" s="1642"/>
      <c r="AE83" s="576"/>
      <c r="AF83" s="576"/>
      <c r="AG83" s="576"/>
      <c r="AH83" s="576"/>
      <c r="AI83" s="1651">
        <v>11</v>
      </c>
    </row>
    <row s="1651" customFormat="1" customHeight="1" ht="11.549999999999999">
      <c r="A84" s="997"/>
      <c r="B84" s="1646"/>
      <c r="C84" s="1646"/>
      <c r="D84" s="361"/>
      <c r="J84" s="1651"/>
      <c r="K84" s="1651"/>
      <c r="L84" s="1651"/>
      <c r="N84" s="1170"/>
      <c r="O84" s="1646"/>
      <c r="P84" s="1646"/>
      <c r="Q84" s="1170"/>
      <c r="R84" s="1170"/>
      <c r="S84" s="1170"/>
      <c r="T84" s="1170"/>
      <c r="U84" s="1646"/>
      <c r="V84" s="1170"/>
      <c r="W84" s="1170"/>
      <c r="X84" s="554"/>
      <c r="Y84" s="1170"/>
      <c r="Z84" s="1170"/>
      <c r="AA84" s="1170"/>
      <c r="AB84" s="1170"/>
      <c r="AC84" s="1170"/>
      <c r="AD84" s="1642"/>
      <c r="AE84" s="576"/>
      <c r="AF84" s="576"/>
      <c r="AG84" s="576"/>
      <c r="AH84" s="576"/>
      <c r="AI84" s="1651">
        <v>11</v>
      </c>
    </row>
    <row s="1651" customFormat="1" customHeight="1" ht="11.549999999999999">
      <c r="A85" s="997"/>
      <c r="B85" s="1646"/>
      <c r="C85" s="1646"/>
      <c r="D85" s="361"/>
      <c r="J85" s="1651"/>
      <c r="K85" s="1651"/>
      <c r="L85" s="1651"/>
      <c r="N85" s="1170"/>
      <c r="O85" s="1646"/>
      <c r="P85" s="1646"/>
      <c r="Q85" s="1170"/>
      <c r="R85" s="1170"/>
      <c r="S85" s="1170"/>
      <c r="T85" s="1170"/>
      <c r="U85" s="1646"/>
      <c r="V85" s="1170"/>
      <c r="W85" s="1170"/>
      <c r="X85" s="554"/>
      <c r="Y85" s="1170"/>
      <c r="Z85" s="1170"/>
      <c r="AA85" s="1170"/>
      <c r="AB85" s="1170"/>
      <c r="AC85" s="1170"/>
      <c r="AD85" s="1642"/>
      <c r="AE85" s="576"/>
      <c r="AF85" s="576"/>
      <c r="AG85" s="576"/>
      <c r="AH85" s="576"/>
      <c r="AI85" s="1651">
        <v>11</v>
      </c>
    </row>
    <row s="1651" customFormat="1" customHeight="1" ht="11.549999999999999">
      <c r="A86" s="997"/>
      <c r="B86" s="1646"/>
      <c r="C86" s="1646"/>
      <c r="D86" s="361"/>
      <c r="J86" s="1651"/>
      <c r="K86" s="1651"/>
      <c r="L86" s="1651"/>
      <c r="N86" s="1170"/>
      <c r="O86" s="1646"/>
      <c r="P86" s="1646"/>
      <c r="Q86" s="1170"/>
      <c r="R86" s="1170"/>
      <c r="S86" s="1170"/>
      <c r="T86" s="1170"/>
      <c r="U86" s="1646"/>
      <c r="V86" s="1170"/>
      <c r="W86" s="1170"/>
      <c r="X86" s="554"/>
      <c r="Y86" s="1170"/>
      <c r="Z86" s="1170"/>
      <c r="AA86" s="1170"/>
      <c r="AB86" s="1170"/>
      <c r="AC86" s="1170"/>
      <c r="AD86" s="1642"/>
      <c r="AE86" s="576"/>
      <c r="AF86" s="576"/>
      <c r="AG86" s="576"/>
      <c r="AH86" s="576"/>
      <c r="AI86" s="1651">
        <v>11</v>
      </c>
    </row>
    <row s="1651" customFormat="1" customHeight="1" ht="11.549999999999999">
      <c r="A87" s="997"/>
      <c r="B87" s="1646"/>
      <c r="C87" s="1646"/>
      <c r="D87" s="361"/>
      <c r="J87" s="1651"/>
      <c r="K87" s="1651"/>
      <c r="L87" s="1651"/>
      <c r="N87" s="1170"/>
      <c r="O87" s="1646"/>
      <c r="P87" s="1646"/>
      <c r="Q87" s="1170"/>
      <c r="R87" s="1170"/>
      <c r="S87" s="1170"/>
      <c r="T87" s="1170"/>
      <c r="U87" s="1646"/>
      <c r="V87" s="1170"/>
      <c r="W87" s="1170"/>
      <c r="X87" s="554"/>
      <c r="Y87" s="1170"/>
      <c r="Z87" s="1170"/>
      <c r="AA87" s="1170"/>
      <c r="AB87" s="1170"/>
      <c r="AC87" s="1170"/>
      <c r="AD87" s="1642"/>
      <c r="AE87" s="576"/>
      <c r="AF87" s="576"/>
      <c r="AG87" s="576"/>
      <c r="AH87" s="576"/>
      <c r="AI87" s="1651">
        <v>11</v>
      </c>
    </row>
    <row s="1651" customFormat="1" customHeight="1" ht="11.549999999999999">
      <c r="A88" s="997"/>
      <c r="B88" s="1646"/>
      <c r="C88" s="1646"/>
      <c r="D88" s="361"/>
      <c r="J88" s="1651"/>
      <c r="K88" s="1651"/>
      <c r="L88" s="1651"/>
      <c r="N88" s="1170"/>
      <c r="O88" s="1646"/>
      <c r="P88" s="1646"/>
      <c r="Q88" s="1170"/>
      <c r="R88" s="1170"/>
      <c r="S88" s="1170"/>
      <c r="T88" s="1170"/>
      <c r="U88" s="1646"/>
      <c r="V88" s="1170"/>
      <c r="W88" s="1170"/>
      <c r="X88" s="554"/>
      <c r="Y88" s="1170"/>
      <c r="Z88" s="1170"/>
      <c r="AA88" s="1170"/>
      <c r="AB88" s="1170"/>
      <c r="AC88" s="1170"/>
      <c r="AD88" s="1642"/>
      <c r="AE88" s="576"/>
      <c r="AF88" s="576"/>
      <c r="AG88" s="576"/>
      <c r="AH88" s="576"/>
      <c r="AI88" s="1651">
        <v>11</v>
      </c>
    </row>
    <row s="1651" customFormat="1" customHeight="1" ht="11.549999999999999">
      <c r="A89" s="997"/>
      <c r="B89" s="1646"/>
      <c r="C89" s="1646"/>
      <c r="D89" s="361"/>
      <c r="J89" s="1651"/>
      <c r="K89" s="1651"/>
      <c r="L89" s="1651"/>
      <c r="N89" s="1170"/>
      <c r="O89" s="1646"/>
      <c r="P89" s="1646"/>
      <c r="Q89" s="1170"/>
      <c r="R89" s="1170"/>
      <c r="S89" s="1170"/>
      <c r="T89" s="1170"/>
      <c r="U89" s="1646"/>
      <c r="V89" s="1170"/>
      <c r="W89" s="1170"/>
      <c r="X89" s="554"/>
      <c r="Y89" s="1170"/>
      <c r="Z89" s="1170"/>
      <c r="AA89" s="1170"/>
      <c r="AB89" s="1170"/>
      <c r="AC89" s="1170"/>
      <c r="AD89" s="1642"/>
      <c r="AE89" s="576"/>
      <c r="AF89" s="576"/>
      <c r="AG89" s="576"/>
      <c r="AH89" s="576"/>
      <c r="AI89" s="1651">
        <v>11</v>
      </c>
    </row>
    <row s="1651" customFormat="1" customHeight="1" ht="11.549999999999999">
      <c r="A90" s="997"/>
      <c r="B90" s="1646"/>
      <c r="C90" s="1646"/>
      <c r="D90" s="361"/>
      <c r="J90" s="1651"/>
      <c r="K90" s="1651"/>
      <c r="L90" s="1651"/>
      <c r="N90" s="1170"/>
      <c r="O90" s="1646"/>
      <c r="P90" s="1646"/>
      <c r="Q90" s="1170"/>
      <c r="R90" s="1170"/>
      <c r="S90" s="1170"/>
      <c r="T90" s="1170"/>
      <c r="U90" s="1646"/>
      <c r="V90" s="1170"/>
      <c r="W90" s="1170"/>
      <c r="X90" s="554"/>
      <c r="Y90" s="1170"/>
      <c r="Z90" s="1170"/>
      <c r="AA90" s="1170"/>
      <c r="AB90" s="1170"/>
      <c r="AC90" s="1170"/>
      <c r="AD90" s="1642"/>
      <c r="AE90" s="576"/>
      <c r="AF90" s="576"/>
      <c r="AG90" s="576"/>
      <c r="AH90" s="576"/>
      <c r="AI90" s="1651">
        <v>11</v>
      </c>
    </row>
    <row s="1651" customFormat="1" customHeight="1" ht="11.549999999999999">
      <c r="A91" s="997"/>
      <c r="B91" s="1646"/>
      <c r="C91" s="1646"/>
      <c r="D91" s="361"/>
      <c r="J91" s="1651"/>
      <c r="K91" s="1651"/>
      <c r="L91" s="1651"/>
      <c r="N91" s="1170"/>
      <c r="O91" s="1646"/>
      <c r="P91" s="1646"/>
      <c r="Q91" s="1170"/>
      <c r="R91" s="1170"/>
      <c r="S91" s="1170"/>
      <c r="T91" s="1170"/>
      <c r="U91" s="1646"/>
      <c r="V91" s="1170"/>
      <c r="W91" s="1170"/>
      <c r="X91" s="554"/>
      <c r="Y91" s="1170"/>
      <c r="Z91" s="1170"/>
      <c r="AA91" s="1170"/>
      <c r="AB91" s="1170"/>
      <c r="AC91" s="1170"/>
      <c r="AD91" s="1642"/>
      <c r="AE91" s="576"/>
      <c r="AF91" s="576"/>
      <c r="AG91" s="576"/>
      <c r="AH91" s="576"/>
      <c r="AI91" s="1651">
        <v>11</v>
      </c>
    </row>
    <row s="1651" customFormat="1" customHeight="1" ht="11.549999999999999">
      <c r="A92" s="997"/>
      <c r="B92" s="1646"/>
      <c r="C92" s="1646"/>
      <c r="D92" s="361"/>
      <c r="J92" s="1651"/>
      <c r="K92" s="1651"/>
      <c r="L92" s="1651"/>
      <c r="N92" s="1170"/>
      <c r="O92" s="1646"/>
      <c r="P92" s="1646"/>
      <c r="Q92" s="1170"/>
      <c r="R92" s="1170"/>
      <c r="S92" s="1170"/>
      <c r="T92" s="1170"/>
      <c r="U92" s="1646"/>
      <c r="V92" s="1170"/>
      <c r="W92" s="1170"/>
      <c r="X92" s="554"/>
      <c r="Y92" s="1170"/>
      <c r="Z92" s="1170"/>
      <c r="AA92" s="1170"/>
      <c r="AB92" s="1170"/>
      <c r="AC92" s="1170"/>
      <c r="AD92" s="1642"/>
      <c r="AE92" s="576"/>
      <c r="AF92" s="576"/>
      <c r="AG92" s="576"/>
      <c r="AH92" s="576"/>
      <c r="AI92" s="1651">
        <v>11</v>
      </c>
    </row>
    <row s="1651" customFormat="1" customHeight="1" ht="11.549999999999999">
      <c r="A93" s="997"/>
      <c r="B93" s="1646"/>
      <c r="C93" s="1646"/>
      <c r="D93" s="361"/>
      <c r="J93" s="1651"/>
      <c r="K93" s="1651"/>
      <c r="L93" s="1651"/>
      <c r="N93" s="1170"/>
      <c r="O93" s="1646"/>
      <c r="P93" s="1646"/>
      <c r="Q93" s="1170"/>
      <c r="R93" s="1170"/>
      <c r="S93" s="1170"/>
      <c r="T93" s="1170"/>
      <c r="U93" s="1646"/>
      <c r="V93" s="1170"/>
      <c r="W93" s="1170"/>
      <c r="X93" s="554"/>
      <c r="Y93" s="1170"/>
      <c r="Z93" s="1170"/>
      <c r="AA93" s="1170"/>
      <c r="AB93" s="1170"/>
      <c r="AC93" s="1170"/>
      <c r="AD93" s="1642"/>
      <c r="AE93" s="576"/>
      <c r="AF93" s="576"/>
      <c r="AG93" s="576"/>
      <c r="AH93" s="576"/>
      <c r="AI93" s="1651">
        <v>11</v>
      </c>
    </row>
    <row s="1651" customFormat="1" customHeight="1" ht="11.549999999999999">
      <c r="A94" s="997"/>
      <c r="B94" s="1646"/>
      <c r="C94" s="1646"/>
      <c r="D94" s="361"/>
      <c r="J94" s="1651"/>
      <c r="K94" s="1651"/>
      <c r="L94" s="1651"/>
      <c r="N94" s="1170"/>
      <c r="O94" s="1646"/>
      <c r="P94" s="1646"/>
      <c r="Q94" s="1170"/>
      <c r="R94" s="1170"/>
      <c r="S94" s="1170"/>
      <c r="T94" s="1170"/>
      <c r="U94" s="1646"/>
      <c r="V94" s="1170"/>
      <c r="W94" s="1170"/>
      <c r="X94" s="554"/>
      <c r="Y94" s="1170"/>
      <c r="Z94" s="1170"/>
      <c r="AA94" s="1170"/>
      <c r="AB94" s="1170"/>
      <c r="AC94" s="1170"/>
      <c r="AD94" s="1642"/>
      <c r="AE94" s="576"/>
      <c r="AF94" s="576"/>
      <c r="AG94" s="576"/>
      <c r="AH94" s="576"/>
      <c r="AI94" s="1651">
        <v>11</v>
      </c>
    </row>
    <row s="1651" customFormat="1" customHeight="1" ht="11.549999999999999">
      <c r="A95" s="997"/>
      <c r="B95" s="1646"/>
      <c r="C95" s="1646"/>
      <c r="D95" s="361"/>
      <c r="J95" s="1651"/>
      <c r="K95" s="1651"/>
      <c r="L95" s="1651"/>
      <c r="N95" s="1170"/>
      <c r="O95" s="1646"/>
      <c r="P95" s="1646"/>
      <c r="Q95" s="1170"/>
      <c r="R95" s="1170"/>
      <c r="S95" s="1170"/>
      <c r="T95" s="1170"/>
      <c r="U95" s="1646"/>
      <c r="V95" s="1170"/>
      <c r="W95" s="1170"/>
      <c r="X95" s="554"/>
      <c r="Y95" s="1170"/>
      <c r="Z95" s="1170"/>
      <c r="AA95" s="1170"/>
      <c r="AB95" s="1170"/>
      <c r="AC95" s="1170"/>
      <c r="AD95" s="1642"/>
      <c r="AE95" s="576"/>
      <c r="AF95" s="576"/>
      <c r="AG95" s="576"/>
      <c r="AH95" s="576"/>
      <c r="AI95" s="1651">
        <v>11</v>
      </c>
    </row>
    <row s="1651" customFormat="1" customHeight="1" ht="11.549999999999999">
      <c r="A96" s="997"/>
      <c r="B96" s="1646"/>
      <c r="C96" s="1646"/>
      <c r="D96" s="361"/>
      <c r="J96" s="1651"/>
      <c r="K96" s="1651"/>
      <c r="L96" s="1651"/>
      <c r="N96" s="1170"/>
      <c r="O96" s="1646"/>
      <c r="P96" s="1646"/>
      <c r="Q96" s="1170"/>
      <c r="R96" s="1170"/>
      <c r="S96" s="1170"/>
      <c r="T96" s="1170"/>
      <c r="U96" s="1646"/>
      <c r="V96" s="1170"/>
      <c r="W96" s="1170"/>
      <c r="X96" s="554"/>
      <c r="Y96" s="1170"/>
      <c r="Z96" s="1170"/>
      <c r="AA96" s="1170"/>
      <c r="AB96" s="1170"/>
      <c r="AC96" s="1170"/>
      <c r="AD96" s="1642"/>
      <c r="AE96" s="576"/>
      <c r="AF96" s="576"/>
      <c r="AG96" s="576"/>
      <c r="AH96" s="576"/>
      <c r="AI96" s="1651">
        <v>11</v>
      </c>
    </row>
    <row s="1651" customFormat="1" customHeight="1" ht="11.549999999999999">
      <c r="A97" s="997"/>
      <c r="B97" s="1646"/>
      <c r="C97" s="1646"/>
      <c r="D97" s="361"/>
      <c r="J97" s="1651"/>
      <c r="K97" s="1651"/>
      <c r="L97" s="1651"/>
      <c r="N97" s="1170"/>
      <c r="O97" s="1646"/>
      <c r="P97" s="1646"/>
      <c r="Q97" s="1170"/>
      <c r="R97" s="1170"/>
      <c r="S97" s="1170"/>
      <c r="T97" s="1170"/>
      <c r="U97" s="1646"/>
      <c r="V97" s="1170"/>
      <c r="W97" s="1170"/>
      <c r="X97" s="554"/>
      <c r="Y97" s="1170"/>
      <c r="Z97" s="1170"/>
      <c r="AA97" s="1170"/>
      <c r="AB97" s="1170"/>
      <c r="AC97" s="1170"/>
      <c r="AD97" s="1642"/>
      <c r="AE97" s="576"/>
      <c r="AF97" s="576"/>
      <c r="AG97" s="576"/>
      <c r="AH97" s="576"/>
      <c r="AI97" s="1651">
        <v>11</v>
      </c>
    </row>
    <row s="1651" customFormat="1" customHeight="1" ht="11.549999999999999">
      <c r="A98" s="997"/>
      <c r="B98" s="1646"/>
      <c r="C98" s="1646"/>
      <c r="D98" s="361"/>
      <c r="J98" s="1651"/>
      <c r="K98" s="1651"/>
      <c r="L98" s="1651"/>
      <c r="N98" s="1170"/>
      <c r="O98" s="1646"/>
      <c r="P98" s="1646"/>
      <c r="Q98" s="1170"/>
      <c r="R98" s="1170"/>
      <c r="S98" s="1170"/>
      <c r="T98" s="1170"/>
      <c r="U98" s="1646"/>
      <c r="V98" s="1170"/>
      <c r="W98" s="1170"/>
      <c r="X98" s="554"/>
      <c r="Y98" s="1170"/>
      <c r="Z98" s="1170"/>
      <c r="AA98" s="1170"/>
      <c r="AB98" s="1170"/>
      <c r="AC98" s="1170"/>
      <c r="AD98" s="1642"/>
      <c r="AE98" s="576"/>
      <c r="AF98" s="576"/>
      <c r="AG98" s="576"/>
      <c r="AH98" s="576"/>
      <c r="AI98" s="1651">
        <v>11</v>
      </c>
    </row>
    <row s="1651" customFormat="1" customHeight="1" ht="11.549999999999999">
      <c r="A99" s="997"/>
      <c r="B99" s="1646"/>
      <c r="C99" s="1646"/>
      <c r="D99" s="361"/>
      <c r="J99" s="1651"/>
      <c r="K99" s="1651"/>
      <c r="L99" s="1651"/>
      <c r="N99" s="1170"/>
      <c r="O99" s="1646"/>
      <c r="P99" s="1646"/>
      <c r="Q99" s="1170"/>
      <c r="R99" s="1170"/>
      <c r="S99" s="1170"/>
      <c r="T99" s="1170"/>
      <c r="U99" s="1646"/>
      <c r="V99" s="1170"/>
      <c r="W99" s="1170"/>
      <c r="X99" s="554"/>
      <c r="Y99" s="1170"/>
      <c r="Z99" s="1170"/>
      <c r="AA99" s="1170"/>
      <c r="AB99" s="1170"/>
      <c r="AC99" s="1170"/>
      <c r="AD99" s="1642"/>
      <c r="AE99" s="576"/>
      <c r="AF99" s="576"/>
      <c r="AG99" s="576"/>
      <c r="AH99" s="576"/>
      <c r="AI99" s="1651">
        <v>11</v>
      </c>
    </row>
    <row s="1651" customFormat="1" customHeight="1" ht="11.549999999999999">
      <c r="A100" s="997"/>
      <c r="B100" s="1646"/>
      <c r="C100" s="1646"/>
      <c r="D100" s="361"/>
      <c r="J100" s="1651"/>
      <c r="K100" s="1651"/>
      <c r="L100" s="1651"/>
      <c r="N100" s="1170"/>
      <c r="O100" s="1646"/>
      <c r="P100" s="1646"/>
      <c r="Q100" s="1170"/>
      <c r="R100" s="1170"/>
      <c r="S100" s="1170"/>
      <c r="T100" s="1170"/>
      <c r="U100" s="1646"/>
      <c r="V100" s="1170"/>
      <c r="W100" s="1170"/>
      <c r="X100" s="554"/>
      <c r="Y100" s="1170"/>
      <c r="Z100" s="1170"/>
      <c r="AA100" s="1170"/>
      <c r="AB100" s="1170"/>
      <c r="AC100" s="1170"/>
      <c r="AD100" s="1642"/>
      <c r="AE100" s="576"/>
      <c r="AF100" s="576"/>
      <c r="AG100" s="576"/>
      <c r="AH100" s="576"/>
      <c r="AI100" s="1651">
        <v>11</v>
      </c>
    </row>
    <row s="1651" customFormat="1" customHeight="1" ht="11.549999999999999">
      <c r="A101" s="997"/>
      <c r="B101" s="1646"/>
      <c r="C101" s="1646"/>
      <c r="D101" s="361"/>
      <c r="J101" s="1651"/>
      <c r="K101" s="1651"/>
      <c r="L101" s="1651"/>
      <c r="N101" s="1170"/>
      <c r="O101" s="1646"/>
      <c r="P101" s="1646"/>
      <c r="Q101" s="1170"/>
      <c r="R101" s="1170"/>
      <c r="S101" s="1170"/>
      <c r="T101" s="1170"/>
      <c r="U101" s="1646"/>
      <c r="V101" s="1170"/>
      <c r="W101" s="1170"/>
      <c r="X101" s="554"/>
      <c r="Y101" s="1170"/>
      <c r="Z101" s="1170"/>
      <c r="AA101" s="1170"/>
      <c r="AB101" s="1170"/>
      <c r="AC101" s="1170"/>
      <c r="AD101" s="1642"/>
      <c r="AE101" s="576"/>
      <c r="AF101" s="576"/>
      <c r="AG101" s="576"/>
      <c r="AH101" s="576"/>
      <c r="AI101" s="1651">
        <v>11</v>
      </c>
    </row>
    <row s="1651" customFormat="1" customHeight="1" ht="11.549999999999999">
      <c r="A102" s="997"/>
      <c r="B102" s="1646"/>
      <c r="C102" s="1646"/>
      <c r="D102" s="361"/>
      <c r="J102" s="1651"/>
      <c r="K102" s="1651"/>
      <c r="L102" s="1651"/>
      <c r="N102" s="1170"/>
      <c r="O102" s="1646"/>
      <c r="P102" s="1646"/>
      <c r="Q102" s="1170"/>
      <c r="R102" s="1170"/>
      <c r="S102" s="1170"/>
      <c r="T102" s="1170"/>
      <c r="U102" s="1646"/>
      <c r="V102" s="1170"/>
      <c r="W102" s="1170"/>
      <c r="X102" s="554"/>
      <c r="Y102" s="1170"/>
      <c r="Z102" s="1170"/>
      <c r="AA102" s="1170"/>
      <c r="AB102" s="1170"/>
      <c r="AC102" s="1170"/>
      <c r="AD102" s="1642"/>
      <c r="AE102" s="576"/>
      <c r="AF102" s="576"/>
      <c r="AG102" s="576"/>
      <c r="AH102" s="576"/>
      <c r="AI102" s="1651">
        <v>11</v>
      </c>
    </row>
    <row s="1651" customFormat="1" customHeight="1" ht="11.549999999999999">
      <c r="A103" s="997"/>
      <c r="B103" s="1646"/>
      <c r="C103" s="1646"/>
      <c r="D103" s="361"/>
      <c r="J103" s="1651"/>
      <c r="K103" s="1651"/>
      <c r="L103" s="1651"/>
      <c r="N103" s="1170"/>
      <c r="O103" s="1646"/>
      <c r="P103" s="1646"/>
      <c r="Q103" s="1170"/>
      <c r="R103" s="1170"/>
      <c r="S103" s="1170"/>
      <c r="T103" s="1170"/>
      <c r="U103" s="1646"/>
      <c r="V103" s="1170"/>
      <c r="W103" s="1170"/>
      <c r="X103" s="554"/>
      <c r="Y103" s="1170"/>
      <c r="Z103" s="1170"/>
      <c r="AA103" s="1170"/>
      <c r="AB103" s="1170"/>
      <c r="AC103" s="1170"/>
      <c r="AD103" s="1642"/>
      <c r="AE103" s="576"/>
      <c r="AF103" s="576"/>
      <c r="AG103" s="576"/>
      <c r="AH103" s="576"/>
      <c r="AI103" s="1651">
        <v>11</v>
      </c>
    </row>
    <row s="1651" customFormat="1" customHeight="1" ht="11.549999999999999">
      <c r="A104" s="997"/>
      <c r="B104" s="1646"/>
      <c r="C104" s="1646"/>
      <c r="D104" s="361"/>
      <c r="J104" s="1651"/>
      <c r="K104" s="1651"/>
      <c r="L104" s="1651"/>
      <c r="N104" s="1170"/>
      <c r="O104" s="1646"/>
      <c r="P104" s="1646"/>
      <c r="Q104" s="1170"/>
      <c r="R104" s="1170"/>
      <c r="S104" s="1170"/>
      <c r="T104" s="1170"/>
      <c r="U104" s="1646"/>
      <c r="V104" s="1170"/>
      <c r="W104" s="1170"/>
      <c r="X104" s="554"/>
      <c r="Y104" s="1170"/>
      <c r="Z104" s="1170"/>
      <c r="AA104" s="1170"/>
      <c r="AB104" s="1170"/>
      <c r="AC104" s="1170"/>
      <c r="AD104" s="1642"/>
      <c r="AE104" s="576"/>
      <c r="AF104" s="576"/>
      <c r="AG104" s="576"/>
      <c r="AH104" s="576"/>
      <c r="AI104" s="1651">
        <v>11</v>
      </c>
    </row>
    <row s="1651" customFormat="1" customHeight="1" ht="11.549999999999999">
      <c r="A105" s="997"/>
      <c r="B105" s="1646"/>
      <c r="C105" s="1646"/>
      <c r="D105" s="361"/>
      <c r="J105" s="1651"/>
      <c r="K105" s="1651"/>
      <c r="L105" s="1651"/>
      <c r="N105" s="1170"/>
      <c r="O105" s="1646"/>
      <c r="P105" s="1646"/>
      <c r="Q105" s="1170"/>
      <c r="R105" s="1170"/>
      <c r="S105" s="1170"/>
      <c r="T105" s="1170"/>
      <c r="U105" s="1646"/>
      <c r="V105" s="1170"/>
      <c r="W105" s="1170"/>
      <c r="X105" s="554"/>
      <c r="Y105" s="1170"/>
      <c r="Z105" s="1170"/>
      <c r="AA105" s="1170"/>
      <c r="AB105" s="1170"/>
      <c r="AC105" s="1170"/>
      <c r="AD105" s="1642"/>
      <c r="AE105" s="576"/>
      <c r="AF105" s="576"/>
      <c r="AG105" s="576"/>
      <c r="AH105" s="576"/>
      <c r="AI105" s="1651">
        <v>11</v>
      </c>
    </row>
    <row s="1651" customFormat="1" customHeight="1" ht="11.549999999999999">
      <c r="A106" s="997"/>
      <c r="B106" s="1646"/>
      <c r="C106" s="1646"/>
      <c r="D106" s="361"/>
      <c r="J106" s="1651"/>
      <c r="K106" s="1651"/>
      <c r="L106" s="1651"/>
      <c r="N106" s="1170"/>
      <c r="O106" s="1646"/>
      <c r="P106" s="1646"/>
      <c r="Q106" s="1170"/>
      <c r="R106" s="1170"/>
      <c r="S106" s="1170"/>
      <c r="T106" s="1170"/>
      <c r="U106" s="1646"/>
      <c r="V106" s="1170"/>
      <c r="W106" s="1170"/>
      <c r="X106" s="554"/>
      <c r="Y106" s="1170"/>
      <c r="Z106" s="1170"/>
      <c r="AA106" s="1170"/>
      <c r="AB106" s="1170"/>
      <c r="AC106" s="1170"/>
      <c r="AD106" s="1642"/>
      <c r="AE106" s="576"/>
      <c r="AF106" s="576"/>
      <c r="AG106" s="576"/>
      <c r="AH106" s="576"/>
      <c r="AI106" s="1651">
        <v>11</v>
      </c>
    </row>
    <row s="1651" customFormat="1" customHeight="1" ht="11.549999999999999">
      <c r="A107" s="997"/>
      <c r="B107" s="1646"/>
      <c r="C107" s="1646"/>
      <c r="D107" s="361"/>
      <c r="J107" s="1651"/>
      <c r="K107" s="1651"/>
      <c r="L107" s="1651"/>
      <c r="N107" s="1170"/>
      <c r="O107" s="1646"/>
      <c r="P107" s="1646"/>
      <c r="Q107" s="1170"/>
      <c r="R107" s="1170"/>
      <c r="S107" s="1170"/>
      <c r="T107" s="1170"/>
      <c r="U107" s="1646"/>
      <c r="V107" s="1170"/>
      <c r="W107" s="1170"/>
      <c r="X107" s="554"/>
      <c r="Y107" s="1170"/>
      <c r="Z107" s="1170"/>
      <c r="AA107" s="1170"/>
      <c r="AB107" s="1170"/>
      <c r="AC107" s="1170"/>
      <c r="AD107" s="1642"/>
      <c r="AE107" s="576"/>
      <c r="AF107" s="576"/>
      <c r="AG107" s="576"/>
      <c r="AH107" s="576"/>
      <c r="AI107" s="1651">
        <v>11</v>
      </c>
    </row>
    <row s="1651" customFormat="1" customHeight="1" ht="11.549999999999999">
      <c r="A108" s="997"/>
      <c r="B108" s="1646"/>
      <c r="C108" s="1646"/>
      <c r="D108" s="361"/>
      <c r="J108" s="1651"/>
      <c r="K108" s="1651"/>
      <c r="L108" s="1651"/>
      <c r="N108" s="1170"/>
      <c r="O108" s="1646"/>
      <c r="P108" s="1646"/>
      <c r="Q108" s="1170"/>
      <c r="R108" s="1170"/>
      <c r="S108" s="1170"/>
      <c r="T108" s="1170"/>
      <c r="U108" s="1646"/>
      <c r="V108" s="1170"/>
      <c r="W108" s="1170"/>
      <c r="X108" s="554"/>
      <c r="Y108" s="1170"/>
      <c r="Z108" s="1170"/>
      <c r="AA108" s="1170"/>
      <c r="AB108" s="1170"/>
      <c r="AC108" s="1170"/>
      <c r="AD108" s="1642"/>
      <c r="AE108" s="576"/>
      <c r="AF108" s="576"/>
      <c r="AG108" s="576"/>
      <c r="AH108" s="576"/>
      <c r="AI108" s="1651">
        <v>11</v>
      </c>
    </row>
    <row s="1651" customFormat="1" customHeight="1" ht="11.549999999999999">
      <c r="A109" s="997"/>
      <c r="B109" s="1646"/>
      <c r="C109" s="1646"/>
      <c r="D109" s="361"/>
      <c r="J109" s="1651"/>
      <c r="K109" s="1651"/>
      <c r="L109" s="1651"/>
      <c r="N109" s="1170"/>
      <c r="O109" s="1646"/>
      <c r="P109" s="1646"/>
      <c r="Q109" s="1170"/>
      <c r="R109" s="1170"/>
      <c r="S109" s="1170"/>
      <c r="T109" s="1170"/>
      <c r="U109" s="1646"/>
      <c r="V109" s="1170"/>
      <c r="W109" s="1170"/>
      <c r="X109" s="554"/>
      <c r="Y109" s="1170"/>
      <c r="Z109" s="1170"/>
      <c r="AA109" s="1170"/>
      <c r="AB109" s="1170"/>
      <c r="AC109" s="1170"/>
      <c r="AD109" s="1642"/>
      <c r="AE109" s="576"/>
      <c r="AF109" s="576"/>
      <c r="AG109" s="576"/>
      <c r="AH109" s="576"/>
      <c r="AI109" s="1651">
        <v>11</v>
      </c>
    </row>
    <row s="1651" customFormat="1" customHeight="1" ht="11.549999999999999">
      <c r="A110" s="997"/>
      <c r="B110" s="1646"/>
      <c r="C110" s="1646"/>
      <c r="D110" s="361"/>
      <c r="J110" s="1651"/>
      <c r="K110" s="1651"/>
      <c r="L110" s="1651"/>
      <c r="N110" s="1170"/>
      <c r="O110" s="1646"/>
      <c r="P110" s="1646"/>
      <c r="Q110" s="1170"/>
      <c r="R110" s="1170"/>
      <c r="S110" s="1170"/>
      <c r="T110" s="1170"/>
      <c r="U110" s="1646"/>
      <c r="V110" s="1170"/>
      <c r="W110" s="1170"/>
      <c r="X110" s="554"/>
      <c r="Y110" s="1170"/>
      <c r="Z110" s="1170"/>
      <c r="AA110" s="1170"/>
      <c r="AB110" s="1170"/>
      <c r="AC110" s="1170"/>
      <c r="AD110" s="1642"/>
      <c r="AE110" s="576"/>
      <c r="AF110" s="576"/>
      <c r="AG110" s="576"/>
      <c r="AH110" s="576"/>
      <c r="AI110" s="1651">
        <v>11</v>
      </c>
    </row>
    <row s="1651" customFormat="1" customHeight="1" ht="11.549999999999999">
      <c r="A111" s="997"/>
      <c r="B111" s="1646"/>
      <c r="C111" s="1646"/>
      <c r="D111" s="361"/>
      <c r="J111" s="1651"/>
      <c r="K111" s="1651"/>
      <c r="L111" s="1651"/>
      <c r="N111" s="1170"/>
      <c r="O111" s="1646"/>
      <c r="P111" s="1646"/>
      <c r="Q111" s="1170"/>
      <c r="R111" s="1170"/>
      <c r="S111" s="1170"/>
      <c r="T111" s="1170"/>
      <c r="U111" s="1646"/>
      <c r="V111" s="1170"/>
      <c r="W111" s="1170"/>
      <c r="X111" s="554"/>
      <c r="Y111" s="1170"/>
      <c r="Z111" s="1170"/>
      <c r="AA111" s="1170"/>
      <c r="AB111" s="1170"/>
      <c r="AC111" s="1170"/>
      <c r="AD111" s="1642"/>
      <c r="AE111" s="576"/>
      <c r="AF111" s="576"/>
      <c r="AG111" s="576"/>
      <c r="AH111" s="576"/>
      <c r="AI111" s="1651">
        <v>11</v>
      </c>
    </row>
    <row s="1651" customFormat="1" customHeight="1" ht="11.549999999999999">
      <c r="A112" s="997"/>
      <c r="B112" s="1646"/>
      <c r="C112" s="1646"/>
      <c r="D112" s="361"/>
      <c r="J112" s="1651"/>
      <c r="K112" s="1651"/>
      <c r="L112" s="1651"/>
      <c r="N112" s="1170"/>
      <c r="O112" s="1646"/>
      <c r="P112" s="1646"/>
      <c r="Q112" s="1170"/>
      <c r="R112" s="1170"/>
      <c r="S112" s="1170"/>
      <c r="T112" s="1170"/>
      <c r="U112" s="1646"/>
      <c r="V112" s="1170"/>
      <c r="W112" s="1170"/>
      <c r="X112" s="554"/>
      <c r="Y112" s="1170"/>
      <c r="Z112" s="1170"/>
      <c r="AA112" s="1170"/>
      <c r="AB112" s="1170"/>
      <c r="AC112" s="1170"/>
      <c r="AD112" s="1642"/>
      <c r="AE112" s="576"/>
      <c r="AF112" s="576"/>
      <c r="AG112" s="576"/>
      <c r="AH112" s="576"/>
      <c r="AI112" s="1651">
        <v>11</v>
      </c>
    </row>
    <row s="1651" customFormat="1" customHeight="1" ht="11.549999999999999">
      <c r="A113" s="997"/>
      <c r="B113" s="1646"/>
      <c r="C113" s="1646"/>
      <c r="D113" s="361"/>
      <c r="J113" s="1651"/>
      <c r="K113" s="1651"/>
      <c r="L113" s="1651"/>
      <c r="N113" s="1170"/>
      <c r="O113" s="1646"/>
      <c r="P113" s="1646"/>
      <c r="Q113" s="1170"/>
      <c r="R113" s="1170"/>
      <c r="S113" s="1170"/>
      <c r="T113" s="1170"/>
      <c r="U113" s="1646"/>
      <c r="V113" s="1170"/>
      <c r="W113" s="1170"/>
      <c r="X113" s="554"/>
      <c r="Y113" s="1170"/>
      <c r="Z113" s="1170"/>
      <c r="AA113" s="1170"/>
      <c r="AB113" s="1170"/>
      <c r="AC113" s="1170"/>
      <c r="AD113" s="1642"/>
      <c r="AE113" s="576"/>
      <c r="AF113" s="576"/>
      <c r="AG113" s="576"/>
      <c r="AH113" s="576"/>
      <c r="AI113" s="1651">
        <v>11</v>
      </c>
    </row>
    <row s="1651" customFormat="1" customHeight="1" ht="11.549999999999999">
      <c r="A114" s="997"/>
      <c r="B114" s="1646"/>
      <c r="C114" s="1646"/>
      <c r="D114" s="361"/>
      <c r="J114" s="1651"/>
      <c r="K114" s="1651"/>
      <c r="L114" s="1651"/>
      <c r="N114" s="1170"/>
      <c r="O114" s="1646"/>
      <c r="P114" s="1646"/>
      <c r="Q114" s="1170"/>
      <c r="R114" s="1170"/>
      <c r="S114" s="1170"/>
      <c r="T114" s="1170"/>
      <c r="U114" s="1646"/>
      <c r="V114" s="1170"/>
      <c r="W114" s="1170"/>
      <c r="X114" s="554"/>
      <c r="Y114" s="1170"/>
      <c r="Z114" s="1170"/>
      <c r="AA114" s="1170"/>
      <c r="AB114" s="1170"/>
      <c r="AC114" s="1170"/>
      <c r="AD114" s="1642"/>
      <c r="AE114" s="576"/>
      <c r="AF114" s="576"/>
      <c r="AG114" s="576"/>
      <c r="AH114" s="576"/>
      <c r="AI114" s="1651">
        <v>11</v>
      </c>
    </row>
    <row s="1651" customFormat="1" customHeight="1" ht="11.549999999999999">
      <c r="A115" s="997"/>
      <c r="B115" s="1646"/>
      <c r="C115" s="1646"/>
      <c r="D115" s="361"/>
      <c r="J115" s="1651"/>
      <c r="K115" s="1651"/>
      <c r="L115" s="1651"/>
      <c r="N115" s="1170"/>
      <c r="O115" s="1646"/>
      <c r="P115" s="1646"/>
      <c r="Q115" s="1170"/>
      <c r="R115" s="1170"/>
      <c r="S115" s="1170"/>
      <c r="T115" s="1170"/>
      <c r="U115" s="1646"/>
      <c r="V115" s="1170"/>
      <c r="W115" s="1170"/>
      <c r="X115" s="554"/>
      <c r="Y115" s="1170"/>
      <c r="Z115" s="1170"/>
      <c r="AA115" s="1170"/>
      <c r="AB115" s="1170"/>
      <c r="AC115" s="1170"/>
      <c r="AD115" s="1642"/>
      <c r="AE115" s="576"/>
      <c r="AF115" s="576"/>
      <c r="AG115" s="576"/>
      <c r="AH115" s="576"/>
      <c r="AI115" s="1651">
        <v>11</v>
      </c>
    </row>
    <row s="1651" customFormat="1" customHeight="1" ht="11.549999999999999">
      <c r="A116" s="997"/>
      <c r="B116" s="1646"/>
      <c r="C116" s="1646"/>
      <c r="D116" s="361"/>
      <c r="J116" s="1651"/>
      <c r="K116" s="1651"/>
      <c r="L116" s="1651"/>
      <c r="N116" s="1170"/>
      <c r="O116" s="1646"/>
      <c r="P116" s="1646"/>
      <c r="Q116" s="1170"/>
      <c r="R116" s="1170"/>
      <c r="S116" s="1170"/>
      <c r="T116" s="1170"/>
      <c r="U116" s="1646"/>
      <c r="V116" s="1170"/>
      <c r="W116" s="1170"/>
      <c r="X116" s="554"/>
      <c r="Y116" s="1170"/>
      <c r="Z116" s="1170"/>
      <c r="AA116" s="1170"/>
      <c r="AB116" s="1170"/>
      <c r="AC116" s="1170"/>
      <c r="AD116" s="1642"/>
      <c r="AE116" s="576"/>
      <c r="AF116" s="576"/>
      <c r="AG116" s="576"/>
      <c r="AH116" s="576"/>
      <c r="AI116" s="1651">
        <v>11</v>
      </c>
    </row>
    <row s="1651" customFormat="1" customHeight="1" ht="11.549999999999999">
      <c r="A117" s="997"/>
      <c r="B117" s="1646"/>
      <c r="C117" s="1646"/>
      <c r="D117" s="361"/>
      <c r="J117" s="1651"/>
      <c r="K117" s="1651"/>
      <c r="L117" s="1651"/>
      <c r="N117" s="1170"/>
      <c r="O117" s="1646"/>
      <c r="P117" s="1646"/>
      <c r="Q117" s="1170"/>
      <c r="R117" s="1170"/>
      <c r="S117" s="1170"/>
      <c r="T117" s="1170"/>
      <c r="U117" s="1646"/>
      <c r="V117" s="1170"/>
      <c r="W117" s="1170"/>
      <c r="X117" s="554"/>
      <c r="Y117" s="1170"/>
      <c r="Z117" s="1170"/>
      <c r="AA117" s="1170"/>
      <c r="AB117" s="1170"/>
      <c r="AC117" s="1170"/>
      <c r="AD117" s="1642"/>
      <c r="AE117" s="576"/>
      <c r="AF117" s="576"/>
      <c r="AG117" s="576"/>
      <c r="AH117" s="576"/>
      <c r="AI117" s="1651">
        <v>11</v>
      </c>
    </row>
    <row s="1651" customFormat="1" customHeight="1" ht="11.549999999999999">
      <c r="A118" s="997"/>
      <c r="B118" s="1646"/>
      <c r="C118" s="1646"/>
      <c r="D118" s="361"/>
      <c r="J118" s="1651"/>
      <c r="K118" s="1651"/>
      <c r="L118" s="1651"/>
      <c r="N118" s="1170"/>
      <c r="O118" s="1646"/>
      <c r="P118" s="1646"/>
      <c r="Q118" s="1170"/>
      <c r="R118" s="1170"/>
      <c r="S118" s="1170"/>
      <c r="T118" s="1170"/>
      <c r="U118" s="1646"/>
      <c r="V118" s="1170"/>
      <c r="W118" s="1170"/>
      <c r="X118" s="554"/>
      <c r="Y118" s="1170"/>
      <c r="Z118" s="1170"/>
      <c r="AA118" s="1170"/>
      <c r="AB118" s="1170"/>
      <c r="AC118" s="1170"/>
      <c r="AD118" s="1642"/>
      <c r="AE118" s="576"/>
      <c r="AF118" s="576"/>
      <c r="AG118" s="576"/>
      <c r="AH118" s="576"/>
      <c r="AI118" s="1651">
        <v>11</v>
      </c>
    </row>
    <row s="1651" customFormat="1" customHeight="1" ht="11.549999999999999">
      <c r="A119" s="997"/>
      <c r="B119" s="1646"/>
      <c r="C119" s="1646"/>
      <c r="D119" s="361"/>
      <c r="J119" s="1651"/>
      <c r="K119" s="1651"/>
      <c r="L119" s="1651"/>
      <c r="N119" s="1170"/>
      <c r="O119" s="1646"/>
      <c r="P119" s="1646"/>
      <c r="Q119" s="1170"/>
      <c r="R119" s="1170"/>
      <c r="S119" s="1170"/>
      <c r="T119" s="1170"/>
      <c r="U119" s="1646"/>
      <c r="V119" s="1170"/>
      <c r="W119" s="1170"/>
      <c r="X119" s="554"/>
      <c r="Y119" s="1170"/>
      <c r="Z119" s="1170"/>
      <c r="AA119" s="1170"/>
      <c r="AB119" s="1170"/>
      <c r="AC119" s="1170"/>
      <c r="AD119" s="1642"/>
      <c r="AE119" s="576"/>
      <c r="AF119" s="576"/>
      <c r="AG119" s="576"/>
      <c r="AH119" s="576"/>
      <c r="AI119" s="1651">
        <v>11</v>
      </c>
    </row>
    <row s="1651" customFormat="1" customHeight="1" ht="11.549999999999999">
      <c r="A120" s="997"/>
      <c r="B120" s="1646"/>
      <c r="C120" s="1646"/>
      <c r="D120" s="361"/>
      <c r="J120" s="1651"/>
      <c r="K120" s="1651"/>
      <c r="L120" s="1651"/>
      <c r="N120" s="1170"/>
      <c r="O120" s="1646"/>
      <c r="P120" s="1646"/>
      <c r="Q120" s="1170"/>
      <c r="R120" s="1170"/>
      <c r="S120" s="1170"/>
      <c r="T120" s="1170"/>
      <c r="U120" s="1646"/>
      <c r="V120" s="1170"/>
      <c r="W120" s="1170"/>
      <c r="X120" s="554"/>
      <c r="Y120" s="1170"/>
      <c r="Z120" s="1170"/>
      <c r="AA120" s="1170"/>
      <c r="AB120" s="1170"/>
      <c r="AC120" s="1170"/>
      <c r="AD120" s="1642"/>
      <c r="AE120" s="576"/>
      <c r="AF120" s="576"/>
      <c r="AG120" s="576"/>
      <c r="AH120" s="576"/>
      <c r="AI120" s="1651">
        <v>11</v>
      </c>
    </row>
    <row s="1651" customFormat="1" customHeight="1" ht="11.549999999999999">
      <c r="A121" s="997"/>
      <c r="B121" s="1646"/>
      <c r="C121" s="1646"/>
      <c r="D121" s="361"/>
      <c r="J121" s="1651"/>
      <c r="K121" s="1651"/>
      <c r="L121" s="1651"/>
      <c r="N121" s="1170"/>
      <c r="O121" s="1646"/>
      <c r="P121" s="1646"/>
      <c r="Q121" s="1170"/>
      <c r="R121" s="1170"/>
      <c r="S121" s="1170"/>
      <c r="T121" s="1170"/>
      <c r="U121" s="1646"/>
      <c r="V121" s="1170"/>
      <c r="W121" s="1170"/>
      <c r="X121" s="554"/>
      <c r="Y121" s="1170"/>
      <c r="Z121" s="1170"/>
      <c r="AA121" s="1170"/>
      <c r="AB121" s="1170"/>
      <c r="AC121" s="1170"/>
      <c r="AD121" s="1642"/>
      <c r="AE121" s="576"/>
      <c r="AF121" s="576"/>
      <c r="AG121" s="576"/>
      <c r="AH121" s="576"/>
      <c r="AI121" s="1651">
        <v>11</v>
      </c>
    </row>
    <row s="1651" customFormat="1" customHeight="1" ht="11.549999999999999">
      <c r="A122" s="997"/>
      <c r="B122" s="1646"/>
      <c r="C122" s="1646"/>
      <c r="D122" s="361"/>
      <c r="J122" s="1651"/>
      <c r="K122" s="1651"/>
      <c r="L122" s="1651"/>
      <c r="N122" s="1170"/>
      <c r="O122" s="1646"/>
      <c r="P122" s="1646"/>
      <c r="Q122" s="1170"/>
      <c r="R122" s="1170"/>
      <c r="S122" s="1170"/>
      <c r="T122" s="1170"/>
      <c r="U122" s="1646"/>
      <c r="V122" s="1170"/>
      <c r="W122" s="1170"/>
      <c r="X122" s="554"/>
      <c r="Y122" s="1170"/>
      <c r="Z122" s="1170"/>
      <c r="AA122" s="1170"/>
      <c r="AB122" s="1170"/>
      <c r="AC122" s="1170"/>
      <c r="AD122" s="1642"/>
      <c r="AE122" s="576"/>
      <c r="AF122" s="576"/>
      <c r="AG122" s="576"/>
      <c r="AH122" s="576"/>
      <c r="AI122" s="1651">
        <v>11</v>
      </c>
    </row>
    <row s="1651" customFormat="1" customHeight="1" ht="11.549999999999999">
      <c r="A123" s="997"/>
      <c r="B123" s="1646"/>
      <c r="C123" s="1646"/>
      <c r="D123" s="361"/>
      <c r="J123" s="1651"/>
      <c r="K123" s="1651"/>
      <c r="L123" s="1651"/>
      <c r="N123" s="1170"/>
      <c r="O123" s="1646"/>
      <c r="P123" s="1646"/>
      <c r="Q123" s="1170"/>
      <c r="R123" s="1170"/>
      <c r="S123" s="1170"/>
      <c r="T123" s="1170"/>
      <c r="U123" s="1646"/>
      <c r="V123" s="1170"/>
      <c r="W123" s="1170"/>
      <c r="X123" s="554"/>
      <c r="Y123" s="1170"/>
      <c r="Z123" s="1170"/>
      <c r="AA123" s="1170"/>
      <c r="AB123" s="1170"/>
      <c r="AC123" s="1170"/>
      <c r="AD123" s="1642"/>
      <c r="AE123" s="576"/>
      <c r="AF123" s="576"/>
      <c r="AG123" s="576"/>
      <c r="AH123" s="576"/>
      <c r="AI123" s="1651">
        <v>11</v>
      </c>
    </row>
    <row s="1651" customFormat="1" customHeight="1" ht="11.549999999999999">
      <c r="A124" s="997"/>
      <c r="B124" s="1646"/>
      <c r="C124" s="1646"/>
      <c r="D124" s="361"/>
      <c r="J124" s="1651"/>
      <c r="K124" s="1651"/>
      <c r="L124" s="1651"/>
      <c r="N124" s="1170"/>
      <c r="O124" s="1646"/>
      <c r="P124" s="1646"/>
      <c r="Q124" s="1170"/>
      <c r="R124" s="1170"/>
      <c r="S124" s="1170"/>
      <c r="T124" s="1170"/>
      <c r="U124" s="1646"/>
      <c r="V124" s="1170"/>
      <c r="W124" s="1170"/>
      <c r="X124" s="554"/>
      <c r="Y124" s="1170"/>
      <c r="Z124" s="1170"/>
      <c r="AA124" s="1170"/>
      <c r="AB124" s="1170"/>
      <c r="AC124" s="1170"/>
      <c r="AD124" s="1642"/>
      <c r="AE124" s="576"/>
      <c r="AF124" s="576"/>
      <c r="AG124" s="576"/>
      <c r="AH124" s="576"/>
      <c r="AI124" s="1651">
        <v>11</v>
      </c>
    </row>
    <row s="1651" customFormat="1" customHeight="1" ht="11.549999999999999">
      <c r="A125" s="997"/>
      <c r="B125" s="1646"/>
      <c r="C125" s="1646"/>
      <c r="D125" s="361"/>
      <c r="J125" s="1651"/>
      <c r="K125" s="1651"/>
      <c r="L125" s="1651"/>
      <c r="N125" s="1170"/>
      <c r="O125" s="1646"/>
      <c r="P125" s="1646"/>
      <c r="Q125" s="1170"/>
      <c r="R125" s="1170"/>
      <c r="S125" s="1170"/>
      <c r="T125" s="1170"/>
      <c r="U125" s="1646"/>
      <c r="V125" s="1170"/>
      <c r="W125" s="1170"/>
      <c r="X125" s="554"/>
      <c r="Y125" s="1170"/>
      <c r="Z125" s="1170"/>
      <c r="AA125" s="1170"/>
      <c r="AB125" s="1170"/>
      <c r="AC125" s="1170"/>
      <c r="AD125" s="1642"/>
      <c r="AE125" s="576"/>
      <c r="AF125" s="576"/>
      <c r="AG125" s="576"/>
      <c r="AH125" s="576"/>
      <c r="AI125" s="1651">
        <v>11</v>
      </c>
    </row>
    <row s="1651" customFormat="1" customHeight="1" ht="11.549999999999999">
      <c r="A126" s="997"/>
      <c r="B126" s="1646"/>
      <c r="C126" s="1646"/>
      <c r="D126" s="361"/>
      <c r="J126" s="1651"/>
      <c r="K126" s="1651"/>
      <c r="L126" s="1651"/>
      <c r="N126" s="1170"/>
      <c r="O126" s="1646"/>
      <c r="P126" s="1646"/>
      <c r="Q126" s="1170"/>
      <c r="R126" s="1170"/>
      <c r="S126" s="1170"/>
      <c r="T126" s="1170"/>
      <c r="U126" s="1646"/>
      <c r="V126" s="1170"/>
      <c r="W126" s="1170"/>
      <c r="X126" s="554"/>
      <c r="Y126" s="1170"/>
      <c r="Z126" s="1170"/>
      <c r="AA126" s="1170"/>
      <c r="AB126" s="1170"/>
      <c r="AC126" s="1170"/>
      <c r="AD126" s="1642"/>
      <c r="AE126" s="576"/>
      <c r="AF126" s="576"/>
      <c r="AG126" s="576"/>
      <c r="AH126" s="576"/>
      <c r="AI126" s="1651">
        <v>11</v>
      </c>
    </row>
    <row s="1651" customFormat="1" customHeight="1" ht="11.549999999999999">
      <c r="A127" s="997"/>
      <c r="B127" s="1646"/>
      <c r="C127" s="1646"/>
      <c r="D127" s="361"/>
      <c r="J127" s="1651"/>
      <c r="K127" s="1651"/>
      <c r="L127" s="1651"/>
      <c r="N127" s="1170"/>
      <c r="O127" s="1646"/>
      <c r="P127" s="1646"/>
      <c r="Q127" s="1170"/>
      <c r="R127" s="1170"/>
      <c r="S127" s="1170"/>
      <c r="T127" s="1170"/>
      <c r="U127" s="1646"/>
      <c r="V127" s="1170"/>
      <c r="W127" s="1170"/>
      <c r="X127" s="554"/>
      <c r="Y127" s="1170"/>
      <c r="Z127" s="1170"/>
      <c r="AA127" s="1170"/>
      <c r="AB127" s="1170"/>
      <c r="AC127" s="1170"/>
      <c r="AD127" s="1642"/>
      <c r="AE127" s="576"/>
      <c r="AF127" s="576"/>
      <c r="AG127" s="576"/>
      <c r="AH127" s="576"/>
      <c r="AI127" s="1651">
        <v>11</v>
      </c>
    </row>
    <row s="1651" customFormat="1" customHeight="1" ht="11.549999999999999">
      <c r="A128" s="997"/>
      <c r="B128" s="1646"/>
      <c r="C128" s="1646"/>
      <c r="D128" s="361"/>
      <c r="J128" s="1651"/>
      <c r="K128" s="1651"/>
      <c r="L128" s="1651"/>
      <c r="N128" s="1170"/>
      <c r="O128" s="1646"/>
      <c r="P128" s="1646"/>
      <c r="Q128" s="1170"/>
      <c r="R128" s="1170"/>
      <c r="S128" s="1170"/>
      <c r="T128" s="1170"/>
      <c r="U128" s="1646"/>
      <c r="V128" s="1170"/>
      <c r="W128" s="1170"/>
      <c r="X128" s="554"/>
      <c r="Y128" s="1170"/>
      <c r="Z128" s="1170"/>
      <c r="AA128" s="1170"/>
      <c r="AB128" s="1170"/>
      <c r="AC128" s="1170"/>
      <c r="AD128" s="1642"/>
      <c r="AE128" s="576"/>
      <c r="AF128" s="576"/>
      <c r="AG128" s="576"/>
      <c r="AH128" s="576"/>
      <c r="AI128" s="1651">
        <v>11</v>
      </c>
    </row>
    <row s="1651" customFormat="1" customHeight="1" ht="11.549999999999999">
      <c r="A129" s="997"/>
      <c r="B129" s="1646"/>
      <c r="C129" s="1646"/>
      <c r="D129" s="361"/>
      <c r="J129" s="1651"/>
      <c r="K129" s="1651"/>
      <c r="L129" s="1651"/>
      <c r="N129" s="1170"/>
      <c r="O129" s="1646"/>
      <c r="P129" s="1646"/>
      <c r="Q129" s="1170"/>
      <c r="R129" s="1170"/>
      <c r="S129" s="1170"/>
      <c r="T129" s="1170"/>
      <c r="U129" s="1646"/>
      <c r="V129" s="1170"/>
      <c r="W129" s="1170"/>
      <c r="X129" s="554"/>
      <c r="Y129" s="1170"/>
      <c r="Z129" s="1170"/>
      <c r="AA129" s="1170"/>
      <c r="AB129" s="1170"/>
      <c r="AC129" s="1170"/>
      <c r="AD129" s="1642"/>
      <c r="AE129" s="576"/>
      <c r="AF129" s="576"/>
      <c r="AG129" s="576"/>
      <c r="AH129" s="576"/>
      <c r="AI129" s="1651">
        <v>11</v>
      </c>
    </row>
    <row s="1651" customFormat="1" customHeight="1" ht="11.549999999999999">
      <c r="A130" s="997"/>
      <c r="B130" s="1646"/>
      <c r="C130" s="1646"/>
      <c r="D130" s="361"/>
      <c r="J130" s="1651"/>
      <c r="K130" s="1651"/>
      <c r="L130" s="1651"/>
      <c r="N130" s="1170"/>
      <c r="O130" s="1646"/>
      <c r="P130" s="1646"/>
      <c r="Q130" s="1170"/>
      <c r="R130" s="1170"/>
      <c r="S130" s="1170"/>
      <c r="T130" s="1170"/>
      <c r="U130" s="1646"/>
      <c r="V130" s="1170"/>
      <c r="W130" s="1170"/>
      <c r="X130" s="554"/>
      <c r="Y130" s="1170"/>
      <c r="Z130" s="1170"/>
      <c r="AA130" s="1170"/>
      <c r="AB130" s="1170"/>
      <c r="AC130" s="1170"/>
      <c r="AD130" s="1642"/>
      <c r="AE130" s="576"/>
      <c r="AF130" s="576"/>
      <c r="AG130" s="576"/>
      <c r="AH130" s="576"/>
      <c r="AI130" s="1651">
        <v>11</v>
      </c>
    </row>
    <row s="1651" customFormat="1" customHeight="1" ht="11.549999999999999">
      <c r="A131" s="997"/>
      <c r="B131" s="1646"/>
      <c r="C131" s="1646"/>
      <c r="D131" s="361"/>
      <c r="J131" s="1651"/>
      <c r="K131" s="1651"/>
      <c r="L131" s="1651"/>
      <c r="N131" s="1170"/>
      <c r="O131" s="1646"/>
      <c r="P131" s="1646"/>
      <c r="Q131" s="1170"/>
      <c r="R131" s="1170"/>
      <c r="S131" s="1170"/>
      <c r="T131" s="1170"/>
      <c r="U131" s="1646"/>
      <c r="V131" s="1170"/>
      <c r="W131" s="1170"/>
      <c r="X131" s="554"/>
      <c r="Y131" s="1170"/>
      <c r="Z131" s="1170"/>
      <c r="AA131" s="1170"/>
      <c r="AB131" s="1170"/>
      <c r="AC131" s="1170"/>
      <c r="AD131" s="1642"/>
      <c r="AE131" s="576"/>
      <c r="AF131" s="576"/>
      <c r="AG131" s="576"/>
      <c r="AH131" s="576"/>
      <c r="AI131" s="1651">
        <v>11</v>
      </c>
    </row>
    <row s="1651" customFormat="1" customHeight="1" ht="11.549999999999999">
      <c r="A132" s="997"/>
      <c r="B132" s="1646"/>
      <c r="C132" s="1646"/>
      <c r="D132" s="361"/>
      <c r="J132" s="1651"/>
      <c r="K132" s="1651"/>
      <c r="L132" s="1651"/>
      <c r="N132" s="1170"/>
      <c r="O132" s="1646"/>
      <c r="P132" s="1646"/>
      <c r="Q132" s="1170"/>
      <c r="R132" s="1170"/>
      <c r="S132" s="1170"/>
      <c r="T132" s="1170"/>
      <c r="U132" s="1646"/>
      <c r="V132" s="1170"/>
      <c r="W132" s="1170"/>
      <c r="X132" s="554"/>
      <c r="Y132" s="1170"/>
      <c r="Z132" s="1170"/>
      <c r="AA132" s="1170"/>
      <c r="AB132" s="1170"/>
      <c r="AC132" s="1170"/>
      <c r="AD132" s="1642"/>
      <c r="AE132" s="576"/>
      <c r="AF132" s="576"/>
      <c r="AG132" s="576"/>
      <c r="AH132" s="576"/>
      <c r="AI132" s="1651">
        <v>11</v>
      </c>
    </row>
    <row s="1651" customFormat="1" customHeight="1" ht="11.549999999999999">
      <c r="A133" s="997"/>
      <c r="B133" s="1646"/>
      <c r="C133" s="1646"/>
      <c r="D133" s="361"/>
      <c r="J133" s="1651"/>
      <c r="K133" s="1651"/>
      <c r="L133" s="1651"/>
      <c r="N133" s="1170"/>
      <c r="O133" s="1646"/>
      <c r="P133" s="1646"/>
      <c r="Q133" s="1170"/>
      <c r="R133" s="1170"/>
      <c r="S133" s="1170"/>
      <c r="T133" s="1170"/>
      <c r="U133" s="1646"/>
      <c r="V133" s="1170"/>
      <c r="W133" s="1170"/>
      <c r="X133" s="554"/>
      <c r="Y133" s="1170"/>
      <c r="Z133" s="1170"/>
      <c r="AA133" s="1170"/>
      <c r="AB133" s="1170"/>
      <c r="AC133" s="1170"/>
      <c r="AD133" s="1642"/>
      <c r="AE133" s="576"/>
      <c r="AF133" s="576"/>
      <c r="AG133" s="576"/>
      <c r="AH133" s="576"/>
      <c r="AI133" s="1651">
        <v>11</v>
      </c>
    </row>
    <row s="1651" customFormat="1" customHeight="1" ht="11.549999999999999">
      <c r="A134" s="997"/>
      <c r="B134" s="1646"/>
      <c r="C134" s="1646"/>
      <c r="D134" s="361"/>
      <c r="J134" s="1651"/>
      <c r="K134" s="1651"/>
      <c r="L134" s="1651"/>
      <c r="N134" s="1170"/>
      <c r="O134" s="1646"/>
      <c r="P134" s="1646"/>
      <c r="Q134" s="1170"/>
      <c r="R134" s="1170"/>
      <c r="S134" s="1170"/>
      <c r="T134" s="1170"/>
      <c r="U134" s="1646"/>
      <c r="V134" s="1170"/>
      <c r="W134" s="1170"/>
      <c r="X134" s="554"/>
      <c r="Y134" s="1170"/>
      <c r="Z134" s="1170"/>
      <c r="AA134" s="1170"/>
      <c r="AB134" s="1170"/>
      <c r="AC134" s="1170"/>
      <c r="AD134" s="1642"/>
      <c r="AE134" s="576"/>
      <c r="AF134" s="576"/>
      <c r="AG134" s="576"/>
      <c r="AH134" s="576"/>
      <c r="AI134" s="1651">
        <v>11</v>
      </c>
    </row>
    <row s="1651" customFormat="1" customHeight="1" ht="11.549999999999999">
      <c r="A135" s="997"/>
      <c r="B135" s="1646"/>
      <c r="C135" s="1646"/>
      <c r="D135" s="361"/>
      <c r="J135" s="1651"/>
      <c r="K135" s="1651"/>
      <c r="L135" s="1651"/>
      <c r="N135" s="1170"/>
      <c r="O135" s="1646"/>
      <c r="P135" s="1646"/>
      <c r="Q135" s="1170"/>
      <c r="R135" s="1170"/>
      <c r="S135" s="1170"/>
      <c r="T135" s="1170"/>
      <c r="U135" s="1646"/>
      <c r="V135" s="1170"/>
      <c r="W135" s="1170"/>
      <c r="X135" s="554"/>
      <c r="Y135" s="1170"/>
      <c r="Z135" s="1170"/>
      <c r="AA135" s="1170"/>
      <c r="AB135" s="1170"/>
      <c r="AC135" s="1170"/>
      <c r="AD135" s="1642"/>
      <c r="AE135" s="576"/>
      <c r="AF135" s="576"/>
      <c r="AG135" s="576"/>
      <c r="AH135" s="576"/>
      <c r="AI135" s="1651">
        <v>11</v>
      </c>
    </row>
    <row s="1651" customFormat="1" customHeight="1" ht="11.549999999999999">
      <c r="A136" s="997"/>
      <c r="B136" s="1646"/>
      <c r="C136" s="1646"/>
      <c r="D136" s="361"/>
      <c r="J136" s="1651"/>
      <c r="K136" s="1651"/>
      <c r="L136" s="1651"/>
      <c r="N136" s="1170"/>
      <c r="O136" s="1646"/>
      <c r="P136" s="1646"/>
      <c r="Q136" s="1170"/>
      <c r="R136" s="1170"/>
      <c r="S136" s="1170"/>
      <c r="T136" s="1170"/>
      <c r="U136" s="1646"/>
      <c r="V136" s="1170"/>
      <c r="W136" s="1170"/>
      <c r="X136" s="554"/>
      <c r="Y136" s="1170"/>
      <c r="Z136" s="1170"/>
      <c r="AA136" s="1170"/>
      <c r="AB136" s="1170"/>
      <c r="AC136" s="1170"/>
      <c r="AD136" s="1642"/>
      <c r="AE136" s="576"/>
      <c r="AF136" s="576"/>
      <c r="AG136" s="576"/>
      <c r="AH136" s="576"/>
      <c r="AI136" s="1651">
        <v>11</v>
      </c>
    </row>
    <row s="1651" customFormat="1" customHeight="1" ht="11.549999999999999">
      <c r="A137" s="997"/>
      <c r="B137" s="1646"/>
      <c r="C137" s="1646"/>
      <c r="D137" s="361"/>
      <c r="J137" s="1651"/>
      <c r="K137" s="1651"/>
      <c r="L137" s="1651"/>
      <c r="N137" s="1170"/>
      <c r="O137" s="1646"/>
      <c r="P137" s="1646"/>
      <c r="Q137" s="1170"/>
      <c r="R137" s="1170"/>
      <c r="S137" s="1170"/>
      <c r="T137" s="1170"/>
      <c r="U137" s="1646"/>
      <c r="V137" s="1170"/>
      <c r="W137" s="1170"/>
      <c r="X137" s="554"/>
      <c r="Y137" s="1170"/>
      <c r="Z137" s="1170"/>
      <c r="AA137" s="1170"/>
      <c r="AB137" s="1170"/>
      <c r="AC137" s="1170"/>
      <c r="AD137" s="1642"/>
      <c r="AE137" s="576"/>
      <c r="AF137" s="576"/>
      <c r="AG137" s="576"/>
      <c r="AH137" s="576"/>
      <c r="AI137" s="1651">
        <v>11</v>
      </c>
    </row>
    <row s="1651" customFormat="1" customHeight="1" ht="11.549999999999999">
      <c r="A138" s="997"/>
      <c r="B138" s="1646"/>
      <c r="C138" s="1646"/>
      <c r="D138" s="361"/>
      <c r="J138" s="1651"/>
      <c r="K138" s="1651"/>
      <c r="L138" s="1651"/>
      <c r="N138" s="1170"/>
      <c r="O138" s="1646"/>
      <c r="P138" s="1646"/>
      <c r="Q138" s="1170"/>
      <c r="R138" s="1170"/>
      <c r="S138" s="1170"/>
      <c r="T138" s="1170"/>
      <c r="U138" s="1646"/>
      <c r="V138" s="1170"/>
      <c r="W138" s="1170"/>
      <c r="X138" s="554"/>
      <c r="Y138" s="1170"/>
      <c r="Z138" s="1170"/>
      <c r="AA138" s="1170"/>
      <c r="AB138" s="1170"/>
      <c r="AC138" s="1170"/>
      <c r="AD138" s="1642"/>
      <c r="AE138" s="576"/>
      <c r="AF138" s="576"/>
      <c r="AG138" s="576"/>
      <c r="AH138" s="576"/>
      <c r="AI138" s="1651">
        <v>11</v>
      </c>
    </row>
    <row s="1651" customFormat="1" customHeight="1" ht="11.549999999999999">
      <c r="A139" s="997"/>
      <c r="B139" s="1646"/>
      <c r="C139" s="1646"/>
      <c r="D139" s="361"/>
      <c r="J139" s="1651"/>
      <c r="K139" s="1651"/>
      <c r="L139" s="1651"/>
      <c r="N139" s="1170"/>
      <c r="O139" s="1646"/>
      <c r="P139" s="1646"/>
      <c r="Q139" s="1170"/>
      <c r="R139" s="1170"/>
      <c r="S139" s="1170"/>
      <c r="T139" s="1170"/>
      <c r="U139" s="1646"/>
      <c r="V139" s="1170"/>
      <c r="W139" s="1170"/>
      <c r="X139" s="554"/>
      <c r="Y139" s="1170"/>
      <c r="Z139" s="1170"/>
      <c r="AA139" s="1170"/>
      <c r="AB139" s="1170"/>
      <c r="AC139" s="1170"/>
      <c r="AD139" s="1642"/>
      <c r="AE139" s="576"/>
      <c r="AF139" s="576"/>
      <c r="AG139" s="576"/>
      <c r="AH139" s="576"/>
      <c r="AI139" s="1651">
        <v>11</v>
      </c>
    </row>
    <row s="1651" customFormat="1" customHeight="1" ht="11.549999999999999">
      <c r="A140" s="997"/>
      <c r="B140" s="1646"/>
      <c r="C140" s="1646"/>
      <c r="D140" s="361"/>
      <c r="J140" s="1651"/>
      <c r="K140" s="1651"/>
      <c r="L140" s="1651"/>
      <c r="N140" s="1170"/>
      <c r="O140" s="1646"/>
      <c r="P140" s="1646"/>
      <c r="Q140" s="1170"/>
      <c r="R140" s="1170"/>
      <c r="S140" s="1170"/>
      <c r="T140" s="1170"/>
      <c r="U140" s="1646"/>
      <c r="V140" s="1170"/>
      <c r="W140" s="1170"/>
      <c r="X140" s="554"/>
      <c r="Y140" s="1170"/>
      <c r="Z140" s="1170"/>
      <c r="AA140" s="1170"/>
      <c r="AB140" s="1170"/>
      <c r="AC140" s="1170"/>
      <c r="AD140" s="1642"/>
      <c r="AE140" s="576"/>
      <c r="AF140" s="576"/>
      <c r="AG140" s="576"/>
      <c r="AH140" s="576"/>
      <c r="AI140" s="1651">
        <v>11</v>
      </c>
    </row>
    <row s="1651" customFormat="1" customHeight="1" ht="11.549999999999999">
      <c r="A141" s="997"/>
      <c r="B141" s="1646"/>
      <c r="C141" s="1646"/>
      <c r="D141" s="361"/>
      <c r="J141" s="1651"/>
      <c r="K141" s="1651"/>
      <c r="L141" s="1651"/>
      <c r="N141" s="1170"/>
      <c r="O141" s="1646"/>
      <c r="P141" s="1646"/>
      <c r="Q141" s="1170"/>
      <c r="R141" s="1170"/>
      <c r="S141" s="1170"/>
      <c r="T141" s="1170"/>
      <c r="U141" s="1646"/>
      <c r="V141" s="1170"/>
      <c r="W141" s="1170"/>
      <c r="X141" s="554"/>
      <c r="Y141" s="1170"/>
      <c r="Z141" s="1170"/>
      <c r="AA141" s="1170"/>
      <c r="AB141" s="1170"/>
      <c r="AC141" s="1170"/>
      <c r="AD141" s="1642"/>
      <c r="AE141" s="576"/>
      <c r="AF141" s="576"/>
      <c r="AG141" s="576"/>
      <c r="AH141" s="576"/>
      <c r="AI141" s="1651">
        <v>11</v>
      </c>
    </row>
    <row s="1651" customFormat="1" customHeight="1" ht="11.549999999999999">
      <c r="A142" s="997"/>
      <c r="B142" s="1646"/>
      <c r="C142" s="1646"/>
      <c r="D142" s="361"/>
      <c r="J142" s="1651"/>
      <c r="K142" s="1651"/>
      <c r="L142" s="1651"/>
      <c r="N142" s="1170"/>
      <c r="O142" s="1646"/>
      <c r="P142" s="1646"/>
      <c r="Q142" s="1170"/>
      <c r="R142" s="1170"/>
      <c r="S142" s="1170"/>
      <c r="T142" s="1170"/>
      <c r="U142" s="1646"/>
      <c r="V142" s="1170"/>
      <c r="W142" s="1170"/>
      <c r="X142" s="554"/>
      <c r="Y142" s="1170"/>
      <c r="Z142" s="1170"/>
      <c r="AA142" s="1170"/>
      <c r="AB142" s="1170"/>
      <c r="AC142" s="1170"/>
      <c r="AD142" s="1642"/>
      <c r="AE142" s="576"/>
      <c r="AF142" s="576"/>
      <c r="AG142" s="576"/>
      <c r="AH142" s="576"/>
      <c r="AI142" s="1651">
        <v>11</v>
      </c>
    </row>
    <row s="1651" customFormat="1" customHeight="1" ht="11.549999999999999">
      <c r="A143" s="997"/>
      <c r="B143" s="1646"/>
      <c r="C143" s="1646"/>
      <c r="D143" s="361"/>
      <c r="J143" s="1651"/>
      <c r="K143" s="1651"/>
      <c r="L143" s="1651"/>
      <c r="N143" s="1170"/>
      <c r="O143" s="1646"/>
      <c r="P143" s="1646"/>
      <c r="Q143" s="1170"/>
      <c r="R143" s="1170"/>
      <c r="S143" s="1170"/>
      <c r="T143" s="1170"/>
      <c r="U143" s="1646"/>
      <c r="V143" s="1170"/>
      <c r="W143" s="1170"/>
      <c r="X143" s="554"/>
      <c r="Y143" s="1170"/>
      <c r="Z143" s="1170"/>
      <c r="AA143" s="1170"/>
      <c r="AB143" s="1170"/>
      <c r="AC143" s="1170"/>
      <c r="AD143" s="1642"/>
      <c r="AE143" s="576"/>
      <c r="AF143" s="576"/>
      <c r="AG143" s="576"/>
      <c r="AH143" s="576"/>
      <c r="AI143" s="1651">
        <v>11</v>
      </c>
    </row>
    <row s="1651" customFormat="1" customHeight="1" ht="11.549999999999999">
      <c r="A144" s="997"/>
      <c r="B144" s="1646"/>
      <c r="C144" s="1646"/>
      <c r="D144" s="361"/>
      <c r="J144" s="1651"/>
      <c r="K144" s="1651"/>
      <c r="L144" s="1651"/>
      <c r="N144" s="1170"/>
      <c r="O144" s="1646"/>
      <c r="P144" s="1646"/>
      <c r="Q144" s="1170"/>
      <c r="R144" s="1170"/>
      <c r="S144" s="1170"/>
      <c r="T144" s="1170"/>
      <c r="U144" s="1646"/>
      <c r="V144" s="1170"/>
      <c r="W144" s="1170"/>
      <c r="X144" s="554"/>
      <c r="Y144" s="1170"/>
      <c r="Z144" s="1170"/>
      <c r="AA144" s="1170"/>
      <c r="AB144" s="1170"/>
      <c r="AC144" s="1170"/>
      <c r="AD144" s="1642"/>
      <c r="AE144" s="576"/>
      <c r="AF144" s="576"/>
      <c r="AG144" s="576"/>
      <c r="AH144" s="576"/>
      <c r="AI144" s="1651">
        <v>11</v>
      </c>
    </row>
    <row s="1651" customFormat="1" customHeight="1" ht="11.549999999999999">
      <c r="A145" s="997"/>
      <c r="B145" s="1646"/>
      <c r="C145" s="1646"/>
      <c r="D145" s="361"/>
      <c r="J145" s="1651"/>
      <c r="K145" s="1651"/>
      <c r="L145" s="1651"/>
      <c r="N145" s="1170"/>
      <c r="O145" s="1646"/>
      <c r="P145" s="1646"/>
      <c r="Q145" s="1170"/>
      <c r="R145" s="1170"/>
      <c r="S145" s="1170"/>
      <c r="T145" s="1170"/>
      <c r="U145" s="1646"/>
      <c r="V145" s="1170"/>
      <c r="W145" s="1170"/>
      <c r="X145" s="554"/>
      <c r="Y145" s="1170"/>
      <c r="Z145" s="1170"/>
      <c r="AA145" s="1170"/>
      <c r="AB145" s="1170"/>
      <c r="AC145" s="1170"/>
      <c r="AD145" s="1642"/>
      <c r="AE145" s="576"/>
      <c r="AF145" s="576"/>
      <c r="AG145" s="576"/>
      <c r="AH145" s="576"/>
      <c r="AI145" s="1651">
        <v>11</v>
      </c>
    </row>
    <row s="1651" customFormat="1" customHeight="1" ht="11.549999999999999">
      <c r="A146" s="997"/>
      <c r="B146" s="1646"/>
      <c r="C146" s="1646"/>
      <c r="D146" s="361"/>
      <c r="J146" s="1651"/>
      <c r="K146" s="1651"/>
      <c r="L146" s="1651"/>
      <c r="N146" s="1170"/>
      <c r="O146" s="1646"/>
      <c r="P146" s="1646"/>
      <c r="Q146" s="1170"/>
      <c r="R146" s="1170"/>
      <c r="S146" s="1170"/>
      <c r="T146" s="1170"/>
      <c r="U146" s="1646"/>
      <c r="V146" s="1170"/>
      <c r="W146" s="1170"/>
      <c r="X146" s="554"/>
      <c r="Y146" s="1170"/>
      <c r="Z146" s="1170"/>
      <c r="AA146" s="1170"/>
      <c r="AB146" s="1170"/>
      <c r="AC146" s="1170"/>
      <c r="AD146" s="1642"/>
      <c r="AE146" s="576"/>
      <c r="AF146" s="576"/>
      <c r="AG146" s="576"/>
      <c r="AH146" s="576"/>
      <c r="AI146" s="1651">
        <v>11</v>
      </c>
    </row>
    <row s="1651" customFormat="1" customHeight="1" ht="11.549999999999999">
      <c r="A147" s="997"/>
      <c r="B147" s="1646"/>
      <c r="C147" s="1646"/>
      <c r="D147" s="361"/>
      <c r="J147" s="1651"/>
      <c r="K147" s="1651"/>
      <c r="L147" s="1651"/>
      <c r="N147" s="1170"/>
      <c r="O147" s="1646"/>
      <c r="P147" s="1646"/>
      <c r="Q147" s="1170"/>
      <c r="R147" s="1170"/>
      <c r="S147" s="1170"/>
      <c r="T147" s="1170"/>
      <c r="U147" s="1646"/>
      <c r="V147" s="1170"/>
      <c r="W147" s="1170"/>
      <c r="X147" s="554"/>
      <c r="Y147" s="1170"/>
      <c r="Z147" s="1170"/>
      <c r="AA147" s="1170"/>
      <c r="AB147" s="1170"/>
      <c r="AC147" s="1170"/>
      <c r="AD147" s="1642"/>
      <c r="AE147" s="576"/>
      <c r="AF147" s="576"/>
      <c r="AG147" s="576"/>
      <c r="AH147" s="576"/>
      <c r="AI147" s="1651">
        <v>11</v>
      </c>
    </row>
    <row s="1651" customFormat="1" customHeight="1" ht="11.549999999999999">
      <c r="A148" s="997"/>
      <c r="B148" s="1646"/>
      <c r="C148" s="1646"/>
      <c r="D148" s="361"/>
      <c r="J148" s="1651"/>
      <c r="K148" s="1651"/>
      <c r="L148" s="1651"/>
      <c r="N148" s="1170"/>
      <c r="O148" s="1646"/>
      <c r="P148" s="1646"/>
      <c r="Q148" s="1170"/>
      <c r="R148" s="1170"/>
      <c r="S148" s="1170"/>
      <c r="T148" s="1170"/>
      <c r="U148" s="1646"/>
      <c r="V148" s="1170"/>
      <c r="W148" s="1170"/>
      <c r="X148" s="554"/>
      <c r="Y148" s="1170"/>
      <c r="Z148" s="1170"/>
      <c r="AA148" s="1170"/>
      <c r="AB148" s="1170"/>
      <c r="AC148" s="1170"/>
      <c r="AD148" s="1642"/>
      <c r="AE148" s="576"/>
      <c r="AF148" s="576"/>
      <c r="AG148" s="576"/>
      <c r="AH148" s="576"/>
      <c r="AI148" s="1651">
        <v>11</v>
      </c>
    </row>
    <row s="1651" customFormat="1" customHeight="1" ht="11.549999999999999">
      <c r="A149" s="997"/>
      <c r="B149" s="1646"/>
      <c r="C149" s="1646"/>
      <c r="D149" s="361"/>
      <c r="J149" s="1651"/>
      <c r="K149" s="1651"/>
      <c r="L149" s="1651"/>
      <c r="N149" s="1170"/>
      <c r="O149" s="1646"/>
      <c r="P149" s="1646"/>
      <c r="Q149" s="1170"/>
      <c r="R149" s="1170"/>
      <c r="S149" s="1170"/>
      <c r="T149" s="1170"/>
      <c r="U149" s="1646"/>
      <c r="V149" s="1170"/>
      <c r="W149" s="1170"/>
      <c r="X149" s="554"/>
      <c r="Y149" s="1170"/>
      <c r="Z149" s="1170"/>
      <c r="AA149" s="1170"/>
      <c r="AB149" s="1170"/>
      <c r="AC149" s="1170"/>
      <c r="AD149" s="1642"/>
      <c r="AE149" s="576"/>
      <c r="AF149" s="576"/>
      <c r="AG149" s="576"/>
      <c r="AH149" s="576"/>
      <c r="AI149" s="1651">
        <v>11</v>
      </c>
    </row>
    <row s="1651" customFormat="1" customHeight="1" ht="11.549999999999999">
      <c r="A150" s="997"/>
      <c r="B150" s="1646"/>
      <c r="C150" s="1646"/>
      <c r="D150" s="361"/>
      <c r="J150" s="1651"/>
      <c r="K150" s="1651"/>
      <c r="L150" s="1651"/>
      <c r="N150" s="1170"/>
      <c r="O150" s="1646"/>
      <c r="P150" s="1646"/>
      <c r="Q150" s="1170"/>
      <c r="R150" s="1170"/>
      <c r="S150" s="1170"/>
      <c r="T150" s="1170"/>
      <c r="U150" s="1646"/>
      <c r="V150" s="1170"/>
      <c r="W150" s="1170"/>
      <c r="X150" s="554"/>
      <c r="Y150" s="1170"/>
      <c r="Z150" s="1170"/>
      <c r="AA150" s="1170"/>
      <c r="AB150" s="1170"/>
      <c r="AC150" s="1170"/>
      <c r="AD150" s="1642"/>
      <c r="AE150" s="576"/>
      <c r="AF150" s="576"/>
      <c r="AG150" s="576"/>
      <c r="AH150" s="576"/>
      <c r="AI150" s="1651">
        <v>11</v>
      </c>
    </row>
    <row s="1651" customFormat="1" customHeight="1" ht="11.549999999999999">
      <c r="A151" s="997"/>
      <c r="B151" s="1646"/>
      <c r="C151" s="1646"/>
      <c r="D151" s="361"/>
      <c r="J151" s="1651"/>
      <c r="K151" s="1651"/>
      <c r="L151" s="1651"/>
      <c r="N151" s="1170"/>
      <c r="O151" s="1646"/>
      <c r="P151" s="1646"/>
      <c r="Q151" s="1170"/>
      <c r="R151" s="1170"/>
      <c r="S151" s="1170"/>
      <c r="T151" s="1170"/>
      <c r="U151" s="1646"/>
      <c r="V151" s="1170"/>
      <c r="W151" s="1170"/>
      <c r="X151" s="554"/>
      <c r="Y151" s="1170"/>
      <c r="Z151" s="1170"/>
      <c r="AA151" s="1170"/>
      <c r="AB151" s="1170"/>
      <c r="AC151" s="1170"/>
      <c r="AD151" s="1642"/>
      <c r="AE151" s="576"/>
      <c r="AF151" s="576"/>
      <c r="AG151" s="576"/>
      <c r="AH151" s="576"/>
      <c r="AI151" s="1651">
        <v>11</v>
      </c>
    </row>
    <row s="1651" customFormat="1" customHeight="1" ht="11.549999999999999">
      <c r="A152" s="997"/>
      <c r="B152" s="1646"/>
      <c r="C152" s="1646"/>
      <c r="D152" s="361"/>
      <c r="J152" s="1651"/>
      <c r="K152" s="1651"/>
      <c r="L152" s="1651"/>
      <c r="N152" s="1170"/>
      <c r="O152" s="1646"/>
      <c r="P152" s="1646"/>
      <c r="Q152" s="1170"/>
      <c r="R152" s="1170"/>
      <c r="S152" s="1170"/>
      <c r="T152" s="1170"/>
      <c r="U152" s="1646"/>
      <c r="V152" s="1170"/>
      <c r="W152" s="1170"/>
      <c r="X152" s="554"/>
      <c r="Y152" s="1170"/>
      <c r="Z152" s="1170"/>
      <c r="AA152" s="1170"/>
      <c r="AB152" s="1170"/>
      <c r="AC152" s="1170"/>
      <c r="AD152" s="1642"/>
      <c r="AE152" s="576"/>
      <c r="AF152" s="576"/>
      <c r="AG152" s="576"/>
      <c r="AH152" s="576"/>
      <c r="AI152" s="1651">
        <v>11</v>
      </c>
    </row>
    <row s="1651" customFormat="1" customHeight="1" ht="11.549999999999999">
      <c r="A153" s="997"/>
      <c r="B153" s="1646"/>
      <c r="C153" s="1646"/>
      <c r="D153" s="361"/>
      <c r="J153" s="1651"/>
      <c r="K153" s="1651"/>
      <c r="L153" s="1651"/>
      <c r="N153" s="1170"/>
      <c r="O153" s="1646"/>
      <c r="P153" s="1646"/>
      <c r="Q153" s="1170"/>
      <c r="R153" s="1170"/>
      <c r="S153" s="1170"/>
      <c r="T153" s="1170"/>
      <c r="U153" s="1646"/>
      <c r="V153" s="1170"/>
      <c r="W153" s="1170"/>
      <c r="X153" s="554"/>
      <c r="Y153" s="1170"/>
      <c r="Z153" s="1170"/>
      <c r="AA153" s="1170"/>
      <c r="AB153" s="1170"/>
      <c r="AC153" s="1170"/>
      <c r="AD153" s="1642"/>
      <c r="AE153" s="576"/>
      <c r="AF153" s="576"/>
      <c r="AG153" s="576"/>
      <c r="AH153" s="576"/>
      <c r="AI153" s="1651">
        <v>11</v>
      </c>
    </row>
    <row s="1651" customFormat="1" customHeight="1" ht="11.549999999999999">
      <c r="A154" s="997"/>
      <c r="B154" s="1646"/>
      <c r="C154" s="1646"/>
      <c r="D154" s="361"/>
      <c r="J154" s="1651"/>
      <c r="K154" s="1651"/>
      <c r="L154" s="1651"/>
      <c r="N154" s="1170"/>
      <c r="O154" s="1646"/>
      <c r="P154" s="1646"/>
      <c r="Q154" s="1170"/>
      <c r="R154" s="1170"/>
      <c r="S154" s="1170"/>
      <c r="T154" s="1170"/>
      <c r="U154" s="1646"/>
      <c r="V154" s="1170"/>
      <c r="W154" s="1170"/>
      <c r="X154" s="554"/>
      <c r="Y154" s="1170"/>
      <c r="Z154" s="1170"/>
      <c r="AA154" s="1170"/>
      <c r="AB154" s="1170"/>
      <c r="AC154" s="1170"/>
      <c r="AD154" s="1642"/>
      <c r="AE154" s="576"/>
      <c r="AF154" s="576"/>
      <c r="AG154" s="576"/>
      <c r="AH154" s="576"/>
      <c r="AI154" s="1651">
        <v>11</v>
      </c>
    </row>
    <row s="1651" customFormat="1" customHeight="1" ht="11.549999999999999">
      <c r="A155" s="997"/>
      <c r="B155" s="1646"/>
      <c r="C155" s="1646"/>
      <c r="D155" s="361"/>
      <c r="J155" s="1651"/>
      <c r="K155" s="1651"/>
      <c r="L155" s="1651"/>
      <c r="N155" s="1170"/>
      <c r="O155" s="1646"/>
      <c r="P155" s="1646"/>
      <c r="Q155" s="1170"/>
      <c r="R155" s="1170"/>
      <c r="S155" s="1170"/>
      <c r="T155" s="1170"/>
      <c r="U155" s="1646"/>
      <c r="V155" s="1170"/>
      <c r="W155" s="1170"/>
      <c r="X155" s="554"/>
      <c r="Y155" s="1170"/>
      <c r="Z155" s="1170"/>
      <c r="AA155" s="1170"/>
      <c r="AB155" s="1170"/>
      <c r="AC155" s="1170"/>
      <c r="AD155" s="1642"/>
      <c r="AE155" s="576"/>
      <c r="AF155" s="576"/>
      <c r="AG155" s="576"/>
      <c r="AH155" s="576"/>
      <c r="AI155" s="1651">
        <v>11</v>
      </c>
    </row>
    <row s="1651" customFormat="1" customHeight="1" ht="11.549999999999999">
      <c r="A156" s="997"/>
      <c r="B156" s="1646"/>
      <c r="C156" s="1646"/>
      <c r="D156" s="361"/>
      <c r="J156" s="1651"/>
      <c r="K156" s="1651"/>
      <c r="L156" s="1651"/>
      <c r="N156" s="1170"/>
      <c r="O156" s="1646"/>
      <c r="P156" s="1646"/>
      <c r="Q156" s="1170"/>
      <c r="R156" s="1170"/>
      <c r="S156" s="1170"/>
      <c r="T156" s="1170"/>
      <c r="U156" s="1646"/>
      <c r="V156" s="1170"/>
      <c r="W156" s="1170"/>
      <c r="X156" s="554"/>
      <c r="Y156" s="1170"/>
      <c r="Z156" s="1170"/>
      <c r="AA156" s="1170"/>
      <c r="AB156" s="1170"/>
      <c r="AC156" s="1170"/>
      <c r="AD156" s="1642"/>
      <c r="AE156" s="576"/>
      <c r="AF156" s="576"/>
      <c r="AG156" s="576"/>
      <c r="AH156" s="576"/>
      <c r="AI156" s="1651">
        <v>11</v>
      </c>
    </row>
    <row s="1651" customFormat="1" customHeight="1" ht="11.549999999999999">
      <c r="A157" s="997"/>
      <c r="B157" s="1646"/>
      <c r="C157" s="1646"/>
      <c r="D157" s="361"/>
      <c r="J157" s="1651"/>
      <c r="K157" s="1651"/>
      <c r="L157" s="1651"/>
      <c r="N157" s="1170"/>
      <c r="O157" s="1646"/>
      <c r="P157" s="1646"/>
      <c r="Q157" s="1170"/>
      <c r="R157" s="1170"/>
      <c r="S157" s="1170"/>
      <c r="T157" s="1170"/>
      <c r="U157" s="1646"/>
      <c r="V157" s="1170"/>
      <c r="W157" s="1170"/>
      <c r="X157" s="554"/>
      <c r="Y157" s="1170"/>
      <c r="Z157" s="1170"/>
      <c r="AA157" s="1170"/>
      <c r="AB157" s="1170"/>
      <c r="AC157" s="1170"/>
      <c r="AD157" s="1642"/>
      <c r="AE157" s="576"/>
      <c r="AF157" s="576"/>
      <c r="AG157" s="576"/>
      <c r="AH157" s="576"/>
      <c r="AI157" s="1651">
        <v>11</v>
      </c>
    </row>
    <row s="1651" customFormat="1" customHeight="1" ht="11.549999999999999">
      <c r="A158" s="997"/>
      <c r="B158" s="1646"/>
      <c r="C158" s="1646"/>
      <c r="D158" s="361"/>
      <c r="J158" s="1651"/>
      <c r="K158" s="1651"/>
      <c r="L158" s="1651"/>
      <c r="N158" s="1170"/>
      <c r="O158" s="1646"/>
      <c r="P158" s="1646"/>
      <c r="Q158" s="1170"/>
      <c r="R158" s="1170"/>
      <c r="S158" s="1170"/>
      <c r="T158" s="1170"/>
      <c r="U158" s="1646"/>
      <c r="V158" s="1170"/>
      <c r="W158" s="1170"/>
      <c r="X158" s="554"/>
      <c r="Y158" s="1170"/>
      <c r="Z158" s="1170"/>
      <c r="AA158" s="1170"/>
      <c r="AB158" s="1170"/>
      <c r="AC158" s="1170"/>
      <c r="AD158" s="1642"/>
      <c r="AE158" s="576"/>
      <c r="AF158" s="576"/>
      <c r="AG158" s="576"/>
      <c r="AH158" s="576"/>
      <c r="AI158" s="1651">
        <v>11</v>
      </c>
    </row>
    <row s="1651" customFormat="1" customHeight="1" ht="11.549999999999999">
      <c r="A159" s="997"/>
      <c r="B159" s="1646"/>
      <c r="C159" s="1646"/>
      <c r="D159" s="361"/>
      <c r="J159" s="1651"/>
      <c r="K159" s="1651"/>
      <c r="L159" s="1651"/>
      <c r="N159" s="1170"/>
      <c r="O159" s="1646"/>
      <c r="P159" s="1646"/>
      <c r="Q159" s="1170"/>
      <c r="R159" s="1170"/>
      <c r="S159" s="1170"/>
      <c r="T159" s="1170"/>
      <c r="U159" s="1646"/>
      <c r="V159" s="1170"/>
      <c r="W159" s="1170"/>
      <c r="X159" s="554"/>
      <c r="Y159" s="1170"/>
      <c r="Z159" s="1170"/>
      <c r="AA159" s="1170"/>
      <c r="AB159" s="1170"/>
      <c r="AC159" s="1170"/>
      <c r="AD159" s="1642"/>
      <c r="AE159" s="576"/>
      <c r="AF159" s="576"/>
      <c r="AG159" s="576"/>
      <c r="AH159" s="576"/>
      <c r="AI159" s="1651">
        <v>11</v>
      </c>
    </row>
    <row s="1651" customFormat="1" customHeight="1" ht="11.549999999999999">
      <c r="A160" s="997"/>
      <c r="B160" s="1646"/>
      <c r="C160" s="1646"/>
      <c r="D160" s="361"/>
      <c r="J160" s="1651"/>
      <c r="K160" s="1651"/>
      <c r="L160" s="1651"/>
      <c r="N160" s="1170"/>
      <c r="O160" s="1646"/>
      <c r="P160" s="1646"/>
      <c r="Q160" s="1170"/>
      <c r="R160" s="1170"/>
      <c r="S160" s="1170"/>
      <c r="T160" s="1170"/>
      <c r="U160" s="1646"/>
      <c r="V160" s="1170"/>
      <c r="W160" s="1170"/>
      <c r="X160" s="554"/>
      <c r="Y160" s="1170"/>
      <c r="Z160" s="1170"/>
      <c r="AA160" s="1170"/>
      <c r="AB160" s="1170"/>
      <c r="AC160" s="1170"/>
      <c r="AD160" s="1642"/>
      <c r="AE160" s="576"/>
      <c r="AF160" s="576"/>
      <c r="AG160" s="576"/>
      <c r="AH160" s="576"/>
      <c r="AI160" s="1651">
        <v>11</v>
      </c>
    </row>
    <row s="1651" customFormat="1" customHeight="1" ht="11.549999999999999">
      <c r="A161" s="997"/>
      <c r="B161" s="1646"/>
      <c r="C161" s="1646"/>
      <c r="D161" s="361"/>
      <c r="J161" s="1651"/>
      <c r="K161" s="1651"/>
      <c r="L161" s="1651"/>
      <c r="N161" s="1170"/>
      <c r="O161" s="1646"/>
      <c r="P161" s="1646"/>
      <c r="Q161" s="1170"/>
      <c r="R161" s="1170"/>
      <c r="S161" s="1170"/>
      <c r="T161" s="1170"/>
      <c r="U161" s="1646"/>
      <c r="V161" s="1170"/>
      <c r="W161" s="1170"/>
      <c r="X161" s="554"/>
      <c r="Y161" s="1170"/>
      <c r="Z161" s="1170"/>
      <c r="AA161" s="1170"/>
      <c r="AB161" s="1170"/>
      <c r="AC161" s="1170"/>
      <c r="AD161" s="1642"/>
      <c r="AE161" s="576"/>
      <c r="AF161" s="576"/>
      <c r="AG161" s="576"/>
      <c r="AH161" s="576"/>
      <c r="AI161" s="1651">
        <v>11</v>
      </c>
    </row>
    <row s="1651" customFormat="1" customHeight="1" ht="11.549999999999999">
      <c r="A162" s="997"/>
      <c r="B162" s="1646"/>
      <c r="C162" s="1646"/>
      <c r="D162" s="361"/>
      <c r="J162" s="1651"/>
      <c r="K162" s="1651"/>
      <c r="L162" s="1651"/>
      <c r="N162" s="1170"/>
      <c r="O162" s="1646"/>
      <c r="P162" s="1646"/>
      <c r="Q162" s="1170"/>
      <c r="R162" s="1170"/>
      <c r="S162" s="1170"/>
      <c r="T162" s="1170"/>
      <c r="U162" s="1646"/>
      <c r="V162" s="1170"/>
      <c r="W162" s="1170"/>
      <c r="X162" s="554"/>
      <c r="Y162" s="1170"/>
      <c r="Z162" s="1170"/>
      <c r="AA162" s="1170"/>
      <c r="AB162" s="1170"/>
      <c r="AC162" s="1170"/>
      <c r="AD162" s="1642"/>
      <c r="AE162" s="576"/>
      <c r="AF162" s="576"/>
      <c r="AG162" s="576"/>
      <c r="AH162" s="576"/>
      <c r="AI162" s="1651">
        <v>11</v>
      </c>
    </row>
    <row s="1651" customFormat="1" customHeight="1" ht="11.549999999999999">
      <c r="A163" s="997"/>
      <c r="B163" s="1646"/>
      <c r="C163" s="1646"/>
      <c r="D163" s="361"/>
      <c r="J163" s="1651"/>
      <c r="K163" s="1651"/>
      <c r="L163" s="1651"/>
      <c r="N163" s="1170"/>
      <c r="O163" s="1646"/>
      <c r="P163" s="1646"/>
      <c r="Q163" s="1170"/>
      <c r="R163" s="1170"/>
      <c r="S163" s="1170"/>
      <c r="T163" s="1170"/>
      <c r="U163" s="1646"/>
      <c r="V163" s="1170"/>
      <c r="W163" s="1170"/>
      <c r="X163" s="554"/>
      <c r="Y163" s="1170"/>
      <c r="Z163" s="1170"/>
      <c r="AA163" s="1170"/>
      <c r="AB163" s="1170"/>
      <c r="AC163" s="1170"/>
      <c r="AD163" s="1642"/>
      <c r="AE163" s="576"/>
      <c r="AF163" s="576"/>
      <c r="AG163" s="576"/>
      <c r="AH163" s="576"/>
      <c r="AI163" s="1651">
        <v>11</v>
      </c>
    </row>
    <row s="1651" customFormat="1" customHeight="1" ht="11.549999999999999">
      <c r="A164" s="997"/>
      <c r="B164" s="1646"/>
      <c r="C164" s="1646"/>
      <c r="D164" s="361"/>
      <c r="J164" s="1651"/>
      <c r="K164" s="1651"/>
      <c r="L164" s="1651"/>
      <c r="N164" s="1170"/>
      <c r="O164" s="1646"/>
      <c r="P164" s="1646"/>
      <c r="Q164" s="1170"/>
      <c r="R164" s="1170"/>
      <c r="S164" s="1170"/>
      <c r="T164" s="1170"/>
      <c r="U164" s="1646"/>
      <c r="V164" s="1170"/>
      <c r="W164" s="1170"/>
      <c r="X164" s="554"/>
      <c r="Y164" s="1170"/>
      <c r="Z164" s="1170"/>
      <c r="AA164" s="1170"/>
      <c r="AB164" s="1170"/>
      <c r="AC164" s="1170"/>
      <c r="AD164" s="1642"/>
      <c r="AE164" s="576"/>
      <c r="AF164" s="576"/>
      <c r="AG164" s="576"/>
      <c r="AH164" s="576"/>
      <c r="AI164" s="1651">
        <v>11</v>
      </c>
    </row>
    <row s="1651" customFormat="1" customHeight="1" ht="11.549999999999999">
      <c r="A165" s="997"/>
      <c r="B165" s="1646"/>
      <c r="C165" s="1646"/>
      <c r="D165" s="361"/>
      <c r="J165" s="1651"/>
      <c r="K165" s="1651"/>
      <c r="L165" s="1651"/>
      <c r="N165" s="1170"/>
      <c r="O165" s="1646"/>
      <c r="P165" s="1646"/>
      <c r="Q165" s="1170"/>
      <c r="R165" s="1170"/>
      <c r="S165" s="1170"/>
      <c r="T165" s="1170"/>
      <c r="U165" s="1646"/>
      <c r="V165" s="1170"/>
      <c r="W165" s="1170"/>
      <c r="X165" s="554"/>
      <c r="Y165" s="1170"/>
      <c r="Z165" s="1170"/>
      <c r="AA165" s="1170"/>
      <c r="AB165" s="1170"/>
      <c r="AC165" s="1170"/>
      <c r="AD165" s="1642"/>
      <c r="AE165" s="576"/>
      <c r="AF165" s="576"/>
      <c r="AG165" s="576"/>
      <c r="AH165" s="576"/>
      <c r="AI165" s="1651">
        <v>11</v>
      </c>
    </row>
    <row s="1651" customFormat="1" customHeight="1" ht="11.549999999999999">
      <c r="A166" s="997"/>
      <c r="B166" s="1646"/>
      <c r="C166" s="1646"/>
      <c r="D166" s="361"/>
      <c r="J166" s="1651"/>
      <c r="K166" s="1651"/>
      <c r="L166" s="1651"/>
      <c r="N166" s="1170"/>
      <c r="O166" s="1646"/>
      <c r="P166" s="1646"/>
      <c r="Q166" s="1170"/>
      <c r="R166" s="1170"/>
      <c r="S166" s="1170"/>
      <c r="T166" s="1170"/>
      <c r="U166" s="1646"/>
      <c r="V166" s="1170"/>
      <c r="W166" s="1170"/>
      <c r="X166" s="554"/>
      <c r="Y166" s="1170"/>
      <c r="Z166" s="1170"/>
      <c r="AA166" s="1170"/>
      <c r="AB166" s="1170"/>
      <c r="AC166" s="1170"/>
      <c r="AD166" s="1642"/>
      <c r="AE166" s="576"/>
      <c r="AF166" s="576"/>
      <c r="AG166" s="576"/>
      <c r="AH166" s="576"/>
      <c r="AI166" s="1651">
        <v>11</v>
      </c>
    </row>
    <row s="1651" customFormat="1" customHeight="1" ht="11.549999999999999">
      <c r="A167" s="997"/>
      <c r="B167" s="1646"/>
      <c r="C167" s="1646"/>
      <c r="D167" s="361"/>
      <c r="J167" s="1651"/>
      <c r="K167" s="1651"/>
      <c r="L167" s="1651"/>
      <c r="N167" s="1170"/>
      <c r="O167" s="1646"/>
      <c r="P167" s="1646"/>
      <c r="Q167" s="1170"/>
      <c r="R167" s="1170"/>
      <c r="S167" s="1170"/>
      <c r="T167" s="1170"/>
      <c r="U167" s="1646"/>
      <c r="V167" s="1170"/>
      <c r="W167" s="1170"/>
      <c r="X167" s="554"/>
      <c r="Y167" s="1170"/>
      <c r="Z167" s="1170"/>
      <c r="AA167" s="1170"/>
      <c r="AB167" s="1170"/>
      <c r="AC167" s="1170"/>
      <c r="AD167" s="1642"/>
      <c r="AE167" s="576"/>
      <c r="AF167" s="576"/>
      <c r="AG167" s="576"/>
      <c r="AH167" s="576"/>
      <c r="AI167" s="1651">
        <v>11</v>
      </c>
    </row>
    <row s="1651" customFormat="1" customHeight="1" ht="11.549999999999999">
      <c r="A168" s="997"/>
      <c r="B168" s="1646"/>
      <c r="C168" s="1646"/>
      <c r="D168" s="361"/>
      <c r="J168" s="1651"/>
      <c r="K168" s="1651"/>
      <c r="L168" s="1651"/>
      <c r="N168" s="1170"/>
      <c r="O168" s="1646"/>
      <c r="P168" s="1646"/>
      <c r="Q168" s="1170"/>
      <c r="R168" s="1170"/>
      <c r="S168" s="1170"/>
      <c r="T168" s="1170"/>
      <c r="U168" s="1646"/>
      <c r="V168" s="1170"/>
      <c r="W168" s="1170"/>
      <c r="X168" s="554"/>
      <c r="Y168" s="1170"/>
      <c r="Z168" s="1170"/>
      <c r="AA168" s="1170"/>
      <c r="AB168" s="1170"/>
      <c r="AC168" s="1170"/>
      <c r="AD168" s="1642"/>
      <c r="AE168" s="576"/>
      <c r="AF168" s="576"/>
      <c r="AG168" s="576"/>
      <c r="AH168" s="576"/>
      <c r="AI168" s="1651">
        <v>11</v>
      </c>
    </row>
    <row s="1651" customFormat="1" customHeight="1" ht="11.549999999999999">
      <c r="A169" s="997"/>
      <c r="B169" s="1646"/>
      <c r="C169" s="1646"/>
      <c r="D169" s="361"/>
      <c r="J169" s="1651"/>
      <c r="K169" s="1651"/>
      <c r="L169" s="1651"/>
      <c r="N169" s="1170"/>
      <c r="O169" s="1646"/>
      <c r="P169" s="1646"/>
      <c r="Q169" s="1170"/>
      <c r="R169" s="1170"/>
      <c r="S169" s="1170"/>
      <c r="T169" s="1170"/>
      <c r="U169" s="1646"/>
      <c r="V169" s="1170"/>
      <c r="W169" s="1170"/>
      <c r="X169" s="554"/>
      <c r="Y169" s="1170"/>
      <c r="Z169" s="1170"/>
      <c r="AA169" s="1170"/>
      <c r="AB169" s="1170"/>
      <c r="AC169" s="1170"/>
      <c r="AD169" s="1642"/>
      <c r="AE169" s="576"/>
      <c r="AF169" s="576"/>
      <c r="AG169" s="576"/>
      <c r="AH169" s="576"/>
      <c r="AI169" s="1651">
        <v>11</v>
      </c>
    </row>
    <row s="1651" customFormat="1" customHeight="1" ht="11.549999999999999">
      <c r="A170" s="997"/>
      <c r="B170" s="1646"/>
      <c r="C170" s="1646"/>
      <c r="D170" s="361"/>
      <c r="J170" s="1651"/>
      <c r="K170" s="1651"/>
      <c r="L170" s="1651"/>
      <c r="N170" s="1170"/>
      <c r="O170" s="1646"/>
      <c r="P170" s="1646"/>
      <c r="Q170" s="1170"/>
      <c r="R170" s="1170"/>
      <c r="S170" s="1170"/>
      <c r="T170" s="1170"/>
      <c r="U170" s="1646"/>
      <c r="V170" s="1170"/>
      <c r="W170" s="1170"/>
      <c r="X170" s="554"/>
      <c r="Y170" s="1170"/>
      <c r="Z170" s="1170"/>
      <c r="AA170" s="1170"/>
      <c r="AB170" s="1170"/>
      <c r="AC170" s="1170"/>
      <c r="AD170" s="1642"/>
      <c r="AE170" s="576"/>
      <c r="AF170" s="576"/>
      <c r="AG170" s="576"/>
      <c r="AH170" s="576"/>
      <c r="AI170" s="1651">
        <v>11</v>
      </c>
    </row>
    <row s="1651" customFormat="1" customHeight="1" ht="11.549999999999999">
      <c r="A171" s="997"/>
      <c r="B171" s="1646"/>
      <c r="C171" s="1646"/>
      <c r="D171" s="361"/>
      <c r="J171" s="1651"/>
      <c r="K171" s="1651"/>
      <c r="L171" s="1651"/>
      <c r="N171" s="1170"/>
      <c r="O171" s="1646"/>
      <c r="P171" s="1646"/>
      <c r="Q171" s="1170"/>
      <c r="R171" s="1170"/>
      <c r="S171" s="1170"/>
      <c r="T171" s="1170"/>
      <c r="U171" s="1646"/>
      <c r="V171" s="1170"/>
      <c r="W171" s="1170"/>
      <c r="X171" s="554"/>
      <c r="Y171" s="1170"/>
      <c r="Z171" s="1170"/>
      <c r="AA171" s="1170"/>
      <c r="AB171" s="1170"/>
      <c r="AC171" s="1170"/>
      <c r="AD171" s="1642"/>
      <c r="AE171" s="576"/>
      <c r="AF171" s="576"/>
      <c r="AG171" s="576"/>
      <c r="AH171" s="576"/>
      <c r="AI171" s="1651">
        <v>11</v>
      </c>
    </row>
    <row s="1651" customFormat="1" customHeight="1" ht="11.549999999999999">
      <c r="A172" s="997"/>
      <c r="B172" s="1646"/>
      <c r="C172" s="1646"/>
      <c r="D172" s="361"/>
      <c r="J172" s="1651"/>
      <c r="K172" s="1651"/>
      <c r="L172" s="1651"/>
      <c r="N172" s="1170"/>
      <c r="O172" s="1646"/>
      <c r="P172" s="1646"/>
      <c r="Q172" s="1170"/>
      <c r="R172" s="1170"/>
      <c r="S172" s="1170"/>
      <c r="T172" s="1170"/>
      <c r="U172" s="1646"/>
      <c r="V172" s="1170"/>
      <c r="W172" s="1170"/>
      <c r="X172" s="554"/>
      <c r="Y172" s="1170"/>
      <c r="Z172" s="1170"/>
      <c r="AA172" s="1170"/>
      <c r="AB172" s="1170"/>
      <c r="AC172" s="1170"/>
      <c r="AD172" s="1642"/>
      <c r="AE172" s="576"/>
      <c r="AF172" s="576"/>
      <c r="AG172" s="576"/>
      <c r="AH172" s="576"/>
      <c r="AI172" s="1651">
        <v>11</v>
      </c>
    </row>
    <row s="1651" customFormat="1" customHeight="1" ht="11.549999999999999">
      <c r="A173" s="997"/>
      <c r="B173" s="1646"/>
      <c r="C173" s="1646"/>
      <c r="D173" s="361"/>
      <c r="J173" s="1651"/>
      <c r="K173" s="1651"/>
      <c r="L173" s="1651"/>
      <c r="N173" s="1170"/>
      <c r="O173" s="1646"/>
      <c r="P173" s="1646"/>
      <c r="Q173" s="1170"/>
      <c r="R173" s="1170"/>
      <c r="S173" s="1170"/>
      <c r="T173" s="1170"/>
      <c r="U173" s="1646"/>
      <c r="V173" s="1170"/>
      <c r="W173" s="1170"/>
      <c r="X173" s="554"/>
      <c r="Y173" s="1170"/>
      <c r="Z173" s="1170"/>
      <c r="AA173" s="1170"/>
      <c r="AB173" s="1170"/>
      <c r="AC173" s="1170"/>
      <c r="AD173" s="1642"/>
      <c r="AE173" s="576"/>
      <c r="AF173" s="576"/>
      <c r="AG173" s="576"/>
      <c r="AH173" s="576"/>
      <c r="AI173" s="1651">
        <v>11</v>
      </c>
    </row>
    <row s="1651" customFormat="1" customHeight="1" ht="11.549999999999999">
      <c r="A174" s="997"/>
      <c r="B174" s="1646"/>
      <c r="C174" s="1646"/>
      <c r="D174" s="361"/>
      <c r="J174" s="1651"/>
      <c r="K174" s="1651"/>
      <c r="L174" s="1651"/>
      <c r="N174" s="1170"/>
      <c r="O174" s="1646"/>
      <c r="P174" s="1646"/>
      <c r="Q174" s="1170"/>
      <c r="R174" s="1170"/>
      <c r="S174" s="1170"/>
      <c r="T174" s="1170"/>
      <c r="U174" s="1646"/>
      <c r="V174" s="1170"/>
      <c r="W174" s="1170"/>
      <c r="X174" s="554"/>
      <c r="Y174" s="1170"/>
      <c r="Z174" s="1170"/>
      <c r="AA174" s="1170"/>
      <c r="AB174" s="1170"/>
      <c r="AC174" s="1170"/>
      <c r="AD174" s="1642"/>
      <c r="AE174" s="576"/>
      <c r="AF174" s="576"/>
      <c r="AG174" s="576"/>
      <c r="AH174" s="576"/>
      <c r="AI174" s="1651">
        <v>11</v>
      </c>
    </row>
    <row s="1651" customFormat="1" customHeight="1" ht="11.549999999999999">
      <c r="A175" s="997"/>
      <c r="B175" s="1646"/>
      <c r="C175" s="1646"/>
      <c r="D175" s="361"/>
      <c r="J175" s="1651"/>
      <c r="K175" s="1651"/>
      <c r="L175" s="1651"/>
      <c r="N175" s="1170"/>
      <c r="O175" s="1646"/>
      <c r="P175" s="1646"/>
      <c r="Q175" s="1170"/>
      <c r="R175" s="1170"/>
      <c r="S175" s="1170"/>
      <c r="T175" s="1170"/>
      <c r="U175" s="1646"/>
      <c r="V175" s="1170"/>
      <c r="W175" s="1170"/>
      <c r="X175" s="554"/>
      <c r="Y175" s="1170"/>
      <c r="Z175" s="1170"/>
      <c r="AA175" s="1170"/>
      <c r="AB175" s="1170"/>
      <c r="AC175" s="1170"/>
      <c r="AD175" s="1642"/>
      <c r="AE175" s="576"/>
      <c r="AF175" s="576"/>
      <c r="AG175" s="576"/>
      <c r="AH175" s="576"/>
      <c r="AI175" s="1651">
        <v>11</v>
      </c>
    </row>
    <row s="1651" customFormat="1" customHeight="1" ht="11.549999999999999">
      <c r="A176" s="997"/>
      <c r="B176" s="1646"/>
      <c r="C176" s="1646"/>
      <c r="D176" s="361"/>
      <c r="J176" s="1651"/>
      <c r="K176" s="1651"/>
      <c r="L176" s="1651"/>
      <c r="N176" s="1170"/>
      <c r="O176" s="1646"/>
      <c r="P176" s="1646"/>
      <c r="Q176" s="1170"/>
      <c r="R176" s="1170"/>
      <c r="S176" s="1170"/>
      <c r="T176" s="1170"/>
      <c r="U176" s="1646"/>
      <c r="V176" s="1170"/>
      <c r="W176" s="1170"/>
      <c r="X176" s="554"/>
      <c r="Y176" s="1170"/>
      <c r="Z176" s="1170"/>
      <c r="AA176" s="1170"/>
      <c r="AB176" s="1170"/>
      <c r="AC176" s="1170"/>
      <c r="AD176" s="1642"/>
      <c r="AE176" s="576"/>
      <c r="AF176" s="576"/>
      <c r="AG176" s="576"/>
      <c r="AH176" s="576"/>
      <c r="AI176" s="1651">
        <v>11</v>
      </c>
    </row>
    <row s="1651" customFormat="1" customHeight="1" ht="11.549999999999999">
      <c r="A177" s="997"/>
      <c r="B177" s="1646"/>
      <c r="C177" s="1646"/>
      <c r="D177" s="361"/>
      <c r="J177" s="1651"/>
      <c r="K177" s="1651"/>
      <c r="L177" s="1651"/>
      <c r="N177" s="1170"/>
      <c r="O177" s="1646"/>
      <c r="P177" s="1646"/>
      <c r="Q177" s="1170"/>
      <c r="R177" s="1170"/>
      <c r="S177" s="1170"/>
      <c r="T177" s="1170"/>
      <c r="U177" s="1646"/>
      <c r="V177" s="1170"/>
      <c r="W177" s="1170"/>
      <c r="X177" s="554"/>
      <c r="Y177" s="1170"/>
      <c r="Z177" s="1170"/>
      <c r="AA177" s="1170"/>
      <c r="AB177" s="1170"/>
      <c r="AC177" s="1170"/>
      <c r="AD177" s="1642"/>
      <c r="AE177" s="576"/>
      <c r="AF177" s="576"/>
      <c r="AG177" s="576"/>
      <c r="AH177" s="576"/>
      <c r="AI177" s="1651">
        <v>11</v>
      </c>
    </row>
    <row s="1651" customFormat="1" customHeight="1" ht="11.549999999999999">
      <c r="A178" s="997"/>
      <c r="B178" s="1646"/>
      <c r="C178" s="1646"/>
      <c r="D178" s="361"/>
      <c r="J178" s="1651"/>
      <c r="K178" s="1651"/>
      <c r="L178" s="1651"/>
      <c r="N178" s="1170"/>
      <c r="O178" s="1646"/>
      <c r="P178" s="1646"/>
      <c r="Q178" s="1170"/>
      <c r="R178" s="1170"/>
      <c r="S178" s="1170"/>
      <c r="T178" s="1170"/>
      <c r="U178" s="1646"/>
      <c r="V178" s="1170"/>
      <c r="W178" s="1170"/>
      <c r="X178" s="554"/>
      <c r="Y178" s="1170"/>
      <c r="Z178" s="1170"/>
      <c r="AA178" s="1170"/>
      <c r="AB178" s="1170"/>
      <c r="AC178" s="1170"/>
      <c r="AD178" s="1642"/>
      <c r="AE178" s="576"/>
      <c r="AF178" s="576"/>
      <c r="AG178" s="576"/>
      <c r="AH178" s="576"/>
      <c r="AI178" s="1651">
        <v>11</v>
      </c>
    </row>
    <row s="1651" customFormat="1" customHeight="1" ht="11.549999999999999">
      <c r="A179" s="997"/>
      <c r="B179" s="1646"/>
      <c r="C179" s="1646"/>
      <c r="D179" s="361"/>
      <c r="J179" s="1651"/>
      <c r="K179" s="1651"/>
      <c r="L179" s="1651"/>
      <c r="N179" s="1170"/>
      <c r="O179" s="1646"/>
      <c r="P179" s="1646"/>
      <c r="Q179" s="1170"/>
      <c r="R179" s="1170"/>
      <c r="S179" s="1170"/>
      <c r="T179" s="1170"/>
      <c r="U179" s="1646"/>
      <c r="V179" s="1170"/>
      <c r="W179" s="1170"/>
      <c r="X179" s="554"/>
      <c r="Y179" s="1170"/>
      <c r="Z179" s="1170"/>
      <c r="AA179" s="1170"/>
      <c r="AB179" s="1170"/>
      <c r="AC179" s="1170"/>
      <c r="AD179" s="1642"/>
      <c r="AE179" s="576"/>
      <c r="AF179" s="576"/>
      <c r="AG179" s="576"/>
      <c r="AH179" s="576"/>
      <c r="AI179" s="1651">
        <v>11</v>
      </c>
    </row>
    <row s="1651" customFormat="1" customHeight="1" ht="11.549999999999999">
      <c r="A180" s="997"/>
      <c r="B180" s="1646"/>
      <c r="C180" s="1646"/>
      <c r="D180" s="361"/>
      <c r="J180" s="1651"/>
      <c r="K180" s="1651"/>
      <c r="L180" s="1651"/>
      <c r="N180" s="1170"/>
      <c r="O180" s="1646"/>
      <c r="P180" s="1646"/>
      <c r="Q180" s="1170"/>
      <c r="R180" s="1170"/>
      <c r="S180" s="1170"/>
      <c r="T180" s="1170"/>
      <c r="U180" s="1646"/>
      <c r="V180" s="1170"/>
      <c r="W180" s="1170"/>
      <c r="X180" s="554"/>
      <c r="Y180" s="1170"/>
      <c r="Z180" s="1170"/>
      <c r="AA180" s="1170"/>
      <c r="AB180" s="1170"/>
      <c r="AC180" s="1170"/>
      <c r="AD180" s="1642"/>
      <c r="AE180" s="576"/>
      <c r="AF180" s="576"/>
      <c r="AG180" s="576"/>
      <c r="AH180" s="576"/>
      <c r="AI180" s="1651">
        <v>11</v>
      </c>
    </row>
    <row s="1651" customFormat="1" customHeight="1" ht="11.549999999999999">
      <c r="A181" s="997"/>
      <c r="B181" s="1646"/>
      <c r="C181" s="1646"/>
      <c r="D181" s="361"/>
      <c r="J181" s="1651"/>
      <c r="K181" s="1651"/>
      <c r="L181" s="1651"/>
      <c r="N181" s="1170"/>
      <c r="O181" s="1646"/>
      <c r="P181" s="1646"/>
      <c r="Q181" s="1170"/>
      <c r="R181" s="1170"/>
      <c r="S181" s="1170"/>
      <c r="T181" s="1170"/>
      <c r="U181" s="1646"/>
      <c r="V181" s="1170"/>
      <c r="W181" s="1170"/>
      <c r="X181" s="554"/>
      <c r="Y181" s="1170"/>
      <c r="Z181" s="1170"/>
      <c r="AA181" s="1170"/>
      <c r="AB181" s="1170"/>
      <c r="AC181" s="1170"/>
      <c r="AD181" s="1642"/>
      <c r="AE181" s="576"/>
      <c r="AF181" s="576"/>
      <c r="AG181" s="576"/>
      <c r="AH181" s="576"/>
      <c r="AI181" s="1651">
        <v>11</v>
      </c>
    </row>
    <row s="1651" customFormat="1" customHeight="1" ht="11.549999999999999">
      <c r="A182" s="997"/>
      <c r="B182" s="1646"/>
      <c r="C182" s="1646"/>
      <c r="D182" s="361"/>
      <c r="J182" s="1651"/>
      <c r="K182" s="1651"/>
      <c r="L182" s="1651"/>
      <c r="N182" s="1170"/>
      <c r="O182" s="1646"/>
      <c r="P182" s="1646"/>
      <c r="Q182" s="1170"/>
      <c r="R182" s="1170"/>
      <c r="S182" s="1170"/>
      <c r="T182" s="1170"/>
      <c r="U182" s="1646"/>
      <c r="V182" s="1170"/>
      <c r="W182" s="1170"/>
      <c r="X182" s="554"/>
      <c r="Y182" s="1170"/>
      <c r="Z182" s="1170"/>
      <c r="AA182" s="1170"/>
      <c r="AB182" s="1170"/>
      <c r="AC182" s="1170"/>
      <c r="AD182" s="1642"/>
      <c r="AE182" s="576"/>
      <c r="AF182" s="576"/>
      <c r="AG182" s="576"/>
      <c r="AH182" s="576"/>
      <c r="AI182" s="1651">
        <v>11</v>
      </c>
    </row>
    <row s="1651" customFormat="1" customHeight="1" ht="11.549999999999999">
      <c r="A183" s="997"/>
      <c r="B183" s="1646"/>
      <c r="C183" s="1646"/>
      <c r="D183" s="361"/>
      <c r="J183" s="1651"/>
      <c r="K183" s="1651"/>
      <c r="L183" s="1651"/>
      <c r="N183" s="1170"/>
      <c r="O183" s="1646"/>
      <c r="P183" s="1646"/>
      <c r="Q183" s="1170"/>
      <c r="R183" s="1170"/>
      <c r="S183" s="1170"/>
      <c r="T183" s="1170"/>
      <c r="U183" s="1646"/>
      <c r="V183" s="1170"/>
      <c r="W183" s="1170"/>
      <c r="X183" s="554"/>
      <c r="Y183" s="1170"/>
      <c r="Z183" s="1170"/>
      <c r="AA183" s="1170"/>
      <c r="AB183" s="1170"/>
      <c r="AC183" s="1170"/>
      <c r="AD183" s="1642"/>
      <c r="AE183" s="576"/>
      <c r="AF183" s="576"/>
      <c r="AG183" s="576"/>
      <c r="AH183" s="576"/>
      <c r="AI183" s="1651">
        <v>11</v>
      </c>
    </row>
    <row s="1651" customFormat="1" customHeight="1" ht="11.549999999999999">
      <c r="A184" s="997"/>
      <c r="B184" s="1646"/>
      <c r="C184" s="1646"/>
      <c r="D184" s="361"/>
      <c r="J184" s="1651"/>
      <c r="K184" s="1651"/>
      <c r="L184" s="1651"/>
      <c r="N184" s="1170"/>
      <c r="O184" s="1646"/>
      <c r="P184" s="1646"/>
      <c r="Q184" s="1170"/>
      <c r="R184" s="1170"/>
      <c r="S184" s="1170"/>
      <c r="T184" s="1170"/>
      <c r="U184" s="1646"/>
      <c r="V184" s="1170"/>
      <c r="W184" s="1170"/>
      <c r="X184" s="554"/>
      <c r="Y184" s="1170"/>
      <c r="Z184" s="1170"/>
      <c r="AA184" s="1170"/>
      <c r="AB184" s="1170"/>
      <c r="AC184" s="1170"/>
      <c r="AD184" s="1642"/>
      <c r="AE184" s="576"/>
      <c r="AF184" s="576"/>
      <c r="AG184" s="576"/>
      <c r="AH184" s="576"/>
      <c r="AI184" s="1651">
        <v>11</v>
      </c>
    </row>
    <row s="1651" customFormat="1" customHeight="1" ht="11.549999999999999">
      <c r="A185" s="997"/>
      <c r="B185" s="1646"/>
      <c r="C185" s="1646"/>
      <c r="D185" s="361"/>
      <c r="J185" s="1651"/>
      <c r="K185" s="1651"/>
      <c r="L185" s="1651"/>
      <c r="N185" s="1170"/>
      <c r="O185" s="1646"/>
      <c r="P185" s="1646"/>
      <c r="Q185" s="1170"/>
      <c r="R185" s="1170"/>
      <c r="S185" s="1170"/>
      <c r="T185" s="1170"/>
      <c r="U185" s="1646"/>
      <c r="V185" s="1170"/>
      <c r="W185" s="1170"/>
      <c r="X185" s="554"/>
      <c r="Y185" s="1170"/>
      <c r="Z185" s="1170"/>
      <c r="AA185" s="1170"/>
      <c r="AB185" s="1170"/>
      <c r="AC185" s="1170"/>
      <c r="AD185" s="1642"/>
      <c r="AE185" s="576"/>
      <c r="AF185" s="576"/>
      <c r="AG185" s="576"/>
      <c r="AH185" s="576"/>
      <c r="AI185" s="1651">
        <v>11</v>
      </c>
    </row>
    <row s="1651" customFormat="1" customHeight="1" ht="11.549999999999999">
      <c r="A186" s="997"/>
      <c r="B186" s="1646"/>
      <c r="C186" s="1646"/>
      <c r="D186" s="361"/>
      <c r="J186" s="1651"/>
      <c r="K186" s="1651"/>
      <c r="L186" s="1651"/>
      <c r="N186" s="1170"/>
      <c r="O186" s="1646"/>
      <c r="P186" s="1646"/>
      <c r="Q186" s="1170"/>
      <c r="R186" s="1170"/>
      <c r="S186" s="1170"/>
      <c r="T186" s="1170"/>
      <c r="U186" s="1646"/>
      <c r="V186" s="1170"/>
      <c r="W186" s="1170"/>
      <c r="X186" s="554"/>
      <c r="Y186" s="1170"/>
      <c r="Z186" s="1170"/>
      <c r="AA186" s="1170"/>
      <c r="AB186" s="1170"/>
      <c r="AC186" s="1170"/>
      <c r="AD186" s="1642"/>
      <c r="AE186" s="576"/>
      <c r="AF186" s="576"/>
      <c r="AG186" s="576"/>
      <c r="AH186" s="576"/>
      <c r="AI186" s="1651">
        <v>11</v>
      </c>
    </row>
    <row s="1651" customFormat="1" customHeight="1" ht="11.549999999999999">
      <c r="A187" s="997"/>
      <c r="B187" s="1646"/>
      <c r="C187" s="1646"/>
      <c r="D187" s="361"/>
      <c r="J187" s="1651"/>
      <c r="K187" s="1651"/>
      <c r="L187" s="1651"/>
      <c r="N187" s="1170"/>
      <c r="O187" s="1646"/>
      <c r="P187" s="1646"/>
      <c r="Q187" s="1170"/>
      <c r="R187" s="1170"/>
      <c r="S187" s="1170"/>
      <c r="T187" s="1170"/>
      <c r="U187" s="1646"/>
      <c r="V187" s="1170"/>
      <c r="W187" s="1170"/>
      <c r="X187" s="554"/>
      <c r="Y187" s="1170"/>
      <c r="Z187" s="1170"/>
      <c r="AA187" s="1170"/>
      <c r="AB187" s="1170"/>
      <c r="AC187" s="1170"/>
      <c r="AD187" s="1642"/>
      <c r="AE187" s="576"/>
      <c r="AF187" s="576"/>
      <c r="AG187" s="576"/>
      <c r="AH187" s="576"/>
      <c r="AI187" s="1651">
        <v>11</v>
      </c>
    </row>
    <row s="1651" customFormat="1" customHeight="1" ht="11.549999999999999">
      <c r="A188" s="997"/>
      <c r="B188" s="1646"/>
      <c r="C188" s="1646"/>
      <c r="D188" s="361"/>
      <c r="J188" s="1651"/>
      <c r="K188" s="1651"/>
      <c r="L188" s="1651"/>
      <c r="N188" s="1170"/>
      <c r="O188" s="1646"/>
      <c r="P188" s="1646"/>
      <c r="Q188" s="1170"/>
      <c r="R188" s="1170"/>
      <c r="S188" s="1170"/>
      <c r="T188" s="1170"/>
      <c r="U188" s="1646"/>
      <c r="V188" s="1170"/>
      <c r="W188" s="1170"/>
      <c r="X188" s="554"/>
      <c r="Y188" s="1170"/>
      <c r="Z188" s="1170"/>
      <c r="AA188" s="1170"/>
      <c r="AB188" s="1170"/>
      <c r="AC188" s="1170"/>
      <c r="AD188" s="1642"/>
      <c r="AE188" s="576"/>
      <c r="AF188" s="576"/>
      <c r="AG188" s="576"/>
      <c r="AH188" s="576"/>
      <c r="AI188" s="1651">
        <v>11</v>
      </c>
    </row>
    <row s="1651" customFormat="1" customHeight="1" ht="11.549999999999999">
      <c r="A189" s="997"/>
      <c r="B189" s="1646"/>
      <c r="C189" s="1646"/>
      <c r="D189" s="361"/>
      <c r="J189" s="1651"/>
      <c r="K189" s="1651"/>
      <c r="L189" s="1651"/>
      <c r="N189" s="1170"/>
      <c r="O189" s="1646"/>
      <c r="P189" s="1646"/>
      <c r="Q189" s="1170"/>
      <c r="R189" s="1170"/>
      <c r="S189" s="1170"/>
      <c r="T189" s="1170"/>
      <c r="U189" s="1646"/>
      <c r="V189" s="1170"/>
      <c r="W189" s="1170"/>
      <c r="X189" s="554"/>
      <c r="Y189" s="1170"/>
      <c r="Z189" s="1170"/>
      <c r="AA189" s="1170"/>
      <c r="AB189" s="1170"/>
      <c r="AC189" s="1170"/>
      <c r="AD189" s="1642"/>
      <c r="AE189" s="576"/>
      <c r="AF189" s="576"/>
      <c r="AG189" s="576"/>
      <c r="AH189" s="576"/>
      <c r="AI189" s="1651">
        <v>11</v>
      </c>
    </row>
    <row s="1651" customFormat="1" customHeight="1" ht="11.549999999999999">
      <c r="A190" s="997"/>
      <c r="B190" s="1646"/>
      <c r="C190" s="1646"/>
      <c r="D190" s="361"/>
      <c r="J190" s="1651"/>
      <c r="K190" s="1651"/>
      <c r="L190" s="1651"/>
      <c r="N190" s="1170"/>
      <c r="O190" s="1646"/>
      <c r="P190" s="1646"/>
      <c r="Q190" s="1170"/>
      <c r="R190" s="1170"/>
      <c r="S190" s="1170"/>
      <c r="T190" s="1170"/>
      <c r="U190" s="1646"/>
      <c r="V190" s="1170"/>
      <c r="W190" s="1170"/>
      <c r="X190" s="554"/>
      <c r="Y190" s="1170"/>
      <c r="Z190" s="1170"/>
      <c r="AA190" s="1170"/>
      <c r="AB190" s="1170"/>
      <c r="AC190" s="1170"/>
      <c r="AD190" s="1642"/>
      <c r="AE190" s="576"/>
      <c r="AF190" s="576"/>
      <c r="AG190" s="576"/>
      <c r="AH190" s="576"/>
      <c r="AI190" s="1651">
        <v>11</v>
      </c>
    </row>
    <row s="1651" customFormat="1" customHeight="1" ht="11.549999999999999">
      <c r="A191" s="997"/>
      <c r="B191" s="1646"/>
      <c r="C191" s="1646"/>
      <c r="D191" s="361"/>
      <c r="J191" s="1651"/>
      <c r="K191" s="1651"/>
      <c r="L191" s="1651"/>
      <c r="N191" s="1170"/>
      <c r="O191" s="1646"/>
      <c r="P191" s="1646"/>
      <c r="Q191" s="1170"/>
      <c r="R191" s="1170"/>
      <c r="S191" s="1170"/>
      <c r="T191" s="1170"/>
      <c r="U191" s="1646"/>
      <c r="V191" s="1170"/>
      <c r="W191" s="1170"/>
      <c r="X191" s="554"/>
      <c r="Y191" s="1170"/>
      <c r="Z191" s="1170"/>
      <c r="AA191" s="1170"/>
      <c r="AB191" s="1170"/>
      <c r="AC191" s="1170"/>
      <c r="AD191" s="1642"/>
      <c r="AE191" s="576"/>
      <c r="AF191" s="576"/>
      <c r="AG191" s="576"/>
      <c r="AH191" s="576"/>
      <c r="AI191" s="1651">
        <v>11</v>
      </c>
    </row>
    <row s="1651" customFormat="1" customHeight="1" ht="11.549999999999999">
      <c r="A192" s="997"/>
      <c r="B192" s="1646"/>
      <c r="C192" s="1646"/>
      <c r="D192" s="361"/>
      <c r="J192" s="1651"/>
      <c r="K192" s="1651"/>
      <c r="L192" s="1651"/>
      <c r="N192" s="1170"/>
      <c r="O192" s="1646"/>
      <c r="P192" s="1646"/>
      <c r="Q192" s="1170"/>
      <c r="R192" s="1170"/>
      <c r="S192" s="1170"/>
      <c r="T192" s="1170"/>
      <c r="U192" s="1646"/>
      <c r="V192" s="1170"/>
      <c r="W192" s="1170"/>
      <c r="X192" s="554"/>
      <c r="Y192" s="1170"/>
      <c r="Z192" s="1170"/>
      <c r="AA192" s="1170"/>
      <c r="AB192" s="1170"/>
      <c r="AC192" s="1170"/>
      <c r="AD192" s="1642"/>
      <c r="AE192" s="576"/>
      <c r="AF192" s="576"/>
      <c r="AG192" s="576"/>
      <c r="AH192" s="576"/>
      <c r="AI192" s="1651">
        <v>11</v>
      </c>
    </row>
    <row s="1651" customFormat="1" customHeight="1" ht="11.549999999999999">
      <c r="A193" s="997"/>
      <c r="B193" s="1646"/>
      <c r="C193" s="1646"/>
      <c r="D193" s="361"/>
      <c r="J193" s="1651"/>
      <c r="K193" s="1651"/>
      <c r="L193" s="1651"/>
      <c r="N193" s="1170"/>
      <c r="O193" s="1646"/>
      <c r="P193" s="1646"/>
      <c r="Q193" s="1170"/>
      <c r="R193" s="1170"/>
      <c r="S193" s="1170"/>
      <c r="T193" s="1170"/>
      <c r="U193" s="1646"/>
      <c r="V193" s="1170"/>
      <c r="W193" s="1170"/>
      <c r="X193" s="554"/>
      <c r="Y193" s="1170"/>
      <c r="Z193" s="1170"/>
      <c r="AA193" s="1170"/>
      <c r="AB193" s="1170"/>
      <c r="AC193" s="1170"/>
      <c r="AD193" s="1642"/>
      <c r="AE193" s="576"/>
      <c r="AF193" s="576"/>
      <c r="AG193" s="576"/>
      <c r="AH193" s="576"/>
      <c r="AI193" s="1651">
        <v>11</v>
      </c>
    </row>
    <row s="1651" customFormat="1" customHeight="1" ht="11.549999999999999">
      <c r="A194" s="997"/>
      <c r="B194" s="1646"/>
      <c r="C194" s="1646"/>
      <c r="D194" s="361"/>
      <c r="J194" s="1651"/>
      <c r="K194" s="1651"/>
      <c r="L194" s="1651"/>
      <c r="N194" s="1170"/>
      <c r="O194" s="1646"/>
      <c r="P194" s="1646"/>
      <c r="Q194" s="1170"/>
      <c r="R194" s="1170"/>
      <c r="S194" s="1170"/>
      <c r="T194" s="1170"/>
      <c r="U194" s="1646"/>
      <c r="V194" s="1170"/>
      <c r="W194" s="1170"/>
      <c r="X194" s="554"/>
      <c r="Y194" s="1170"/>
      <c r="Z194" s="1170"/>
      <c r="AA194" s="1170"/>
      <c r="AB194" s="1170"/>
      <c r="AC194" s="1170"/>
      <c r="AD194" s="1642"/>
      <c r="AE194" s="576"/>
      <c r="AF194" s="576"/>
      <c r="AG194" s="576"/>
      <c r="AH194" s="576"/>
      <c r="AI194" s="1651">
        <v>11</v>
      </c>
    </row>
    <row s="1651" customFormat="1" customHeight="1" ht="11.549999999999999">
      <c r="A195" s="997"/>
      <c r="B195" s="1646"/>
      <c r="C195" s="1646"/>
      <c r="D195" s="361"/>
      <c r="J195" s="1651"/>
      <c r="K195" s="1651"/>
      <c r="L195" s="1651"/>
      <c r="N195" s="1170"/>
      <c r="O195" s="1646"/>
      <c r="P195" s="1646"/>
      <c r="Q195" s="1170"/>
      <c r="R195" s="1170"/>
      <c r="S195" s="1170"/>
      <c r="T195" s="1170"/>
      <c r="U195" s="1646"/>
      <c r="V195" s="1170"/>
      <c r="W195" s="1170"/>
      <c r="X195" s="554"/>
      <c r="Y195" s="1170"/>
      <c r="Z195" s="1170"/>
      <c r="AA195" s="1170"/>
      <c r="AB195" s="1170"/>
      <c r="AC195" s="1170"/>
      <c r="AD195" s="1642"/>
      <c r="AE195" s="576"/>
      <c r="AF195" s="576"/>
      <c r="AG195" s="576"/>
      <c r="AH195" s="576"/>
      <c r="AI195" s="1651">
        <v>11</v>
      </c>
    </row>
    <row customHeight="1" ht="11.549999999999999">
      <c r="J196" s="1645"/>
      <c r="K196" s="1645"/>
      <c r="L196" s="1645"/>
      <c r="AI196" s="1641">
        <v>11</v>
      </c>
    </row>
    <row customHeight="1" ht="11.549999999999999">
      <c r="J197" s="1645"/>
      <c r="K197" s="1645"/>
      <c r="L197" s="1645"/>
      <c r="AI197" s="1641">
        <v>11</v>
      </c>
    </row>
    <row customHeight="1" ht="11.549999999999999">
      <c r="J198" s="1645"/>
      <c r="K198" s="1645"/>
      <c r="L198" s="1645"/>
      <c r="AI198" s="1641">
        <v>11</v>
      </c>
    </row>
    <row customHeight="1" ht="11.549999999999999">
      <c r="A199" s="1000"/>
      <c r="B199" s="1641"/>
      <c r="D199" s="1641"/>
      <c r="J199" s="1645"/>
      <c r="K199" s="1645"/>
      <c r="L199" s="1645"/>
      <c r="N199" s="1641"/>
      <c r="Q199" s="1641"/>
      <c r="R199" s="1641"/>
      <c r="S199" s="1641"/>
      <c r="T199" s="1641"/>
      <c r="V199" s="1641"/>
      <c r="W199" s="1641"/>
      <c r="X199" s="1641"/>
      <c r="Y199" s="1641"/>
      <c r="Z199" s="1641"/>
      <c r="AA199" s="1641"/>
      <c r="AB199" s="1641"/>
      <c r="AC199" s="1641"/>
      <c r="AD199" s="1641"/>
      <c r="AE199" s="1641"/>
      <c r="AF199" s="1641"/>
      <c r="AG199" s="1641"/>
      <c r="AH199" s="1641"/>
      <c r="AI199" s="1641">
        <v>11</v>
      </c>
    </row>
    <row customHeight="1" ht="11.549999999999999">
      <c r="A200" s="1000"/>
      <c r="B200" s="1641"/>
      <c r="D200" s="1641"/>
      <c r="J200" s="1645"/>
      <c r="K200" s="1645"/>
      <c r="L200" s="1645"/>
      <c r="N200" s="1641"/>
      <c r="Q200" s="1641"/>
      <c r="R200" s="1641"/>
      <c r="S200" s="1641"/>
      <c r="T200" s="1641"/>
      <c r="V200" s="1641"/>
      <c r="W200" s="1641"/>
      <c r="X200" s="1641"/>
      <c r="Y200" s="1641"/>
      <c r="Z200" s="1641"/>
      <c r="AA200" s="1641"/>
      <c r="AB200" s="1641"/>
      <c r="AC200" s="1641"/>
      <c r="AD200" s="1641"/>
      <c r="AE200" s="1641"/>
      <c r="AF200" s="1641"/>
      <c r="AG200" s="1641"/>
      <c r="AH200" s="1641"/>
      <c r="AI200" s="1641">
        <v>11</v>
      </c>
    </row>
    <row customHeight="1" ht="11.549999999999999">
      <c r="A201" s="1000"/>
      <c r="B201" s="1641"/>
      <c r="D201" s="1641"/>
      <c r="J201" s="1645"/>
      <c r="K201" s="1645"/>
      <c r="L201" s="1645"/>
      <c r="N201" s="1641"/>
      <c r="Q201" s="1641"/>
      <c r="R201" s="1641"/>
      <c r="S201" s="1641"/>
      <c r="T201" s="1641"/>
      <c r="V201" s="1641"/>
      <c r="W201" s="1641"/>
      <c r="X201" s="1641"/>
      <c r="Y201" s="1641"/>
      <c r="Z201" s="1641"/>
      <c r="AA201" s="1641"/>
      <c r="AB201" s="1641"/>
      <c r="AC201" s="1641"/>
      <c r="AD201" s="1641"/>
      <c r="AE201" s="1641"/>
      <c r="AF201" s="1641"/>
      <c r="AG201" s="1641"/>
      <c r="AH201" s="1641"/>
      <c r="AI201" s="1641">
        <v>11</v>
      </c>
    </row>
    <row customHeight="1" ht="11.549999999999999">
      <c r="A202" s="1000"/>
      <c r="B202" s="1641"/>
      <c r="D202" s="1641"/>
      <c r="J202" s="1645"/>
      <c r="K202" s="1645"/>
      <c r="L202" s="1645"/>
      <c r="N202" s="1641"/>
      <c r="Q202" s="1641"/>
      <c r="R202" s="1641"/>
      <c r="S202" s="1641"/>
      <c r="T202" s="1641"/>
      <c r="V202" s="1641"/>
      <c r="W202" s="1641"/>
      <c r="X202" s="1641"/>
      <c r="Y202" s="1641"/>
      <c r="Z202" s="1641"/>
      <c r="AA202" s="1641"/>
      <c r="AB202" s="1641"/>
      <c r="AC202" s="1641"/>
      <c r="AD202" s="1641"/>
      <c r="AE202" s="1641"/>
      <c r="AF202" s="1641"/>
      <c r="AG202" s="1641"/>
      <c r="AH202" s="1641"/>
      <c r="AI202" s="1641">
        <v>11</v>
      </c>
    </row>
    <row customHeight="1" ht="11.549999999999999">
      <c r="A203" s="1000"/>
      <c r="B203" s="1641"/>
      <c r="D203" s="1641"/>
      <c r="J203" s="1645"/>
      <c r="K203" s="1645"/>
      <c r="L203" s="1645"/>
      <c r="N203" s="1641"/>
      <c r="Q203" s="1641"/>
      <c r="R203" s="1641"/>
      <c r="S203" s="1641"/>
      <c r="T203" s="1641"/>
      <c r="V203" s="1641"/>
      <c r="W203" s="1641"/>
      <c r="X203" s="1641"/>
      <c r="Y203" s="1641"/>
      <c r="Z203" s="1641"/>
      <c r="AA203" s="1641"/>
      <c r="AB203" s="1641"/>
      <c r="AC203" s="1641"/>
      <c r="AD203" s="1641"/>
      <c r="AE203" s="1641"/>
      <c r="AF203" s="1641"/>
      <c r="AG203" s="1641"/>
      <c r="AH203" s="1641"/>
      <c r="AI203" s="1641">
        <v>11</v>
      </c>
    </row>
    <row customHeight="1" ht="11.549999999999999">
      <c r="A204" s="1000"/>
      <c r="B204" s="1641"/>
      <c r="D204" s="1641"/>
      <c r="J204" s="1645"/>
      <c r="K204" s="1645"/>
      <c r="L204" s="1645"/>
      <c r="N204" s="1641"/>
      <c r="Q204" s="1641"/>
      <c r="R204" s="1641"/>
      <c r="S204" s="1641"/>
      <c r="T204" s="1641"/>
      <c r="V204" s="1641"/>
      <c r="W204" s="1641"/>
      <c r="X204" s="1641"/>
      <c r="Y204" s="1641"/>
      <c r="Z204" s="1641"/>
      <c r="AA204" s="1641"/>
      <c r="AB204" s="1641"/>
      <c r="AC204" s="1641"/>
      <c r="AD204" s="1641"/>
      <c r="AE204" s="1641"/>
      <c r="AF204" s="1641"/>
      <c r="AG204" s="1641"/>
      <c r="AH204" s="1641"/>
      <c r="AI204" s="1641">
        <v>11</v>
      </c>
    </row>
    <row customHeight="1" ht="11.549999999999999">
      <c r="A205" s="1000"/>
      <c r="B205" s="1641"/>
      <c r="D205" s="1641"/>
      <c r="J205" s="1645"/>
      <c r="K205" s="1645"/>
      <c r="L205" s="1645"/>
      <c r="N205" s="1641"/>
      <c r="Q205" s="1641"/>
      <c r="R205" s="1641"/>
      <c r="S205" s="1641"/>
      <c r="T205" s="1641"/>
      <c r="V205" s="1641"/>
      <c r="W205" s="1641"/>
      <c r="X205" s="1641"/>
      <c r="Y205" s="1641"/>
      <c r="Z205" s="1641"/>
      <c r="AA205" s="1641"/>
      <c r="AB205" s="1641"/>
      <c r="AC205" s="1641"/>
      <c r="AD205" s="1641"/>
      <c r="AE205" s="1641"/>
      <c r="AF205" s="1641"/>
      <c r="AG205" s="1641"/>
      <c r="AH205" s="1641"/>
      <c r="AI205" s="1641">
        <v>11</v>
      </c>
    </row>
    <row customHeight="1" ht="11.549999999999999">
      <c r="A206" s="1000"/>
      <c r="B206" s="1641"/>
      <c r="D206" s="1641"/>
      <c r="J206" s="1645"/>
      <c r="K206" s="1645"/>
      <c r="L206" s="1645"/>
      <c r="N206" s="1641"/>
      <c r="Q206" s="1641"/>
      <c r="R206" s="1641"/>
      <c r="S206" s="1641"/>
      <c r="T206" s="1641"/>
      <c r="V206" s="1641"/>
      <c r="W206" s="1641"/>
      <c r="X206" s="1641"/>
      <c r="Y206" s="1641"/>
      <c r="Z206" s="1641"/>
      <c r="AA206" s="1641"/>
      <c r="AB206" s="1641"/>
      <c r="AC206" s="1641"/>
      <c r="AD206" s="1641"/>
      <c r="AE206" s="1641"/>
      <c r="AF206" s="1641"/>
      <c r="AG206" s="1641"/>
      <c r="AH206" s="1641"/>
      <c r="AI206" s="1641">
        <v>11</v>
      </c>
    </row>
    <row customHeight="1" ht="11.549999999999999">
      <c r="A207" s="1000"/>
      <c r="B207" s="1641"/>
      <c r="D207" s="1641"/>
      <c r="J207" s="1645"/>
      <c r="K207" s="1645"/>
      <c r="L207" s="1645"/>
      <c r="N207" s="1641"/>
      <c r="Q207" s="1641"/>
      <c r="R207" s="1641"/>
      <c r="S207" s="1641"/>
      <c r="T207" s="1641"/>
      <c r="V207" s="1641"/>
      <c r="W207" s="1641"/>
      <c r="X207" s="1641"/>
      <c r="Y207" s="1641"/>
      <c r="Z207" s="1641"/>
      <c r="AA207" s="1641"/>
      <c r="AB207" s="1641"/>
      <c r="AC207" s="1641"/>
      <c r="AD207" s="1641"/>
      <c r="AE207" s="1641"/>
      <c r="AF207" s="1641"/>
      <c r="AG207" s="1641"/>
      <c r="AH207" s="1641"/>
      <c r="AI207" s="1641">
        <v>11</v>
      </c>
    </row>
    <row customHeight="1" ht="11.549999999999999">
      <c r="A208" s="1000"/>
      <c r="B208" s="1641"/>
      <c r="D208" s="1641"/>
      <c r="J208" s="1645"/>
      <c r="K208" s="1645"/>
      <c r="L208" s="1645"/>
      <c r="N208" s="1641"/>
      <c r="Q208" s="1641"/>
      <c r="R208" s="1641"/>
      <c r="S208" s="1641"/>
      <c r="T208" s="1641"/>
      <c r="V208" s="1641"/>
      <c r="W208" s="1641"/>
      <c r="X208" s="1641"/>
      <c r="Y208" s="1641"/>
      <c r="Z208" s="1641"/>
      <c r="AA208" s="1641"/>
      <c r="AB208" s="1641"/>
      <c r="AC208" s="1641"/>
      <c r="AD208" s="1641"/>
      <c r="AE208" s="1641"/>
      <c r="AF208" s="1641"/>
      <c r="AG208" s="1641"/>
      <c r="AH208" s="1641"/>
      <c r="AI208" s="1641">
        <v>11</v>
      </c>
    </row>
    <row customHeight="1" ht="11.549999999999999">
      <c r="A209" s="1000"/>
      <c r="B209" s="1641"/>
      <c r="D209" s="1641"/>
      <c r="J209" s="1645"/>
      <c r="K209" s="1645"/>
      <c r="L209" s="1645"/>
      <c r="N209" s="1641"/>
      <c r="Q209" s="1641"/>
      <c r="R209" s="1641"/>
      <c r="S209" s="1641"/>
      <c r="T209" s="1641"/>
      <c r="V209" s="1641"/>
      <c r="W209" s="1641"/>
      <c r="X209" s="1641"/>
      <c r="Y209" s="1641"/>
      <c r="Z209" s="1641"/>
      <c r="AA209" s="1641"/>
      <c r="AB209" s="1641"/>
      <c r="AC209" s="1641"/>
      <c r="AD209" s="1641"/>
      <c r="AE209" s="1641"/>
      <c r="AF209" s="1641"/>
      <c r="AG209" s="1641"/>
      <c r="AH209" s="1641"/>
      <c r="AI209" s="1641">
        <v>11</v>
      </c>
    </row>
    <row customHeight="1" ht="11.25" hidden="1">
      <c r="A210" s="997" t="s">
        <v>82</v>
      </c>
      <c r="B210" s="1170">
        <v>0</v>
      </c>
      <c r="C210" s="1646">
        <v>0</v>
      </c>
      <c r="D210" s="1645">
        <v>3</v>
      </c>
      <c r="E210" s="1641">
        <v>7</v>
      </c>
      <c r="F210" s="1641">
        <v>54</v>
      </c>
      <c r="G210" s="1641">
        <v>10</v>
      </c>
      <c r="H210" s="1641">
        <v>0</v>
      </c>
      <c r="I210" s="1641">
        <v>40</v>
      </c>
      <c r="J210" s="1645">
        <v>0</v>
      </c>
      <c r="K210" s="1645">
        <v>0</v>
      </c>
      <c r="L210" s="1645">
        <v>0</v>
      </c>
      <c r="M210" s="1641">
        <v>102</v>
      </c>
      <c r="N210" s="1170">
        <v>9</v>
      </c>
      <c r="O210" s="1646">
        <v>5</v>
      </c>
      <c r="P210" s="1646">
        <v>3</v>
      </c>
      <c r="Q210" s="1170">
        <v>3</v>
      </c>
      <c r="R210" s="1170">
        <v>3</v>
      </c>
      <c r="S210" s="1170">
        <v>3</v>
      </c>
      <c r="T210" s="1170">
        <v>3</v>
      </c>
      <c r="U210" s="1646">
        <v>10</v>
      </c>
      <c r="V210" s="1170">
        <v>34</v>
      </c>
      <c r="W210" s="1170">
        <v>9</v>
      </c>
      <c r="X210" s="554">
        <v>8</v>
      </c>
      <c r="Y210" s="1170">
        <v>8</v>
      </c>
      <c r="Z210" s="1170">
        <v>8</v>
      </c>
      <c r="AA210" s="1170">
        <v>8</v>
      </c>
      <c r="AB210" s="1170">
        <v>8</v>
      </c>
      <c r="AC210" s="1170">
        <v>8</v>
      </c>
      <c r="AD210" s="1642">
        <v>8</v>
      </c>
      <c r="AE210" s="1642">
        <v>8</v>
      </c>
      <c r="AF210" s="1642">
        <v>8</v>
      </c>
      <c r="AG210" s="1642">
        <v>8</v>
      </c>
      <c r="AH210" s="1642">
        <v>8</v>
      </c>
      <c r="AI210" s="1641">
        <v>11</v>
      </c>
    </row>
  </sheetData>
  <sheetProtection sheet="1" formatColumns="0" formatRows="0" autoFilter="0" sort="1" insertRows="1" insertColumns="1" deleteRows="1" deleteColumns="1"/>
  <mergeCells count="9">
    <mergeCell ref="F40:G40"/>
    <mergeCell ref="E6:I6"/>
    <mergeCell ref="E7:I7"/>
    <mergeCell ref="F10:G10"/>
    <mergeCell ref="M10:M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L28">
      <formula1>900</formula1>
    </dataValidation>
    <dataValidation type="decimal" allowBlank="1" showErrorMessage="1" errorTitle="Ошибка" error="Допускается ввод только неотрицательных чисел!" sqref="H31:L31 H2:L2 H15:L15 H17:L27 H36:L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L35">
      <formula1>900</formula1>
    </dataValidation>
    <dataValidation type="decimal" allowBlank="1" showErrorMessage="1" errorTitle="Ошибка" error="Допускается ввод только действительных чисел!" sqref="H30:L30">
      <formula1>-9.99999999999999E+23</formula1>
      <formula2>9.99999999999999E+23</formula2>
    </dataValidation>
    <dataValidation type="decimal" allowBlank="1" showErrorMessage="1" errorTitle="Ошибка" error="Допускается ввод только действительных чисел!" sqref="H32:L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66ACDF-5FBD-8D63-14D9-0.46AAC586}" mc:Ignorable="x14ac xr xr2 xr3">
  <sheetPr>
    <tabColor theme="9" tint="-0.25"/>
  </sheetPr>
  <dimension ref="A1:AD102"/>
  <sheetViews>
    <sheetView showGridLines="0" zoomScale="90" workbookViewId="0">
      <pane xSplit="8" ySplit="11" topLeftCell="I12" activePane="bottomRight" state="frozen"/>
      <selection pane="bottomLeft" activeCell="A12" sqref="A12"/>
      <selection pane="topRight" activeCell="I1" sqref="I1"/>
      <selection pane="bottomRight" activeCell="O1" sqref="O1:P102"/>
    </sheetView>
  </sheetViews>
  <sheetFormatPr defaultColWidth="10.57421875" customHeight="1" defaultRowHeight="11.25"/>
  <cols>
    <col min="1" max="1" style="1176" width="9.140625" hidden="1" customWidth="1"/>
    <col min="2" max="2" style="1652" width="3.57421875" hidden="1" customWidth="1"/>
    <col min="3" max="3" style="1645" width="3.00390625" customWidth="1"/>
    <col min="4" max="4" style="1645" width="7.00390625" customWidth="1"/>
    <col min="5" max="5" style="1645" width="69.00390625" customWidth="1"/>
    <col min="6" max="6" style="1645" width="10.00390625" customWidth="1"/>
    <col min="7" max="8" style="1645" width="44.00390625" hidden="1" customWidth="1"/>
    <col min="9" max="9" style="1645" width="44.00390625" customWidth="1"/>
    <col min="10" max="10" style="1645" width="43.00390625" customWidth="1"/>
    <col min="11" max="16" style="1645" width="44.00390625" customWidth="1"/>
    <col min="17" max="17" style="1645" width="73.00390625" customWidth="1"/>
    <col min="18" max="18" style="1645" width="3.00390625" customWidth="1"/>
    <col min="19" max="29" style="1645" width="10.00390625" customWidth="1"/>
    <col min="30" max="30" style="1645" width="10.57421875" hidden="1"/>
  </cols>
  <sheetData>
    <row s="1376" customFormat="1" customHeight="1" ht="22.5" hidden="1">
      <c r="A1" s="546"/>
      <c r="B1" s="521"/>
      <c r="G1" s="427">
        <v>4</v>
      </c>
      <c r="I1" s="427">
        <v>4</v>
      </c>
      <c r="K1" s="1376">
        <v>4</v>
      </c>
      <c r="L1" s="1376"/>
      <c r="M1" s="1376">
        <v>4</v>
      </c>
      <c r="N1" s="1376"/>
      <c r="O1" s="1376">
        <v>4</v>
      </c>
      <c r="P1" s="1376"/>
      <c r="Q1" s="427">
        <v>5</v>
      </c>
      <c r="AD1" s="427" t="s">
        <v>14</v>
      </c>
    </row>
    <row customHeight="1" ht="3">
      <c r="K2" s="1645"/>
      <c r="L2" s="1645"/>
      <c r="M2" s="1645"/>
      <c r="N2" s="1645"/>
      <c r="O2" s="1645"/>
      <c r="P2" s="1645"/>
      <c r="AD2" s="515">
        <v>3</v>
      </c>
    </row>
    <row customHeight="1" ht="78.75">
      <c r="D3" s="224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9"/>
      <c r="F3" s="2250"/>
      <c r="K3" s="1645"/>
      <c r="L3" s="1645"/>
      <c r="M3" s="1645"/>
      <c r="N3" s="1645"/>
      <c r="O3" s="1645"/>
      <c r="P3" s="1645"/>
      <c r="AD3" s="515">
        <v>75</v>
      </c>
    </row>
    <row s="1645" customFormat="1" customHeight="1" ht="21">
      <c r="A4" s="961"/>
      <c r="B4" s="521"/>
      <c r="D4" s="2224" t="str">
        <f>IF(org=0,"Не определено",org)</f>
        <v>АО «ДГК» СП «Нерюнгринская ГРЭС»</v>
      </c>
      <c r="E4" s="2225"/>
      <c r="F4" s="2226"/>
      <c r="K4" s="1645"/>
      <c r="L4" s="1645"/>
      <c r="M4" s="1645"/>
      <c r="N4" s="1645"/>
      <c r="O4" s="1645"/>
      <c r="P4" s="1645"/>
      <c r="AD4" s="768">
        <v>20</v>
      </c>
    </row>
    <row customHeight="1" ht="11.549999999999999">
      <c r="C5" s="519"/>
      <c r="D5" s="598"/>
      <c r="E5" s="598"/>
      <c r="F5" s="598"/>
      <c r="G5" s="598"/>
      <c r="H5" s="762"/>
      <c r="I5" s="598"/>
      <c r="J5" s="762"/>
      <c r="K5" s="1645"/>
      <c r="L5" s="762"/>
      <c r="M5" s="1645"/>
      <c r="N5" s="762"/>
      <c r="O5" s="1645"/>
      <c r="P5" s="762"/>
      <c r="Q5" s="598"/>
      <c r="AD5" s="515">
        <v>11</v>
      </c>
    </row>
    <row customHeight="1" ht="1.05">
      <c r="C6" s="519"/>
      <c r="D6" s="519"/>
      <c r="E6" s="532"/>
      <c r="F6" s="624"/>
      <c r="G6" s="1032"/>
      <c r="H6" s="1032"/>
      <c r="I6" s="1032" t="s">
        <v>132</v>
      </c>
      <c r="J6" s="1032"/>
      <c r="K6" s="1032" t="s">
        <v>138</v>
      </c>
      <c r="L6" s="1032"/>
      <c r="M6" s="1032" t="s">
        <v>141</v>
      </c>
      <c r="N6" s="1032"/>
      <c r="O6" s="1032" t="s">
        <v>143</v>
      </c>
      <c r="P6" s="1032"/>
      <c r="AD6" s="515">
        <v>1</v>
      </c>
    </row>
    <row customHeight="1" ht="11.549999999999999">
      <c r="D7" s="721"/>
      <c r="E7" s="2377" t="s">
        <v>120</v>
      </c>
      <c r="F7" s="2378"/>
      <c r="G7" s="2403" t="str">
        <f>IF(G6="","",INDEX(DIFFERENTIATION_UNMERGE_VD,MATCH(G6,DIFFERENTIATION_ID_DIFF,0)))</f>
        <v/>
      </c>
      <c r="H7" s="2404"/>
      <c r="I7" s="2403" t="str">
        <f>IF(I6="","",INDEX(DIFFERENTIATION_UNMERGE_VD,MATCH(I6,DIFFERENTIATION_ID_DIFF,0)))</f>
        <v>Производство тепловой энергии. Некомбинированная выработка</v>
      </c>
      <c r="J7" s="2404"/>
      <c r="K7" s="2403" t="str">
        <f>IF(K6="","",INDEX(DIFFERENTIATION_UNMERGE_VD,MATCH(K6,DIFFERENTIATION_ID_DIFF,0)))</f>
        <v>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L7" s="2404"/>
      <c r="M7" s="2403" t="str">
        <f>IF(M6="","",INDEX(DIFFERENTIATION_UNMERGE_VD,MATCH(M6,DIFFERENTIATION_ID_DIFF,0)))</f>
        <v>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N7" s="2404"/>
      <c r="O7" s="2403" t="str">
        <f>IF(O6="","",INDEX(DIFFERENTIATION_UNMERGE_VD,MATCH(O6,DIFFERENTIATION_ID_DIFF,0)))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 Передача. Тепловая энергия; Передача. Теплоноситель; Сбыт. Тепловая энергия; Сбыт. Теплоноситель</v>
      </c>
      <c r="P7" s="2404"/>
      <c r="Q7" s="2185"/>
      <c r="R7" s="519"/>
      <c r="AD7" s="515">
        <v>11</v>
      </c>
    </row>
    <row customHeight="1" ht="11.549999999999999">
      <c r="A8" s="714"/>
      <c r="D8" s="721"/>
      <c r="E8" s="2377" t="s">
        <v>586</v>
      </c>
      <c r="F8" s="2378"/>
      <c r="G8" s="2403" t="str">
        <f>IF(G6="","",INDEX(DIFFERENTIATION_UNMERGE_AREA,MATCH(G6,DIFFERENTIATION_ID_DIFF,0)))</f>
        <v/>
      </c>
      <c r="H8" s="2404"/>
      <c r="I8" s="2403" t="str">
        <f>IF(I6="","",INDEX(DIFFERENTIATION_UNMERGE_AREA,MATCH(I6,DIFFERENTIATION_ID_DIFF,0)))</f>
        <v>Территория 1</v>
      </c>
      <c r="J8" s="2404"/>
      <c r="K8" s="2403" t="str">
        <f>IF(K6="","",INDEX(DIFFERENTIATION_UNMERGE_AREA,MATCH(K6,DIFFERENTIATION_ID_DIFF,0)))</f>
        <v>Территория 2</v>
      </c>
      <c r="L8" s="2404"/>
      <c r="M8" s="2403" t="str">
        <f>IF(M6="","",INDEX(DIFFERENTIATION_UNMERGE_AREA,MATCH(M6,DIFFERENTIATION_ID_DIFF,0)))</f>
        <v>Территория 3</v>
      </c>
      <c r="N8" s="2404"/>
      <c r="O8" s="2403" t="str">
        <f>IF(O6="","",INDEX(DIFFERENTIATION_UNMERGE_AREA,MATCH(O6,DIFFERENTIATION_ID_DIFF,0)))</f>
        <v>Территория 4</v>
      </c>
      <c r="P8" s="2404"/>
      <c r="Q8" s="2209"/>
      <c r="R8" s="519"/>
      <c r="AD8" s="515">
        <v>11</v>
      </c>
    </row>
    <row customHeight="1" ht="11.549999999999999">
      <c r="A9" s="714"/>
      <c r="D9" s="721"/>
      <c r="E9" s="2377" t="s">
        <v>587</v>
      </c>
      <c r="F9" s="2378"/>
      <c r="G9" s="2403" t="str">
        <f>IF(G6="","",INDEX(DIFFERENTIATION_UNMERGE_SYSTEM,MATCH(G6,DIFFERENTIATION_ID_DIFF,0)))</f>
        <v/>
      </c>
      <c r="H9" s="2404"/>
      <c r="I9" s="2403" t="str">
        <f>IF(I6="","",INDEX(DIFFERENTIATION_UNMERGE_SYSTEM,MATCH(I6,DIFFERENTIATION_ID_DIFF,0)))</f>
        <v>Нерюнгринская ГРЭС (г. Нерюнгри)</v>
      </c>
      <c r="J9" s="2404"/>
      <c r="K9" s="2403" t="str">
        <f>IF(K6="","",INDEX(DIFFERENTIATION_UNMERGE_SYSTEM,MATCH(K6,DIFFERENTIATION_ID_DIFF,0)))</f>
        <v>Нерюнгринская ГРЭС (п. Серебряный Бор)</v>
      </c>
      <c r="L9" s="2404"/>
      <c r="M9" s="2403" t="str">
        <f>IF(M6="","",INDEX(DIFFERENTIATION_UNMERGE_SYSTEM,MATCH(M6,DIFFERENTIATION_ID_DIFF,0)))</f>
        <v>Нерюнгринская ГРЭС (п. Беркакит)</v>
      </c>
      <c r="N9" s="2404"/>
      <c r="O9" s="2403" t="str">
        <f>IF(O6="","",INDEX(DIFFERENTIATION_UNMERGE_SYSTEM,MATCH(O6,DIFFERENTIATION_ID_DIFF,0)))</f>
        <v>Чульманская ТЭЦ (п. Чульман)</v>
      </c>
      <c r="P9" s="2404"/>
      <c r="Q9" s="2209"/>
      <c r="R9" s="519"/>
      <c r="AD9" s="515">
        <v>11</v>
      </c>
    </row>
    <row s="1645" customFormat="1" customHeight="1" ht="11.549999999999999">
      <c r="A10" s="1031"/>
      <c r="B10" s="521"/>
      <c r="D10" s="2111" t="s">
        <v>322</v>
      </c>
      <c r="E10" s="2112"/>
      <c r="F10" s="2112"/>
      <c r="G10" s="2112"/>
      <c r="H10" s="2112"/>
      <c r="I10" s="2112"/>
      <c r="J10" s="2113"/>
      <c r="K10" s="2279"/>
      <c r="L10" s="2279"/>
      <c r="M10" s="2279"/>
      <c r="N10" s="2279"/>
      <c r="O10" s="2279"/>
      <c r="P10" s="2279"/>
      <c r="Q10" s="2209"/>
      <c r="R10" s="519"/>
      <c r="AD10" s="768">
        <v>11</v>
      </c>
    </row>
    <row s="1645" customFormat="1" customHeight="1" ht="24">
      <c r="A11" s="2395"/>
      <c r="B11" s="2395"/>
      <c r="C11" s="667"/>
      <c r="D11" s="713" t="s">
        <v>88</v>
      </c>
      <c r="E11" s="715" t="s">
        <v>831</v>
      </c>
      <c r="F11" s="715" t="s">
        <v>588</v>
      </c>
      <c r="G11" s="475" t="s">
        <v>325</v>
      </c>
      <c r="H11" s="475" t="s">
        <v>412</v>
      </c>
      <c r="I11" s="817" t="s">
        <v>325</v>
      </c>
      <c r="J11" s="818" t="s">
        <v>412</v>
      </c>
      <c r="K11" s="2322" t="s">
        <v>325</v>
      </c>
      <c r="L11" s="2322" t="s">
        <v>412</v>
      </c>
      <c r="M11" s="2322" t="s">
        <v>325</v>
      </c>
      <c r="N11" s="2322" t="s">
        <v>412</v>
      </c>
      <c r="O11" s="2322" t="s">
        <v>325</v>
      </c>
      <c r="P11" s="2322" t="s">
        <v>412</v>
      </c>
      <c r="Q11" s="2242"/>
      <c r="R11" s="668"/>
      <c r="AD11" s="519">
        <v>23</v>
      </c>
    </row>
    <row s="1652" customFormat="1" customHeight="1" ht="10.5">
      <c r="A12" s="962"/>
      <c r="D12" s="1035" t="s">
        <v>124</v>
      </c>
      <c r="E12" s="1035" t="s">
        <v>104</v>
      </c>
      <c r="F12" s="1035" t="s">
        <v>90</v>
      </c>
      <c r="G12" s="1036" t="str">
        <f>G1&amp;".1"</f>
        <v>4.1</v>
      </c>
      <c r="H12" s="1036" t="str">
        <f>G1&amp;".2"</f>
        <v>4.2</v>
      </c>
      <c r="I12" s="1036" t="str">
        <f>I1&amp;".1"</f>
        <v>4.1</v>
      </c>
      <c r="J12" s="1036" t="str">
        <f>I1&amp;".2"</f>
        <v>4.2</v>
      </c>
      <c r="K12" s="2384" t="str">
        <f>K1&amp;".1"</f>
        <v>4.1</v>
      </c>
      <c r="L12" s="2384" t="str">
        <f>K1&amp;".2"</f>
        <v>4.2</v>
      </c>
      <c r="M12" s="2384" t="str">
        <f>M1&amp;".1"</f>
        <v>4.1</v>
      </c>
      <c r="N12" s="2384" t="str">
        <f>M1&amp;".2"</f>
        <v>4.2</v>
      </c>
      <c r="O12" s="2384" t="str">
        <f>O1&amp;".1"</f>
        <v>4.1</v>
      </c>
      <c r="P12" s="2384" t="str">
        <f>O1&amp;".2"</f>
        <v>4.2</v>
      </c>
      <c r="Q12" s="1036"/>
      <c r="AD12" s="521">
        <v>10</v>
      </c>
    </row>
    <row customHeight="1" ht="22.5">
      <c r="A13" s="2402" t="s">
        <v>832</v>
      </c>
      <c r="D13" s="963" t="s">
        <v>124</v>
      </c>
      <c r="E13" s="289" t="s">
        <v>833</v>
      </c>
      <c r="F13" s="670" t="s">
        <v>834</v>
      </c>
      <c r="G13" s="567"/>
      <c r="H13" s="671"/>
      <c r="I13" s="567"/>
      <c r="J13" s="671"/>
      <c r="K13" s="567"/>
      <c r="L13" s="672"/>
      <c r="M13" s="567"/>
      <c r="N13" s="672"/>
      <c r="O13" s="567"/>
      <c r="P13" s="672"/>
      <c r="Q13" s="299" t="s">
        <v>835</v>
      </c>
      <c r="R13" s="730"/>
      <c r="AD13" s="515">
        <v>0</v>
      </c>
    </row>
    <row customHeight="1" ht="22.5">
      <c r="A14" s="2402"/>
      <c r="D14" s="549" t="s">
        <v>104</v>
      </c>
      <c r="E14" s="289" t="s">
        <v>836</v>
      </c>
      <c r="F14" s="670" t="s">
        <v>837</v>
      </c>
      <c r="G14" s="567"/>
      <c r="H14" s="672"/>
      <c r="I14" s="567"/>
      <c r="J14" s="672"/>
      <c r="K14" s="567"/>
      <c r="L14" s="672"/>
      <c r="M14" s="567"/>
      <c r="N14" s="672"/>
      <c r="O14" s="567"/>
      <c r="P14" s="672"/>
      <c r="Q14" s="299" t="s">
        <v>838</v>
      </c>
      <c r="R14" s="730"/>
      <c r="AD14" s="515">
        <v>0</v>
      </c>
    </row>
    <row s="1645" customFormat="1" customHeight="1" ht="78.75">
      <c r="A15" s="2402"/>
      <c r="B15" s="521"/>
      <c r="D15" s="963" t="s">
        <v>90</v>
      </c>
      <c r="E15" s="717" t="s">
        <v>839</v>
      </c>
      <c r="F15" s="960" t="s">
        <v>328</v>
      </c>
      <c r="G15" s="960" t="s">
        <v>328</v>
      </c>
      <c r="H15" s="116"/>
      <c r="I15" s="960" t="s">
        <v>328</v>
      </c>
      <c r="J15" s="116"/>
      <c r="K15" s="2322" t="s">
        <v>328</v>
      </c>
      <c r="L15" s="2511"/>
      <c r="M15" s="2322" t="s">
        <v>328</v>
      </c>
      <c r="N15" s="2511"/>
      <c r="O15" s="2322" t="s">
        <v>328</v>
      </c>
      <c r="P15" s="2511"/>
      <c r="Q15" s="299" t="s">
        <v>840</v>
      </c>
      <c r="R15" s="730"/>
      <c r="AD15" s="768">
        <v>0</v>
      </c>
    </row>
    <row s="1645" customFormat="1" customHeight="1" ht="22.5">
      <c r="A16" s="2402"/>
      <c r="B16" s="521"/>
      <c r="D16" s="963" t="s">
        <v>346</v>
      </c>
      <c r="E16" s="964" t="s">
        <v>841</v>
      </c>
      <c r="F16" s="960" t="s">
        <v>842</v>
      </c>
      <c r="G16" s="827"/>
      <c r="H16" s="116"/>
      <c r="I16" s="827"/>
      <c r="J16" s="116"/>
      <c r="K16" s="827"/>
      <c r="L16" s="2511"/>
      <c r="M16" s="827"/>
      <c r="N16" s="2511"/>
      <c r="O16" s="827"/>
      <c r="P16" s="2511"/>
      <c r="Q16" s="299"/>
      <c r="R16" s="730"/>
      <c r="AD16" s="768">
        <v>0</v>
      </c>
    </row>
    <row s="1645" customFormat="1" customHeight="1" ht="22.5">
      <c r="A17" s="2402"/>
      <c r="B17" s="521"/>
      <c r="D17" s="963" t="s">
        <v>354</v>
      </c>
      <c r="E17" s="964" t="s">
        <v>843</v>
      </c>
      <c r="F17" s="960" t="s">
        <v>844</v>
      </c>
      <c r="G17" s="827"/>
      <c r="H17" s="116"/>
      <c r="I17" s="827"/>
      <c r="J17" s="116"/>
      <c r="K17" s="827"/>
      <c r="L17" s="2511"/>
      <c r="M17" s="827"/>
      <c r="N17" s="2511"/>
      <c r="O17" s="827"/>
      <c r="P17" s="2511"/>
      <c r="Q17" s="299"/>
      <c r="R17" s="730"/>
      <c r="AD17" s="768">
        <v>0</v>
      </c>
    </row>
    <row s="1645" customFormat="1" customHeight="1" ht="33.75">
      <c r="A18" s="2402"/>
      <c r="B18" s="521"/>
      <c r="D18" s="963" t="s">
        <v>356</v>
      </c>
      <c r="E18" s="964" t="s">
        <v>845</v>
      </c>
      <c r="F18" s="960" t="s">
        <v>593</v>
      </c>
      <c r="G18" s="690"/>
      <c r="H18" s="116"/>
      <c r="I18" s="690"/>
      <c r="J18" s="116"/>
      <c r="K18" s="690"/>
      <c r="L18" s="2511"/>
      <c r="M18" s="690"/>
      <c r="N18" s="2511"/>
      <c r="O18" s="690"/>
      <c r="P18" s="2511"/>
      <c r="Q18" s="299"/>
      <c r="R18" s="730"/>
      <c r="AD18" s="768">
        <v>0</v>
      </c>
    </row>
    <row customHeight="1" ht="101.25">
      <c r="A19" s="2402"/>
      <c r="D19" s="963" t="s">
        <v>91</v>
      </c>
      <c r="E19" s="289" t="s">
        <v>846</v>
      </c>
      <c r="F19" s="670" t="s">
        <v>568</v>
      </c>
      <c r="G19" s="673"/>
      <c r="H19" s="672"/>
      <c r="I19" s="965"/>
      <c r="J19" s="672"/>
      <c r="K19" s="2527"/>
      <c r="L19" s="672"/>
      <c r="M19" s="2527"/>
      <c r="N19" s="672"/>
      <c r="O19" s="2527"/>
      <c r="P19" s="672"/>
      <c r="Q19" s="299" t="s">
        <v>847</v>
      </c>
      <c r="R19" s="730"/>
      <c r="AD19" s="515">
        <v>0</v>
      </c>
    </row>
    <row s="1645" customFormat="1" customHeight="1" ht="18.75">
      <c r="A20" s="2402"/>
      <c r="C20" s="966"/>
      <c r="D20" s="963" t="s">
        <v>778</v>
      </c>
      <c r="E20" s="964" t="s">
        <v>848</v>
      </c>
      <c r="F20" s="960" t="s">
        <v>328</v>
      </c>
      <c r="G20" s="960" t="s">
        <v>328</v>
      </c>
      <c r="H20" s="959" t="s">
        <v>328</v>
      </c>
      <c r="I20" s="960" t="s">
        <v>328</v>
      </c>
      <c r="J20" s="959" t="s">
        <v>328</v>
      </c>
      <c r="K20" s="2322" t="s">
        <v>328</v>
      </c>
      <c r="L20" s="2270" t="s">
        <v>328</v>
      </c>
      <c r="M20" s="2322" t="s">
        <v>328</v>
      </c>
      <c r="N20" s="2270" t="s">
        <v>328</v>
      </c>
      <c r="O20" s="2322" t="s">
        <v>328</v>
      </c>
      <c r="P20" s="2270" t="s">
        <v>328</v>
      </c>
      <c r="Q20" s="958"/>
      <c r="R20" s="730"/>
      <c r="AC20" s="685"/>
      <c r="AD20" s="768">
        <v>0</v>
      </c>
    </row>
    <row s="1645" customFormat="1" customHeight="1" ht="33.75">
      <c r="A21" s="2402"/>
      <c r="C21" s="966"/>
      <c r="D21" s="963" t="s">
        <v>781</v>
      </c>
      <c r="E21" s="586" t="s">
        <v>849</v>
      </c>
      <c r="F21" s="960" t="s">
        <v>850</v>
      </c>
      <c r="G21" s="690"/>
      <c r="H21" s="116"/>
      <c r="I21" s="690"/>
      <c r="J21" s="116"/>
      <c r="K21" s="690"/>
      <c r="L21" s="2511"/>
      <c r="M21" s="690"/>
      <c r="N21" s="2511"/>
      <c r="O21" s="690"/>
      <c r="P21" s="2511"/>
      <c r="Q21" s="958"/>
      <c r="R21" s="730"/>
      <c r="AC21" s="685"/>
      <c r="AD21" s="768">
        <v>0</v>
      </c>
    </row>
    <row s="1645" customFormat="1" customHeight="1" ht="33.75">
      <c r="A22" s="2402"/>
      <c r="C22" s="966"/>
      <c r="D22" s="963" t="s">
        <v>784</v>
      </c>
      <c r="E22" s="586" t="s">
        <v>851</v>
      </c>
      <c r="F22" s="960" t="s">
        <v>852</v>
      </c>
      <c r="G22" s="690"/>
      <c r="H22" s="116"/>
      <c r="I22" s="690"/>
      <c r="J22" s="116"/>
      <c r="K22" s="690"/>
      <c r="L22" s="2511"/>
      <c r="M22" s="690"/>
      <c r="N22" s="2511"/>
      <c r="O22" s="690"/>
      <c r="P22" s="2511"/>
      <c r="Q22" s="958"/>
      <c r="R22" s="730"/>
      <c r="AC22" s="685"/>
      <c r="AD22" s="768">
        <v>0</v>
      </c>
    </row>
    <row s="1645" customFormat="1" customHeight="1" ht="22.5">
      <c r="A23" s="2402"/>
      <c r="C23" s="966"/>
      <c r="D23" s="963" t="s">
        <v>820</v>
      </c>
      <c r="E23" s="964" t="s">
        <v>853</v>
      </c>
      <c r="F23" s="960" t="s">
        <v>328</v>
      </c>
      <c r="G23" s="960" t="s">
        <v>328</v>
      </c>
      <c r="H23" s="959" t="s">
        <v>328</v>
      </c>
      <c r="I23" s="960" t="s">
        <v>328</v>
      </c>
      <c r="J23" s="959" t="s">
        <v>328</v>
      </c>
      <c r="K23" s="2322" t="s">
        <v>328</v>
      </c>
      <c r="L23" s="2270" t="s">
        <v>328</v>
      </c>
      <c r="M23" s="2322" t="s">
        <v>328</v>
      </c>
      <c r="N23" s="2270" t="s">
        <v>328</v>
      </c>
      <c r="O23" s="2322" t="s">
        <v>328</v>
      </c>
      <c r="P23" s="2270" t="s">
        <v>328</v>
      </c>
      <c r="Q23" s="958"/>
      <c r="R23" s="730"/>
      <c r="AC23" s="685"/>
      <c r="AD23" s="768">
        <v>0</v>
      </c>
    </row>
    <row s="1645" customFormat="1" customHeight="1" ht="22.5">
      <c r="A24" s="2402"/>
      <c r="C24" s="966"/>
      <c r="D24" s="963" t="s">
        <v>854</v>
      </c>
      <c r="E24" s="586" t="s">
        <v>855</v>
      </c>
      <c r="F24" s="960" t="s">
        <v>856</v>
      </c>
      <c r="G24" s="690"/>
      <c r="H24" s="696"/>
      <c r="I24" s="690"/>
      <c r="J24" s="696"/>
      <c r="K24" s="690"/>
      <c r="L24" s="2363"/>
      <c r="M24" s="690"/>
      <c r="N24" s="2363"/>
      <c r="O24" s="690"/>
      <c r="P24" s="2363"/>
      <c r="Q24" s="958"/>
      <c r="R24" s="730"/>
      <c r="AC24" s="685"/>
      <c r="AD24" s="768">
        <v>0</v>
      </c>
    </row>
    <row s="1645" customFormat="1" customHeight="1" ht="22.5">
      <c r="A25" s="2402"/>
      <c r="C25" s="966"/>
      <c r="D25" s="963" t="s">
        <v>857</v>
      </c>
      <c r="E25" s="586" t="s">
        <v>858</v>
      </c>
      <c r="F25" s="960" t="s">
        <v>328</v>
      </c>
      <c r="G25" s="960" t="s">
        <v>328</v>
      </c>
      <c r="H25" s="959" t="s">
        <v>328</v>
      </c>
      <c r="I25" s="960" t="s">
        <v>328</v>
      </c>
      <c r="J25" s="959" t="s">
        <v>328</v>
      </c>
      <c r="K25" s="2322" t="s">
        <v>328</v>
      </c>
      <c r="L25" s="2270" t="s">
        <v>328</v>
      </c>
      <c r="M25" s="2322" t="s">
        <v>328</v>
      </c>
      <c r="N25" s="2270" t="s">
        <v>328</v>
      </c>
      <c r="O25" s="2322" t="s">
        <v>328</v>
      </c>
      <c r="P25" s="2270" t="s">
        <v>328</v>
      </c>
      <c r="Q25" s="958"/>
      <c r="R25" s="730"/>
      <c r="AC25" s="685"/>
      <c r="AD25" s="768">
        <v>0</v>
      </c>
    </row>
    <row s="1645" customFormat="1" customHeight="1" ht="18.75">
      <c r="A26" s="2402"/>
      <c r="C26" s="966"/>
      <c r="D26" s="963" t="s">
        <v>859</v>
      </c>
      <c r="E26" s="563" t="s">
        <v>860</v>
      </c>
      <c r="F26" s="960" t="s">
        <v>861</v>
      </c>
      <c r="G26" s="690"/>
      <c r="H26" s="696"/>
      <c r="I26" s="690"/>
      <c r="J26" s="696"/>
      <c r="K26" s="690"/>
      <c r="L26" s="2363"/>
      <c r="M26" s="690"/>
      <c r="N26" s="2363"/>
      <c r="O26" s="690"/>
      <c r="P26" s="2363"/>
      <c r="Q26" s="958"/>
      <c r="R26" s="730"/>
      <c r="AC26" s="685"/>
      <c r="AD26" s="768">
        <v>0</v>
      </c>
    </row>
    <row s="1645" customFormat="1" customHeight="1" ht="18.75">
      <c r="A27" s="2402"/>
      <c r="C27" s="966"/>
      <c r="D27" s="963" t="s">
        <v>862</v>
      </c>
      <c r="E27" s="563" t="s">
        <v>863</v>
      </c>
      <c r="F27" s="960" t="s">
        <v>864</v>
      </c>
      <c r="G27" s="690"/>
      <c r="H27" s="696"/>
      <c r="I27" s="690"/>
      <c r="J27" s="696"/>
      <c r="K27" s="690"/>
      <c r="L27" s="2363"/>
      <c r="M27" s="690"/>
      <c r="N27" s="2363"/>
      <c r="O27" s="690"/>
      <c r="P27" s="2363"/>
      <c r="Q27" s="958"/>
      <c r="R27" s="730"/>
      <c r="AC27" s="685"/>
      <c r="AD27" s="768">
        <v>0</v>
      </c>
    </row>
    <row s="1645" customFormat="1" customHeight="1" ht="18.75">
      <c r="A28" s="2402"/>
      <c r="C28" s="966"/>
      <c r="D28" s="963" t="s">
        <v>865</v>
      </c>
      <c r="E28" s="586" t="s">
        <v>866</v>
      </c>
      <c r="F28" s="960" t="s">
        <v>328</v>
      </c>
      <c r="G28" s="960" t="s">
        <v>328</v>
      </c>
      <c r="H28" s="959" t="s">
        <v>328</v>
      </c>
      <c r="I28" s="960" t="s">
        <v>328</v>
      </c>
      <c r="J28" s="959" t="s">
        <v>328</v>
      </c>
      <c r="K28" s="2322" t="s">
        <v>328</v>
      </c>
      <c r="L28" s="2270" t="s">
        <v>328</v>
      </c>
      <c r="M28" s="2322" t="s">
        <v>328</v>
      </c>
      <c r="N28" s="2270" t="s">
        <v>328</v>
      </c>
      <c r="O28" s="2322" t="s">
        <v>328</v>
      </c>
      <c r="P28" s="2270" t="s">
        <v>328</v>
      </c>
      <c r="Q28" s="958"/>
      <c r="R28" s="730"/>
      <c r="AC28" s="685"/>
      <c r="AD28" s="768">
        <v>0</v>
      </c>
    </row>
    <row s="1645" customFormat="1" customHeight="1" ht="18.75">
      <c r="A29" s="2402"/>
      <c r="C29" s="966"/>
      <c r="D29" s="963" t="s">
        <v>867</v>
      </c>
      <c r="E29" s="563" t="s">
        <v>860</v>
      </c>
      <c r="F29" s="960" t="s">
        <v>868</v>
      </c>
      <c r="G29" s="690"/>
      <c r="H29" s="696"/>
      <c r="I29" s="690"/>
      <c r="J29" s="696"/>
      <c r="K29" s="690"/>
      <c r="L29" s="2363"/>
      <c r="M29" s="690"/>
      <c r="N29" s="2363"/>
      <c r="O29" s="690"/>
      <c r="P29" s="2363"/>
      <c r="Q29" s="958"/>
      <c r="R29" s="730"/>
      <c r="AC29" s="685"/>
      <c r="AD29" s="768">
        <v>0</v>
      </c>
    </row>
    <row s="1645" customFormat="1" customHeight="1" ht="18.75">
      <c r="A30" s="2402"/>
      <c r="C30" s="966"/>
      <c r="D30" s="963" t="s">
        <v>869</v>
      </c>
      <c r="E30" s="563" t="s">
        <v>870</v>
      </c>
      <c r="F30" s="960" t="s">
        <v>871</v>
      </c>
      <c r="G30" s="690"/>
      <c r="H30" s="696"/>
      <c r="I30" s="690"/>
      <c r="J30" s="696"/>
      <c r="K30" s="690"/>
      <c r="L30" s="2363"/>
      <c r="M30" s="690"/>
      <c r="N30" s="2363"/>
      <c r="O30" s="690"/>
      <c r="P30" s="2363"/>
      <c r="Q30" s="958"/>
      <c r="R30" s="730"/>
      <c r="AC30" s="685"/>
      <c r="AD30" s="768">
        <v>0</v>
      </c>
    </row>
    <row customHeight="1" ht="126.75">
      <c r="A31" s="2402"/>
      <c r="D31" s="963" t="s">
        <v>125</v>
      </c>
      <c r="E31" s="289" t="s">
        <v>872</v>
      </c>
      <c r="F31" s="670" t="s">
        <v>580</v>
      </c>
      <c r="G31" s="567"/>
      <c r="H31" s="672"/>
      <c r="I31" s="567"/>
      <c r="J31" s="672"/>
      <c r="K31" s="567"/>
      <c r="L31" s="672"/>
      <c r="M31" s="567"/>
      <c r="N31" s="672"/>
      <c r="O31" s="567"/>
      <c r="P31" s="672"/>
      <c r="Q31" s="299" t="s">
        <v>873</v>
      </c>
      <c r="R31" s="730"/>
      <c r="AD31" s="515">
        <v>0</v>
      </c>
    </row>
    <row customHeight="1" ht="56.25">
      <c r="A32" s="2402"/>
      <c r="D32" s="963" t="s">
        <v>92</v>
      </c>
      <c r="E32" s="289" t="s">
        <v>874</v>
      </c>
      <c r="F32" s="549" t="s">
        <v>844</v>
      </c>
      <c r="G32" s="567"/>
      <c r="H32" s="672"/>
      <c r="I32" s="567"/>
      <c r="J32" s="672"/>
      <c r="K32" s="567"/>
      <c r="L32" s="672"/>
      <c r="M32" s="567"/>
      <c r="N32" s="672"/>
      <c r="O32" s="567"/>
      <c r="P32" s="672"/>
      <c r="Q32" s="299" t="s">
        <v>875</v>
      </c>
      <c r="R32" s="730"/>
      <c r="AD32" s="515">
        <v>0</v>
      </c>
    </row>
    <row customHeight="1" ht="11.25">
      <c r="A33" s="2402"/>
      <c r="E33" s="674"/>
      <c r="F33" s="191"/>
      <c r="G33" s="191"/>
      <c r="H33" s="191"/>
      <c r="I33" s="191"/>
      <c r="J33" s="191"/>
      <c r="K33" s="1074"/>
      <c r="L33" s="1074"/>
      <c r="M33" s="1074"/>
      <c r="N33" s="1074"/>
      <c r="O33" s="1074"/>
      <c r="P33" s="1074"/>
      <c r="Q33" s="191"/>
      <c r="AD33" s="515">
        <v>0</v>
      </c>
    </row>
    <row customHeight="1" ht="12.75">
      <c r="A34" s="2402"/>
      <c r="D34" s="75">
        <v>1</v>
      </c>
      <c r="E34" s="345" t="s">
        <v>876</v>
      </c>
      <c r="K34" s="1645"/>
      <c r="L34" s="1645"/>
      <c r="M34" s="1645"/>
      <c r="N34" s="1645"/>
      <c r="O34" s="1645"/>
      <c r="P34" s="1645"/>
      <c r="AD34" s="515">
        <v>0</v>
      </c>
    </row>
    <row customHeight="1" ht="11.25">
      <c r="A35" s="2402"/>
      <c r="D35" s="379"/>
      <c r="E35" s="345" t="s">
        <v>877</v>
      </c>
      <c r="K35" s="1645"/>
      <c r="L35" s="1645"/>
      <c r="M35" s="1645"/>
      <c r="N35" s="1645"/>
      <c r="O35" s="1645"/>
      <c r="P35" s="1645"/>
      <c r="AD35" s="515">
        <v>0</v>
      </c>
    </row>
    <row s="1645" customFormat="1" customHeight="1" ht="11.549999999999999">
      <c r="A36" s="1043"/>
      <c r="B36" s="528"/>
      <c r="D36" s="1044"/>
      <c r="E36" s="1045"/>
      <c r="K36" s="1645"/>
      <c r="L36" s="1645"/>
      <c r="M36" s="1645"/>
      <c r="N36" s="1645"/>
      <c r="O36" s="1645"/>
      <c r="P36" s="1645"/>
      <c r="AD36" s="519">
        <v>11</v>
      </c>
    </row>
    <row s="1645" customFormat="1" customHeight="1" ht="22.5" hidden="1">
      <c r="A37" s="2402" t="s">
        <v>878</v>
      </c>
      <c r="B37" s="521"/>
      <c r="D37" s="963">
        <v>1</v>
      </c>
      <c r="E37" s="717" t="s">
        <v>879</v>
      </c>
      <c r="F37" s="670" t="s">
        <v>834</v>
      </c>
      <c r="G37" s="567"/>
      <c r="H37" s="529"/>
      <c r="I37" s="567"/>
      <c r="J37" s="529"/>
      <c r="K37" s="567"/>
      <c r="L37" s="529"/>
      <c r="M37" s="567"/>
      <c r="N37" s="529"/>
      <c r="O37" s="567"/>
      <c r="P37" s="529"/>
      <c r="Q37" s="299" t="s">
        <v>880</v>
      </c>
      <c r="AD37" s="768">
        <v>0</v>
      </c>
    </row>
    <row s="1645" customFormat="1" customHeight="1" ht="22.5" hidden="1">
      <c r="A38" s="2402"/>
      <c r="B38" s="521"/>
      <c r="D38" s="679" t="s">
        <v>104</v>
      </c>
      <c r="E38" s="1042" t="s">
        <v>881</v>
      </c>
      <c r="F38" s="1046" t="s">
        <v>568</v>
      </c>
      <c r="G38" s="1046" t="s">
        <v>568</v>
      </c>
      <c r="H38" s="1040"/>
      <c r="I38" s="1046" t="s">
        <v>568</v>
      </c>
      <c r="J38" s="1040"/>
      <c r="K38" s="1046" t="s">
        <v>568</v>
      </c>
      <c r="L38" s="1040"/>
      <c r="M38" s="1046" t="s">
        <v>568</v>
      </c>
      <c r="N38" s="1040"/>
      <c r="O38" s="1046" t="s">
        <v>568</v>
      </c>
      <c r="P38" s="1040"/>
      <c r="Q38" s="1041"/>
      <c r="AD38" s="768">
        <v>0</v>
      </c>
    </row>
    <row s="1645" customFormat="1" customHeight="1" ht="33.75" hidden="1">
      <c r="A39" s="2402"/>
      <c r="B39" s="521"/>
      <c r="D39" s="675" t="s">
        <v>736</v>
      </c>
      <c r="E39" s="733" t="s">
        <v>882</v>
      </c>
      <c r="F39" s="670" t="s">
        <v>883</v>
      </c>
      <c r="G39" s="678"/>
      <c r="H39" s="1033"/>
      <c r="I39" s="678"/>
      <c r="J39" s="1033"/>
      <c r="K39" s="1179"/>
      <c r="L39" s="1033"/>
      <c r="M39" s="1179"/>
      <c r="N39" s="1033"/>
      <c r="O39" s="1179"/>
      <c r="P39" s="1033"/>
      <c r="Q39" s="299" t="s">
        <v>884</v>
      </c>
      <c r="AD39" s="768">
        <v>0</v>
      </c>
    </row>
    <row s="1645" customFormat="1" customHeight="1" ht="33.75" hidden="1">
      <c r="A40" s="2402"/>
      <c r="B40" s="521"/>
      <c r="D40" s="675" t="s">
        <v>739</v>
      </c>
      <c r="E40" s="733" t="s">
        <v>885</v>
      </c>
      <c r="F40" s="1037" t="s">
        <v>886</v>
      </c>
      <c r="G40" s="751"/>
      <c r="H40" s="1033"/>
      <c r="I40" s="751"/>
      <c r="J40" s="1033"/>
      <c r="K40" s="751"/>
      <c r="L40" s="1033"/>
      <c r="M40" s="751"/>
      <c r="N40" s="1033"/>
      <c r="O40" s="751"/>
      <c r="P40" s="1033"/>
      <c r="Q40" s="299" t="s">
        <v>887</v>
      </c>
      <c r="AD40" s="768">
        <v>0</v>
      </c>
    </row>
    <row s="1645" customFormat="1" customHeight="1" ht="22.5" hidden="1">
      <c r="A41" s="2402"/>
      <c r="B41" s="521"/>
      <c r="D41" s="675" t="s">
        <v>90</v>
      </c>
      <c r="E41" s="732" t="s">
        <v>888</v>
      </c>
      <c r="F41" s="670" t="s">
        <v>568</v>
      </c>
      <c r="G41" s="670" t="s">
        <v>568</v>
      </c>
      <c r="H41" s="1034"/>
      <c r="I41" s="670" t="s">
        <v>568</v>
      </c>
      <c r="J41" s="1034"/>
      <c r="K41" s="2114" t="s">
        <v>568</v>
      </c>
      <c r="L41" s="1034"/>
      <c r="M41" s="2114" t="s">
        <v>568</v>
      </c>
      <c r="N41" s="1034"/>
      <c r="O41" s="2114" t="s">
        <v>568</v>
      </c>
      <c r="P41" s="1034"/>
      <c r="Q41" s="312"/>
      <c r="AD41" s="768">
        <v>0</v>
      </c>
    </row>
    <row s="1645" customFormat="1" customHeight="1" ht="45" hidden="1">
      <c r="A42" s="2402"/>
      <c r="B42" s="521"/>
      <c r="D42" s="675" t="s">
        <v>346</v>
      </c>
      <c r="E42" s="733" t="s">
        <v>889</v>
      </c>
      <c r="F42" s="670" t="s">
        <v>580</v>
      </c>
      <c r="G42" s="567"/>
      <c r="H42" s="1034"/>
      <c r="I42" s="567"/>
      <c r="J42" s="1034"/>
      <c r="K42" s="567"/>
      <c r="L42" s="1034"/>
      <c r="M42" s="567"/>
      <c r="N42" s="1034"/>
      <c r="O42" s="567"/>
      <c r="P42" s="1034"/>
      <c r="Q42" s="312" t="s">
        <v>890</v>
      </c>
      <c r="AD42" s="768">
        <v>0</v>
      </c>
    </row>
    <row s="1645" customFormat="1" customHeight="1" ht="45" hidden="1">
      <c r="A43" s="2402"/>
      <c r="B43" s="521"/>
      <c r="D43" s="675" t="s">
        <v>354</v>
      </c>
      <c r="E43" s="677" t="s">
        <v>891</v>
      </c>
      <c r="F43" s="1038" t="s">
        <v>580</v>
      </c>
      <c r="G43" s="752"/>
      <c r="H43" s="1033"/>
      <c r="I43" s="752"/>
      <c r="J43" s="1033"/>
      <c r="K43" s="752"/>
      <c r="L43" s="1033"/>
      <c r="M43" s="752"/>
      <c r="N43" s="1033"/>
      <c r="O43" s="752"/>
      <c r="P43" s="1033"/>
      <c r="Q43" s="312" t="s">
        <v>892</v>
      </c>
      <c r="AD43" s="768">
        <v>0</v>
      </c>
    </row>
    <row s="1645" customFormat="1" customHeight="1" ht="11.25" hidden="1">
      <c r="A44" s="2402"/>
      <c r="B44" s="521"/>
      <c r="D44" s="675" t="s">
        <v>91</v>
      </c>
      <c r="E44" s="676" t="s">
        <v>893</v>
      </c>
      <c r="F44" s="670" t="s">
        <v>883</v>
      </c>
      <c r="G44" s="678"/>
      <c r="H44" s="1033"/>
      <c r="I44" s="678"/>
      <c r="J44" s="1033"/>
      <c r="K44" s="1179"/>
      <c r="L44" s="1033"/>
      <c r="M44" s="1179"/>
      <c r="N44" s="1033"/>
      <c r="O44" s="1179"/>
      <c r="P44" s="1033"/>
      <c r="Q44" s="299"/>
      <c r="AD44" s="768">
        <v>0</v>
      </c>
    </row>
    <row s="1645" customFormat="1" customHeight="1" ht="11.25" hidden="1">
      <c r="A45" s="2402"/>
      <c r="B45" s="521"/>
      <c r="D45" s="675" t="s">
        <v>778</v>
      </c>
      <c r="E45" s="677" t="s">
        <v>894</v>
      </c>
      <c r="F45" s="670" t="s">
        <v>883</v>
      </c>
      <c r="G45" s="678"/>
      <c r="H45" s="1033"/>
      <c r="I45" s="678"/>
      <c r="J45" s="1033"/>
      <c r="K45" s="1179"/>
      <c r="L45" s="1033"/>
      <c r="M45" s="1179"/>
      <c r="N45" s="1033"/>
      <c r="O45" s="1179"/>
      <c r="P45" s="1033"/>
      <c r="Q45" s="299"/>
      <c r="AD45" s="768">
        <v>0</v>
      </c>
    </row>
    <row s="1645" customFormat="1" customHeight="1" ht="11.25" hidden="1">
      <c r="A46" s="2402"/>
      <c r="B46" s="521"/>
      <c r="D46" s="675" t="s">
        <v>820</v>
      </c>
      <c r="E46" s="677" t="s">
        <v>895</v>
      </c>
      <c r="F46" s="670" t="s">
        <v>883</v>
      </c>
      <c r="G46" s="678"/>
      <c r="H46" s="1033"/>
      <c r="I46" s="678"/>
      <c r="J46" s="1033"/>
      <c r="K46" s="1179"/>
      <c r="L46" s="1033"/>
      <c r="M46" s="1179"/>
      <c r="N46" s="1033"/>
      <c r="O46" s="1179"/>
      <c r="P46" s="1033"/>
      <c r="Q46" s="299"/>
      <c r="AD46" s="768">
        <v>0</v>
      </c>
    </row>
    <row s="1645" customFormat="1" customHeight="1" ht="11.25" hidden="1">
      <c r="A47" s="2402"/>
      <c r="B47" s="521"/>
      <c r="D47" s="675" t="s">
        <v>823</v>
      </c>
      <c r="E47" s="677" t="s">
        <v>896</v>
      </c>
      <c r="F47" s="670" t="s">
        <v>883</v>
      </c>
      <c r="G47" s="678"/>
      <c r="H47" s="1033"/>
      <c r="I47" s="678"/>
      <c r="J47" s="1033"/>
      <c r="K47" s="1179"/>
      <c r="L47" s="1033"/>
      <c r="M47" s="1179"/>
      <c r="N47" s="1033"/>
      <c r="O47" s="1179"/>
      <c r="P47" s="1033"/>
      <c r="Q47" s="299"/>
      <c r="AD47" s="768">
        <v>0</v>
      </c>
    </row>
    <row s="1645" customFormat="1" customHeight="1" ht="11.25" hidden="1">
      <c r="A48" s="2402"/>
      <c r="B48" s="521"/>
      <c r="D48" s="675" t="s">
        <v>897</v>
      </c>
      <c r="E48" s="681" t="s">
        <v>898</v>
      </c>
      <c r="F48" s="670" t="s">
        <v>883</v>
      </c>
      <c r="G48" s="678"/>
      <c r="H48" s="1033"/>
      <c r="I48" s="678"/>
      <c r="J48" s="1033"/>
      <c r="K48" s="1179"/>
      <c r="L48" s="1033"/>
      <c r="M48" s="1179"/>
      <c r="N48" s="1033"/>
      <c r="O48" s="1179"/>
      <c r="P48" s="1033"/>
      <c r="Q48" s="299"/>
      <c r="AD48" s="768">
        <v>0</v>
      </c>
    </row>
    <row s="1645" customFormat="1" customHeight="1" ht="11.25" hidden="1">
      <c r="A49" s="2402"/>
      <c r="B49" s="521"/>
      <c r="D49" s="675" t="s">
        <v>899</v>
      </c>
      <c r="E49" s="681" t="s">
        <v>900</v>
      </c>
      <c r="F49" s="670" t="s">
        <v>883</v>
      </c>
      <c r="G49" s="678"/>
      <c r="H49" s="1033"/>
      <c r="I49" s="678"/>
      <c r="J49" s="1033"/>
      <c r="K49" s="1179"/>
      <c r="L49" s="1033"/>
      <c r="M49" s="1179"/>
      <c r="N49" s="1033"/>
      <c r="O49" s="1179"/>
      <c r="P49" s="1033"/>
      <c r="Q49" s="299"/>
      <c r="AD49" s="768">
        <v>0</v>
      </c>
    </row>
    <row s="1645" customFormat="1" customHeight="1" ht="11.25" hidden="1">
      <c r="A50" s="2402"/>
      <c r="B50" s="521"/>
      <c r="D50" s="675" t="s">
        <v>901</v>
      </c>
      <c r="E50" s="677" t="s">
        <v>902</v>
      </c>
      <c r="F50" s="670" t="s">
        <v>883</v>
      </c>
      <c r="G50" s="678"/>
      <c r="H50" s="1033"/>
      <c r="I50" s="678"/>
      <c r="J50" s="1033"/>
      <c r="K50" s="1179"/>
      <c r="L50" s="1033"/>
      <c r="M50" s="1179"/>
      <c r="N50" s="1033"/>
      <c r="O50" s="1179"/>
      <c r="P50" s="1033"/>
      <c r="Q50" s="299"/>
      <c r="AD50" s="768">
        <v>0</v>
      </c>
    </row>
    <row s="1645" customFormat="1" customHeight="1" ht="11.25" hidden="1">
      <c r="A51" s="2402"/>
      <c r="B51" s="521"/>
      <c r="D51" s="675" t="s">
        <v>903</v>
      </c>
      <c r="E51" s="677" t="s">
        <v>904</v>
      </c>
      <c r="F51" s="670" t="s">
        <v>883</v>
      </c>
      <c r="G51" s="678"/>
      <c r="H51" s="1033"/>
      <c r="I51" s="678"/>
      <c r="J51" s="1033"/>
      <c r="K51" s="1179"/>
      <c r="L51" s="1033"/>
      <c r="M51" s="1179"/>
      <c r="N51" s="1033"/>
      <c r="O51" s="1179"/>
      <c r="P51" s="1033"/>
      <c r="Q51" s="299"/>
      <c r="AD51" s="768">
        <v>0</v>
      </c>
    </row>
    <row s="1645" customFormat="1" customHeight="1" ht="45" hidden="1">
      <c r="A52" s="2402"/>
      <c r="B52" s="521"/>
      <c r="D52" s="675" t="s">
        <v>125</v>
      </c>
      <c r="E52" s="676" t="s">
        <v>905</v>
      </c>
      <c r="F52" s="670" t="s">
        <v>883</v>
      </c>
      <c r="G52" s="678"/>
      <c r="H52" s="1033"/>
      <c r="I52" s="678"/>
      <c r="J52" s="1033"/>
      <c r="K52" s="1179"/>
      <c r="L52" s="1033"/>
      <c r="M52" s="1179"/>
      <c r="N52" s="1033"/>
      <c r="O52" s="1179"/>
      <c r="P52" s="1033"/>
      <c r="Q52" s="299"/>
      <c r="AD52" s="768">
        <v>0</v>
      </c>
    </row>
    <row s="1645" customFormat="1" customHeight="1" ht="11.25" hidden="1">
      <c r="A53" s="2402"/>
      <c r="B53" s="521"/>
      <c r="D53" s="675" t="s">
        <v>335</v>
      </c>
      <c r="E53" s="677" t="s">
        <v>894</v>
      </c>
      <c r="F53" s="670" t="s">
        <v>883</v>
      </c>
      <c r="G53" s="678"/>
      <c r="H53" s="1033"/>
      <c r="I53" s="678"/>
      <c r="J53" s="1033"/>
      <c r="K53" s="1179"/>
      <c r="L53" s="1033"/>
      <c r="M53" s="1179"/>
      <c r="N53" s="1033"/>
      <c r="O53" s="1179"/>
      <c r="P53" s="1033"/>
      <c r="Q53" s="299"/>
      <c r="AD53" s="768">
        <v>0</v>
      </c>
    </row>
    <row s="1645" customFormat="1" customHeight="1" ht="11.25" hidden="1">
      <c r="A54" s="2402"/>
      <c r="B54" s="521"/>
      <c r="D54" s="675" t="s">
        <v>906</v>
      </c>
      <c r="E54" s="677" t="s">
        <v>895</v>
      </c>
      <c r="F54" s="670" t="s">
        <v>883</v>
      </c>
      <c r="G54" s="678"/>
      <c r="H54" s="1033"/>
      <c r="I54" s="678"/>
      <c r="J54" s="1033"/>
      <c r="K54" s="1179"/>
      <c r="L54" s="1033"/>
      <c r="M54" s="1179"/>
      <c r="N54" s="1033"/>
      <c r="O54" s="1179"/>
      <c r="P54" s="1033"/>
      <c r="Q54" s="299"/>
      <c r="AD54" s="768">
        <v>0</v>
      </c>
    </row>
    <row s="1645" customFormat="1" customHeight="1" ht="11.25" hidden="1">
      <c r="A55" s="2402"/>
      <c r="B55" s="521"/>
      <c r="D55" s="675" t="s">
        <v>907</v>
      </c>
      <c r="E55" s="677" t="s">
        <v>896</v>
      </c>
      <c r="F55" s="670" t="s">
        <v>883</v>
      </c>
      <c r="G55" s="678"/>
      <c r="H55" s="1033"/>
      <c r="I55" s="678"/>
      <c r="J55" s="1033"/>
      <c r="K55" s="1179"/>
      <c r="L55" s="1033"/>
      <c r="M55" s="1179"/>
      <c r="N55" s="1033"/>
      <c r="O55" s="1179"/>
      <c r="P55" s="1033"/>
      <c r="Q55" s="299"/>
      <c r="AD55" s="768">
        <v>0</v>
      </c>
    </row>
    <row s="1645" customFormat="1" customHeight="1" ht="11.25" hidden="1">
      <c r="A56" s="2402"/>
      <c r="B56" s="521"/>
      <c r="D56" s="675" t="s">
        <v>908</v>
      </c>
      <c r="E56" s="681" t="s">
        <v>898</v>
      </c>
      <c r="F56" s="670" t="s">
        <v>883</v>
      </c>
      <c r="G56" s="678"/>
      <c r="H56" s="1033"/>
      <c r="I56" s="678"/>
      <c r="J56" s="1033"/>
      <c r="K56" s="1179"/>
      <c r="L56" s="1033"/>
      <c r="M56" s="1179"/>
      <c r="N56" s="1033"/>
      <c r="O56" s="1179"/>
      <c r="P56" s="1033"/>
      <c r="Q56" s="299"/>
      <c r="AD56" s="768">
        <v>0</v>
      </c>
    </row>
    <row s="1645" customFormat="1" customHeight="1" ht="11.25" hidden="1">
      <c r="A57" s="2402"/>
      <c r="B57" s="521"/>
      <c r="D57" s="675" t="s">
        <v>909</v>
      </c>
      <c r="E57" s="681" t="s">
        <v>900</v>
      </c>
      <c r="F57" s="670" t="s">
        <v>883</v>
      </c>
      <c r="G57" s="678"/>
      <c r="H57" s="1033"/>
      <c r="I57" s="678"/>
      <c r="J57" s="1033"/>
      <c r="K57" s="1179"/>
      <c r="L57" s="1033"/>
      <c r="M57" s="1179"/>
      <c r="N57" s="1033"/>
      <c r="O57" s="1179"/>
      <c r="P57" s="1033"/>
      <c r="Q57" s="299"/>
      <c r="AD57" s="768">
        <v>0</v>
      </c>
    </row>
    <row s="1645" customFormat="1" customHeight="1" ht="11.25" hidden="1">
      <c r="A58" s="2402"/>
      <c r="B58" s="521"/>
      <c r="D58" s="675" t="s">
        <v>910</v>
      </c>
      <c r="E58" s="677" t="s">
        <v>902</v>
      </c>
      <c r="F58" s="670" t="s">
        <v>883</v>
      </c>
      <c r="G58" s="678"/>
      <c r="H58" s="1033"/>
      <c r="I58" s="678"/>
      <c r="J58" s="1033"/>
      <c r="K58" s="1179"/>
      <c r="L58" s="1033"/>
      <c r="M58" s="1179"/>
      <c r="N58" s="1033"/>
      <c r="O58" s="1179"/>
      <c r="P58" s="1033"/>
      <c r="Q58" s="299"/>
      <c r="AD58" s="768">
        <v>0</v>
      </c>
    </row>
    <row s="1645" customFormat="1" customHeight="1" ht="11.25" hidden="1">
      <c r="A59" s="2402"/>
      <c r="B59" s="521"/>
      <c r="D59" s="675" t="s">
        <v>911</v>
      </c>
      <c r="E59" s="677" t="s">
        <v>904</v>
      </c>
      <c r="F59" s="670" t="s">
        <v>883</v>
      </c>
      <c r="G59" s="678"/>
      <c r="H59" s="1033"/>
      <c r="I59" s="678"/>
      <c r="J59" s="1033"/>
      <c r="K59" s="1179"/>
      <c r="L59" s="1033"/>
      <c r="M59" s="1179"/>
      <c r="N59" s="1033"/>
      <c r="O59" s="1179"/>
      <c r="P59" s="1033"/>
      <c r="Q59" s="299"/>
      <c r="AD59" s="768">
        <v>0</v>
      </c>
    </row>
    <row s="1645" customFormat="1" customHeight="1" ht="33.75" hidden="1">
      <c r="A60" s="2402"/>
      <c r="B60" s="521"/>
      <c r="D60" s="675" t="s">
        <v>92</v>
      </c>
      <c r="E60" s="676" t="s">
        <v>912</v>
      </c>
      <c r="F60" s="731" t="s">
        <v>580</v>
      </c>
      <c r="G60" s="752"/>
      <c r="H60" s="1033"/>
      <c r="I60" s="752"/>
      <c r="J60" s="1033"/>
      <c r="K60" s="752"/>
      <c r="L60" s="1033"/>
      <c r="M60" s="752"/>
      <c r="N60" s="1033"/>
      <c r="O60" s="752"/>
      <c r="P60" s="1033"/>
      <c r="Q60" s="312" t="s">
        <v>913</v>
      </c>
      <c r="AD60" s="768">
        <v>0</v>
      </c>
    </row>
    <row s="1645" customFormat="1" customHeight="1" ht="33.75" hidden="1">
      <c r="A61" s="2402"/>
      <c r="B61" s="521"/>
      <c r="D61" s="675" t="s">
        <v>93</v>
      </c>
      <c r="E61" s="676" t="s">
        <v>914</v>
      </c>
      <c r="F61" s="736" t="s">
        <v>844</v>
      </c>
      <c r="G61" s="678"/>
      <c r="H61" s="1033"/>
      <c r="I61" s="678"/>
      <c r="J61" s="1033"/>
      <c r="K61" s="1179"/>
      <c r="L61" s="1033"/>
      <c r="M61" s="1179"/>
      <c r="N61" s="1033"/>
      <c r="O61" s="1179"/>
      <c r="P61" s="1033"/>
      <c r="Q61" s="299"/>
      <c r="AD61" s="768">
        <v>0</v>
      </c>
    </row>
    <row s="1645" customFormat="1" customHeight="1" ht="22.5" hidden="1">
      <c r="A62" s="2402"/>
      <c r="B62" s="521" t="s">
        <v>610</v>
      </c>
      <c r="D62" s="675" t="s">
        <v>126</v>
      </c>
      <c r="E62" s="676" t="s">
        <v>915</v>
      </c>
      <c r="F62" s="736" t="s">
        <v>328</v>
      </c>
      <c r="G62" s="392"/>
      <c r="H62" s="1033"/>
      <c r="I62" s="392"/>
      <c r="J62" s="1033"/>
      <c r="K62" s="1174"/>
      <c r="L62" s="1033"/>
      <c r="M62" s="1174"/>
      <c r="N62" s="1033"/>
      <c r="O62" s="1174"/>
      <c r="P62" s="1033"/>
      <c r="Q62" s="299" t="s">
        <v>656</v>
      </c>
      <c r="AD62" s="768">
        <v>0</v>
      </c>
    </row>
    <row s="1645" customFormat="1" customHeight="1" ht="45" hidden="1">
      <c r="A63" s="2402"/>
      <c r="B63" s="521" t="s">
        <v>610</v>
      </c>
      <c r="D63" s="675" t="s">
        <v>916</v>
      </c>
      <c r="E63" s="677" t="s">
        <v>917</v>
      </c>
      <c r="F63" s="731" t="s">
        <v>328</v>
      </c>
      <c r="G63" s="392"/>
      <c r="H63" s="1033"/>
      <c r="I63" s="392"/>
      <c r="J63" s="1033"/>
      <c r="K63" s="1174"/>
      <c r="L63" s="1033"/>
      <c r="M63" s="1174"/>
      <c r="N63" s="1033"/>
      <c r="O63" s="1174"/>
      <c r="P63" s="1033"/>
      <c r="Q63" s="299" t="s">
        <v>656</v>
      </c>
      <c r="AD63" s="768">
        <v>0</v>
      </c>
    </row>
    <row s="1645" customFormat="1" customHeight="1" ht="11.549999999999999">
      <c r="A64" s="1043"/>
      <c r="B64" s="528"/>
      <c r="D64" s="1044"/>
      <c r="E64" s="1045"/>
      <c r="K64" s="1645"/>
      <c r="L64" s="1645"/>
      <c r="M64" s="1645"/>
      <c r="N64" s="1645"/>
      <c r="O64" s="1645"/>
      <c r="P64" s="1645"/>
      <c r="AD64" s="519">
        <v>11</v>
      </c>
    </row>
    <row s="1645" customFormat="1" customHeight="1" ht="22.5" hidden="1">
      <c r="A65" s="2402" t="s">
        <v>918</v>
      </c>
      <c r="B65" s="521"/>
      <c r="D65" s="675">
        <v>1</v>
      </c>
      <c r="E65" s="754" t="s">
        <v>919</v>
      </c>
      <c r="F65" s="750" t="s">
        <v>834</v>
      </c>
      <c r="G65" s="751"/>
      <c r="H65" s="1039"/>
      <c r="I65" s="751"/>
      <c r="J65" s="1039"/>
      <c r="K65" s="751"/>
      <c r="L65" s="1039"/>
      <c r="M65" s="751"/>
      <c r="N65" s="1039"/>
      <c r="O65" s="751"/>
      <c r="P65" s="1039"/>
      <c r="Q65" s="311" t="s">
        <v>920</v>
      </c>
      <c r="AD65" s="768">
        <v>0</v>
      </c>
    </row>
    <row s="1645" customFormat="1" customHeight="1" ht="56.25" hidden="1">
      <c r="A66" s="2402"/>
      <c r="B66" s="521"/>
      <c r="D66" s="753" t="s">
        <v>104</v>
      </c>
      <c r="E66" s="717" t="s">
        <v>921</v>
      </c>
      <c r="F66" s="670" t="s">
        <v>568</v>
      </c>
      <c r="G66" s="670" t="s">
        <v>568</v>
      </c>
      <c r="H66" s="529"/>
      <c r="I66" s="670" t="s">
        <v>568</v>
      </c>
      <c r="J66" s="529"/>
      <c r="K66" s="2114" t="s">
        <v>568</v>
      </c>
      <c r="L66" s="529"/>
      <c r="M66" s="2114" t="s">
        <v>568</v>
      </c>
      <c r="N66" s="529"/>
      <c r="O66" s="2114" t="s">
        <v>568</v>
      </c>
      <c r="P66" s="529"/>
      <c r="Q66" s="299"/>
      <c r="AD66" s="768">
        <v>0</v>
      </c>
    </row>
    <row s="1645" customFormat="1" customHeight="1" ht="33.75" hidden="1">
      <c r="A67" s="2402"/>
      <c r="B67" s="521"/>
      <c r="D67" s="753" t="s">
        <v>733</v>
      </c>
      <c r="E67" s="964" t="s">
        <v>922</v>
      </c>
      <c r="F67" s="670" t="s">
        <v>886</v>
      </c>
      <c r="G67" s="737"/>
      <c r="H67" s="529"/>
      <c r="I67" s="737"/>
      <c r="J67" s="529"/>
      <c r="K67" s="737"/>
      <c r="L67" s="529"/>
      <c r="M67" s="737"/>
      <c r="N67" s="529"/>
      <c r="O67" s="737"/>
      <c r="P67" s="529"/>
      <c r="Q67" s="299"/>
      <c r="AD67" s="768">
        <v>0</v>
      </c>
    </row>
    <row s="1645" customFormat="1" customHeight="1" ht="22.5" hidden="1">
      <c r="A68" s="2402"/>
      <c r="B68" s="521"/>
      <c r="D68" s="753" t="s">
        <v>329</v>
      </c>
      <c r="E68" s="964" t="s">
        <v>923</v>
      </c>
      <c r="F68" s="670" t="s">
        <v>886</v>
      </c>
      <c r="G68" s="737"/>
      <c r="H68" s="529"/>
      <c r="I68" s="737"/>
      <c r="J68" s="529"/>
      <c r="K68" s="737"/>
      <c r="L68" s="529"/>
      <c r="M68" s="737"/>
      <c r="N68" s="529"/>
      <c r="O68" s="737"/>
      <c r="P68" s="529"/>
      <c r="Q68" s="299"/>
      <c r="AD68" s="768">
        <v>0</v>
      </c>
    </row>
    <row s="1645" customFormat="1" customHeight="1" ht="22.5" hidden="1">
      <c r="A69" s="2402"/>
      <c r="B69" s="521"/>
      <c r="D69" s="753" t="s">
        <v>332</v>
      </c>
      <c r="E69" s="964" t="s">
        <v>924</v>
      </c>
      <c r="F69" s="731" t="s">
        <v>580</v>
      </c>
      <c r="G69" s="752"/>
      <c r="H69" s="529"/>
      <c r="I69" s="752"/>
      <c r="J69" s="529"/>
      <c r="K69" s="752"/>
      <c r="L69" s="529"/>
      <c r="M69" s="752"/>
      <c r="N69" s="529"/>
      <c r="O69" s="752"/>
      <c r="P69" s="529"/>
      <c r="Q69" s="299"/>
      <c r="AD69" s="768">
        <v>0</v>
      </c>
    </row>
    <row s="1645" customFormat="1" customHeight="1" ht="22.5" hidden="1">
      <c r="A70" s="2402"/>
      <c r="B70" s="521"/>
      <c r="D70" s="753" t="s">
        <v>753</v>
      </c>
      <c r="E70" s="964" t="s">
        <v>925</v>
      </c>
      <c r="F70" s="731" t="s">
        <v>580</v>
      </c>
      <c r="G70" s="752"/>
      <c r="H70" s="529"/>
      <c r="I70" s="752"/>
      <c r="J70" s="529"/>
      <c r="K70" s="752"/>
      <c r="L70" s="529"/>
      <c r="M70" s="752"/>
      <c r="N70" s="529"/>
      <c r="O70" s="752"/>
      <c r="P70" s="529"/>
      <c r="Q70" s="299"/>
      <c r="AD70" s="768">
        <v>0</v>
      </c>
    </row>
    <row s="1645" customFormat="1" customHeight="1" ht="22.5" hidden="1">
      <c r="A71" s="2402"/>
      <c r="B71" s="521"/>
      <c r="D71" s="675" t="s">
        <v>90</v>
      </c>
      <c r="E71" s="676" t="s">
        <v>926</v>
      </c>
      <c r="F71" s="670" t="s">
        <v>886</v>
      </c>
      <c r="G71" s="567"/>
      <c r="H71" s="1040"/>
      <c r="I71" s="567"/>
      <c r="J71" s="1040"/>
      <c r="K71" s="567"/>
      <c r="L71" s="1040"/>
      <c r="M71" s="567"/>
      <c r="N71" s="1040"/>
      <c r="O71" s="567"/>
      <c r="P71" s="1040"/>
      <c r="Q71" s="312"/>
      <c r="AD71" s="768">
        <v>0</v>
      </c>
    </row>
    <row s="1645" customFormat="1" customHeight="1" ht="56.25" hidden="1">
      <c r="A72" s="2402"/>
      <c r="B72" s="521"/>
      <c r="D72" s="675" t="s">
        <v>91</v>
      </c>
      <c r="E72" s="676" t="s">
        <v>927</v>
      </c>
      <c r="F72" s="731" t="s">
        <v>580</v>
      </c>
      <c r="G72" s="752"/>
      <c r="H72" s="1033"/>
      <c r="I72" s="752"/>
      <c r="J72" s="1033"/>
      <c r="K72" s="752"/>
      <c r="L72" s="1033"/>
      <c r="M72" s="752"/>
      <c r="N72" s="1033"/>
      <c r="O72" s="752"/>
      <c r="P72" s="1033"/>
      <c r="Q72" s="312"/>
      <c r="AD72" s="768">
        <v>0</v>
      </c>
    </row>
    <row s="1645" customFormat="1" customHeight="1" ht="33.75" hidden="1">
      <c r="A73" s="2402"/>
      <c r="B73" s="521"/>
      <c r="D73" s="675" t="s">
        <v>125</v>
      </c>
      <c r="E73" s="676" t="s">
        <v>928</v>
      </c>
      <c r="F73" s="736" t="s">
        <v>844</v>
      </c>
      <c r="G73" s="678"/>
      <c r="H73" s="1033"/>
      <c r="I73" s="678"/>
      <c r="J73" s="1033"/>
      <c r="K73" s="1179"/>
      <c r="L73" s="1033"/>
      <c r="M73" s="1179"/>
      <c r="N73" s="1033"/>
      <c r="O73" s="1179"/>
      <c r="P73" s="1033"/>
      <c r="Q73" s="299"/>
      <c r="AD73" s="768">
        <v>0</v>
      </c>
    </row>
    <row s="1645" customFormat="1" customHeight="1" ht="22.5" hidden="1">
      <c r="A74" s="2402"/>
      <c r="B74" s="521" t="s">
        <v>610</v>
      </c>
      <c r="D74" s="675" t="s">
        <v>92</v>
      </c>
      <c r="E74" s="676" t="s">
        <v>929</v>
      </c>
      <c r="F74" s="736" t="s">
        <v>328</v>
      </c>
      <c r="G74" s="392"/>
      <c r="H74" s="1033"/>
      <c r="I74" s="392"/>
      <c r="J74" s="1033"/>
      <c r="K74" s="1174"/>
      <c r="L74" s="1033"/>
      <c r="M74" s="1174"/>
      <c r="N74" s="1033"/>
      <c r="O74" s="1174"/>
      <c r="P74" s="1033"/>
      <c r="Q74" s="299" t="s">
        <v>656</v>
      </c>
      <c r="AD74" s="768">
        <v>0</v>
      </c>
    </row>
    <row s="1645" customFormat="1" customHeight="1" ht="45" hidden="1">
      <c r="A75" s="2402"/>
      <c r="B75" s="521" t="s">
        <v>610</v>
      </c>
      <c r="D75" s="675" t="s">
        <v>677</v>
      </c>
      <c r="E75" s="677" t="s">
        <v>930</v>
      </c>
      <c r="F75" s="731" t="s">
        <v>328</v>
      </c>
      <c r="G75" s="392"/>
      <c r="H75" s="1033"/>
      <c r="I75" s="392"/>
      <c r="J75" s="1033"/>
      <c r="K75" s="1174"/>
      <c r="L75" s="1033"/>
      <c r="M75" s="1174"/>
      <c r="N75" s="1033"/>
      <c r="O75" s="1174"/>
      <c r="P75" s="1033"/>
      <c r="Q75" s="299" t="s">
        <v>656</v>
      </c>
      <c r="AD75" s="768">
        <v>0</v>
      </c>
    </row>
    <row s="1645" customFormat="1" customHeight="1" ht="11.549999999999999">
      <c r="A76" s="1043"/>
      <c r="B76" s="528"/>
      <c r="D76" s="1044"/>
      <c r="E76" s="1045"/>
      <c r="K76" s="1645"/>
      <c r="L76" s="1645"/>
      <c r="M76" s="1645"/>
      <c r="N76" s="1645"/>
      <c r="O76" s="1645"/>
      <c r="P76" s="1645"/>
      <c r="AD76" s="519">
        <v>11</v>
      </c>
    </row>
    <row s="1645" customFormat="1" customHeight="1" ht="11.25" hidden="1">
      <c r="A77" s="2402" t="s">
        <v>931</v>
      </c>
      <c r="B77" s="521"/>
      <c r="D77" s="675">
        <v>1</v>
      </c>
      <c r="E77" s="676" t="s">
        <v>932</v>
      </c>
      <c r="F77" s="731" t="s">
        <v>834</v>
      </c>
      <c r="G77" s="734"/>
      <c r="H77" s="1033"/>
      <c r="I77" s="734"/>
      <c r="J77" s="1033"/>
      <c r="K77" s="734"/>
      <c r="L77" s="1033"/>
      <c r="M77" s="734"/>
      <c r="N77" s="1033"/>
      <c r="O77" s="734"/>
      <c r="P77" s="1033"/>
      <c r="Q77" s="299" t="s">
        <v>933</v>
      </c>
      <c r="AD77" s="768">
        <v>0</v>
      </c>
    </row>
    <row s="1645" customFormat="1" customHeight="1" ht="11.25" hidden="1">
      <c r="A78" s="2402"/>
      <c r="B78" s="521"/>
      <c r="D78" s="675" t="s">
        <v>104</v>
      </c>
      <c r="E78" s="676" t="s">
        <v>934</v>
      </c>
      <c r="F78" s="731" t="s">
        <v>834</v>
      </c>
      <c r="G78" s="734"/>
      <c r="H78" s="1033"/>
      <c r="I78" s="734"/>
      <c r="J78" s="1033"/>
      <c r="K78" s="734"/>
      <c r="L78" s="1033"/>
      <c r="M78" s="734"/>
      <c r="N78" s="1033"/>
      <c r="O78" s="734"/>
      <c r="P78" s="1033"/>
      <c r="Q78" s="299" t="s">
        <v>935</v>
      </c>
      <c r="AD78" s="768">
        <v>0</v>
      </c>
    </row>
    <row s="1645" customFormat="1" customHeight="1" ht="22.5" hidden="1">
      <c r="A79" s="2402"/>
      <c r="B79" s="521"/>
      <c r="D79" s="675" t="s">
        <v>90</v>
      </c>
      <c r="E79" s="732" t="s">
        <v>936</v>
      </c>
      <c r="F79" s="670" t="s">
        <v>883</v>
      </c>
      <c r="G79" s="734"/>
      <c r="H79" s="1033"/>
      <c r="I79" s="734"/>
      <c r="J79" s="1033"/>
      <c r="K79" s="734"/>
      <c r="L79" s="1033"/>
      <c r="M79" s="734"/>
      <c r="N79" s="1033"/>
      <c r="O79" s="734"/>
      <c r="P79" s="1033"/>
      <c r="Q79" s="299" t="s">
        <v>937</v>
      </c>
      <c r="AD79" s="768">
        <v>0</v>
      </c>
    </row>
    <row s="1645" customFormat="1" customHeight="1" ht="11.25" hidden="1">
      <c r="A80" s="2402"/>
      <c r="B80" s="521"/>
      <c r="D80" s="675" t="s">
        <v>346</v>
      </c>
      <c r="E80" s="733" t="s">
        <v>938</v>
      </c>
      <c r="F80" s="670" t="s">
        <v>883</v>
      </c>
      <c r="G80" s="734"/>
      <c r="H80" s="1033"/>
      <c r="I80" s="734"/>
      <c r="J80" s="1033"/>
      <c r="K80" s="734"/>
      <c r="L80" s="1033"/>
      <c r="M80" s="734"/>
      <c r="N80" s="1033"/>
      <c r="O80" s="734"/>
      <c r="P80" s="1033"/>
      <c r="Q80" s="299"/>
      <c r="AD80" s="768">
        <v>0</v>
      </c>
    </row>
    <row s="1645" customFormat="1" customHeight="1" ht="11.25" hidden="1">
      <c r="A81" s="2402"/>
      <c r="B81" s="521"/>
      <c r="D81" s="675" t="s">
        <v>354</v>
      </c>
      <c r="E81" s="733" t="s">
        <v>939</v>
      </c>
      <c r="F81" s="670" t="s">
        <v>883</v>
      </c>
      <c r="G81" s="734"/>
      <c r="H81" s="1033"/>
      <c r="I81" s="734"/>
      <c r="J81" s="1033"/>
      <c r="K81" s="734"/>
      <c r="L81" s="1033"/>
      <c r="M81" s="734"/>
      <c r="N81" s="1033"/>
      <c r="O81" s="734"/>
      <c r="P81" s="1033"/>
      <c r="Q81" s="299"/>
      <c r="AD81" s="768">
        <v>0</v>
      </c>
    </row>
    <row s="1645" customFormat="1" customHeight="1" ht="11.25" hidden="1">
      <c r="A82" s="2402"/>
      <c r="B82" s="521"/>
      <c r="D82" s="675" t="s">
        <v>356</v>
      </c>
      <c r="E82" s="733" t="s">
        <v>940</v>
      </c>
      <c r="F82" s="670" t="s">
        <v>883</v>
      </c>
      <c r="G82" s="734"/>
      <c r="H82" s="1033"/>
      <c r="I82" s="734"/>
      <c r="J82" s="1033"/>
      <c r="K82" s="734"/>
      <c r="L82" s="1033"/>
      <c r="M82" s="734"/>
      <c r="N82" s="1033"/>
      <c r="O82" s="734"/>
      <c r="P82" s="1033"/>
      <c r="Q82" s="299"/>
      <c r="AD82" s="768">
        <v>0</v>
      </c>
    </row>
    <row s="1645" customFormat="1" customHeight="1" ht="11.25" hidden="1">
      <c r="A83" s="2402"/>
      <c r="B83" s="521"/>
      <c r="D83" s="675" t="s">
        <v>358</v>
      </c>
      <c r="E83" s="733" t="s">
        <v>941</v>
      </c>
      <c r="F83" s="670" t="s">
        <v>883</v>
      </c>
      <c r="G83" s="734"/>
      <c r="H83" s="1033"/>
      <c r="I83" s="734"/>
      <c r="J83" s="1033"/>
      <c r="K83" s="734"/>
      <c r="L83" s="1033"/>
      <c r="M83" s="734"/>
      <c r="N83" s="1033"/>
      <c r="O83" s="734"/>
      <c r="P83" s="1033"/>
      <c r="Q83" s="299"/>
      <c r="AD83" s="768">
        <v>0</v>
      </c>
    </row>
    <row s="1645" customFormat="1" customHeight="1" ht="11.25" hidden="1">
      <c r="A84" s="2402"/>
      <c r="B84" s="521"/>
      <c r="D84" s="675" t="s">
        <v>942</v>
      </c>
      <c r="E84" s="733" t="s">
        <v>943</v>
      </c>
      <c r="F84" s="670" t="s">
        <v>883</v>
      </c>
      <c r="G84" s="734"/>
      <c r="H84" s="1033"/>
      <c r="I84" s="734"/>
      <c r="J84" s="1033"/>
      <c r="K84" s="734"/>
      <c r="L84" s="1033"/>
      <c r="M84" s="734"/>
      <c r="N84" s="1033"/>
      <c r="O84" s="734"/>
      <c r="P84" s="1033"/>
      <c r="Q84" s="299"/>
      <c r="AD84" s="768">
        <v>0</v>
      </c>
    </row>
    <row s="1645" customFormat="1" customHeight="1" ht="11.25" hidden="1">
      <c r="A85" s="2402"/>
      <c r="B85" s="521"/>
      <c r="D85" s="675" t="s">
        <v>944</v>
      </c>
      <c r="E85" s="733" t="s">
        <v>945</v>
      </c>
      <c r="F85" s="670" t="s">
        <v>883</v>
      </c>
      <c r="G85" s="734"/>
      <c r="H85" s="1033"/>
      <c r="I85" s="734"/>
      <c r="J85" s="1033"/>
      <c r="K85" s="734"/>
      <c r="L85" s="1033"/>
      <c r="M85" s="734"/>
      <c r="N85" s="1033"/>
      <c r="O85" s="734"/>
      <c r="P85" s="1033"/>
      <c r="Q85" s="299"/>
      <c r="AD85" s="768">
        <v>0</v>
      </c>
    </row>
    <row s="1645" customFormat="1" customHeight="1" ht="11.25" hidden="1">
      <c r="A86" s="2402"/>
      <c r="B86" s="521"/>
      <c r="D86" s="675" t="s">
        <v>946</v>
      </c>
      <c r="E86" s="733" t="s">
        <v>947</v>
      </c>
      <c r="F86" s="670" t="s">
        <v>883</v>
      </c>
      <c r="G86" s="734"/>
      <c r="H86" s="1033"/>
      <c r="I86" s="734"/>
      <c r="J86" s="1033"/>
      <c r="K86" s="734"/>
      <c r="L86" s="1033"/>
      <c r="M86" s="734"/>
      <c r="N86" s="1033"/>
      <c r="O86" s="734"/>
      <c r="P86" s="1033"/>
      <c r="Q86" s="299"/>
      <c r="AD86" s="768">
        <v>0</v>
      </c>
    </row>
    <row s="1645" customFormat="1" customHeight="1" ht="45" hidden="1">
      <c r="A87" s="2402"/>
      <c r="B87" s="521"/>
      <c r="D87" s="675" t="s">
        <v>91</v>
      </c>
      <c r="E87" s="676" t="s">
        <v>948</v>
      </c>
      <c r="F87" s="670" t="s">
        <v>883</v>
      </c>
      <c r="G87" s="734"/>
      <c r="H87" s="1033"/>
      <c r="I87" s="734"/>
      <c r="J87" s="1033"/>
      <c r="K87" s="734"/>
      <c r="L87" s="1033"/>
      <c r="M87" s="734"/>
      <c r="N87" s="1033"/>
      <c r="O87" s="734"/>
      <c r="P87" s="1033"/>
      <c r="Q87" s="299" t="s">
        <v>949</v>
      </c>
      <c r="AD87" s="768">
        <v>0</v>
      </c>
    </row>
    <row s="1645" customFormat="1" customHeight="1" ht="11.25" hidden="1">
      <c r="A88" s="2402"/>
      <c r="B88" s="521"/>
      <c r="D88" s="675" t="s">
        <v>778</v>
      </c>
      <c r="E88" s="733" t="s">
        <v>938</v>
      </c>
      <c r="F88" s="670" t="s">
        <v>883</v>
      </c>
      <c r="G88" s="734"/>
      <c r="H88" s="1033"/>
      <c r="I88" s="734"/>
      <c r="J88" s="1033"/>
      <c r="K88" s="734"/>
      <c r="L88" s="1033"/>
      <c r="M88" s="734"/>
      <c r="N88" s="1033"/>
      <c r="O88" s="734"/>
      <c r="P88" s="1033"/>
      <c r="Q88" s="299"/>
      <c r="AD88" s="768">
        <v>0</v>
      </c>
    </row>
    <row s="1645" customFormat="1" customHeight="1" ht="11.25" hidden="1">
      <c r="A89" s="2402"/>
      <c r="B89" s="521"/>
      <c r="D89" s="675" t="s">
        <v>820</v>
      </c>
      <c r="E89" s="733" t="s">
        <v>939</v>
      </c>
      <c r="F89" s="670" t="s">
        <v>883</v>
      </c>
      <c r="G89" s="734"/>
      <c r="H89" s="1033"/>
      <c r="I89" s="734"/>
      <c r="J89" s="1033"/>
      <c r="K89" s="734"/>
      <c r="L89" s="1033"/>
      <c r="M89" s="734"/>
      <c r="N89" s="1033"/>
      <c r="O89" s="734"/>
      <c r="P89" s="1033"/>
      <c r="Q89" s="299"/>
      <c r="AD89" s="768">
        <v>0</v>
      </c>
    </row>
    <row s="1645" customFormat="1" customHeight="1" ht="11.25" hidden="1">
      <c r="A90" s="2402"/>
      <c r="B90" s="521"/>
      <c r="D90" s="675" t="s">
        <v>823</v>
      </c>
      <c r="E90" s="733" t="s">
        <v>940</v>
      </c>
      <c r="F90" s="670" t="s">
        <v>883</v>
      </c>
      <c r="G90" s="734"/>
      <c r="H90" s="1033"/>
      <c r="I90" s="734"/>
      <c r="J90" s="1033"/>
      <c r="K90" s="734"/>
      <c r="L90" s="1033"/>
      <c r="M90" s="734"/>
      <c r="N90" s="1033"/>
      <c r="O90" s="734"/>
      <c r="P90" s="1033"/>
      <c r="Q90" s="299"/>
      <c r="AD90" s="768">
        <v>0</v>
      </c>
    </row>
    <row s="1645" customFormat="1" customHeight="1" ht="11.25" hidden="1">
      <c r="A91" s="2402"/>
      <c r="B91" s="521"/>
      <c r="D91" s="675" t="s">
        <v>901</v>
      </c>
      <c r="E91" s="733" t="s">
        <v>941</v>
      </c>
      <c r="F91" s="670" t="s">
        <v>883</v>
      </c>
      <c r="G91" s="734"/>
      <c r="H91" s="1033"/>
      <c r="I91" s="734"/>
      <c r="J91" s="1033"/>
      <c r="K91" s="734"/>
      <c r="L91" s="1033"/>
      <c r="M91" s="734"/>
      <c r="N91" s="1033"/>
      <c r="O91" s="734"/>
      <c r="P91" s="1033"/>
      <c r="Q91" s="299"/>
      <c r="AD91" s="768">
        <v>0</v>
      </c>
    </row>
    <row s="1645" customFormat="1" customHeight="1" ht="11.25" hidden="1">
      <c r="A92" s="2402"/>
      <c r="B92" s="521"/>
      <c r="D92" s="675" t="s">
        <v>903</v>
      </c>
      <c r="E92" s="733" t="s">
        <v>943</v>
      </c>
      <c r="F92" s="670" t="s">
        <v>883</v>
      </c>
      <c r="G92" s="734"/>
      <c r="H92" s="1033"/>
      <c r="I92" s="734"/>
      <c r="J92" s="1033"/>
      <c r="K92" s="734"/>
      <c r="L92" s="1033"/>
      <c r="M92" s="734"/>
      <c r="N92" s="1033"/>
      <c r="O92" s="734"/>
      <c r="P92" s="1033"/>
      <c r="Q92" s="299"/>
      <c r="AD92" s="768">
        <v>0</v>
      </c>
    </row>
    <row s="1645" customFormat="1" customHeight="1" ht="11.25" hidden="1">
      <c r="A93" s="2402"/>
      <c r="B93" s="521"/>
      <c r="D93" s="675" t="s">
        <v>950</v>
      </c>
      <c r="E93" s="733" t="s">
        <v>945</v>
      </c>
      <c r="F93" s="670" t="s">
        <v>883</v>
      </c>
      <c r="G93" s="734"/>
      <c r="H93" s="1033"/>
      <c r="I93" s="734"/>
      <c r="J93" s="1033"/>
      <c r="K93" s="734"/>
      <c r="L93" s="1033"/>
      <c r="M93" s="734"/>
      <c r="N93" s="1033"/>
      <c r="O93" s="734"/>
      <c r="P93" s="1033"/>
      <c r="Q93" s="299"/>
      <c r="AD93" s="768">
        <v>0</v>
      </c>
    </row>
    <row s="1645" customFormat="1" customHeight="1" ht="11.25" hidden="1">
      <c r="A94" s="2402"/>
      <c r="B94" s="521"/>
      <c r="D94" s="675" t="s">
        <v>951</v>
      </c>
      <c r="E94" s="733" t="s">
        <v>947</v>
      </c>
      <c r="F94" s="670" t="s">
        <v>883</v>
      </c>
      <c r="G94" s="734"/>
      <c r="H94" s="1033"/>
      <c r="I94" s="734"/>
      <c r="J94" s="1033"/>
      <c r="K94" s="734"/>
      <c r="L94" s="1033"/>
      <c r="M94" s="734"/>
      <c r="N94" s="1033"/>
      <c r="O94" s="734"/>
      <c r="P94" s="1033"/>
      <c r="Q94" s="299"/>
      <c r="AD94" s="768">
        <v>0</v>
      </c>
    </row>
    <row s="1645" customFormat="1" customHeight="1" ht="24.75" hidden="1">
      <c r="A95" s="2402"/>
      <c r="B95" s="521"/>
      <c r="D95" s="675" t="s">
        <v>125</v>
      </c>
      <c r="E95" s="676" t="s">
        <v>952</v>
      </c>
      <c r="F95" s="735" t="s">
        <v>580</v>
      </c>
      <c r="G95" s="737"/>
      <c r="H95" s="1033"/>
      <c r="I95" s="737"/>
      <c r="J95" s="1033"/>
      <c r="K95" s="737"/>
      <c r="L95" s="1033"/>
      <c r="M95" s="737"/>
      <c r="N95" s="1033"/>
      <c r="O95" s="737"/>
      <c r="P95" s="1033"/>
      <c r="Q95" s="299" t="s">
        <v>953</v>
      </c>
      <c r="AD95" s="768">
        <v>0</v>
      </c>
    </row>
    <row s="1645" customFormat="1" customHeight="1" ht="33.75" hidden="1">
      <c r="A96" s="2402"/>
      <c r="B96" s="521"/>
      <c r="D96" s="675" t="s">
        <v>92</v>
      </c>
      <c r="E96" s="676" t="s">
        <v>954</v>
      </c>
      <c r="F96" s="736" t="s">
        <v>844</v>
      </c>
      <c r="G96" s="738"/>
      <c r="H96" s="1033"/>
      <c r="I96" s="738"/>
      <c r="J96" s="1033"/>
      <c r="K96" s="738"/>
      <c r="L96" s="1033"/>
      <c r="M96" s="738"/>
      <c r="N96" s="1033"/>
      <c r="O96" s="738"/>
      <c r="P96" s="1033"/>
      <c r="Q96" s="299"/>
      <c r="AD96" s="768">
        <v>0</v>
      </c>
    </row>
    <row s="1645" customFormat="1" customHeight="1" ht="22.5" hidden="1">
      <c r="A97" s="2402"/>
      <c r="B97" s="521" t="s">
        <v>610</v>
      </c>
      <c r="D97" s="675" t="s">
        <v>93</v>
      </c>
      <c r="E97" s="676" t="s">
        <v>955</v>
      </c>
      <c r="F97" s="736" t="s">
        <v>328</v>
      </c>
      <c r="G97" s="395"/>
      <c r="H97" s="1033"/>
      <c r="I97" s="395"/>
      <c r="J97" s="1033"/>
      <c r="K97" s="395"/>
      <c r="L97" s="1033"/>
      <c r="M97" s="395"/>
      <c r="N97" s="1033"/>
      <c r="O97" s="395"/>
      <c r="P97" s="1033"/>
      <c r="Q97" s="299" t="s">
        <v>656</v>
      </c>
      <c r="AD97" s="768">
        <v>0</v>
      </c>
    </row>
    <row s="1645" customFormat="1" customHeight="1" ht="45" hidden="1">
      <c r="A98" s="2402"/>
      <c r="B98" s="521" t="s">
        <v>610</v>
      </c>
      <c r="D98" s="675" t="s">
        <v>956</v>
      </c>
      <c r="E98" s="677" t="s">
        <v>957</v>
      </c>
      <c r="F98" s="731" t="s">
        <v>328</v>
      </c>
      <c r="G98" s="395"/>
      <c r="H98" s="1033"/>
      <c r="I98" s="395"/>
      <c r="J98" s="1033"/>
      <c r="K98" s="395"/>
      <c r="L98" s="1033"/>
      <c r="M98" s="395"/>
      <c r="N98" s="1033"/>
      <c r="O98" s="395"/>
      <c r="P98" s="1033"/>
      <c r="Q98" s="299" t="s">
        <v>656</v>
      </c>
      <c r="AD98" s="768">
        <v>0</v>
      </c>
    </row>
    <row s="1645" customFormat="1" customHeight="1" ht="95.25" hidden="1">
      <c r="A99" s="2402"/>
      <c r="B99" s="521" t="s">
        <v>610</v>
      </c>
      <c r="D99" s="675" t="s">
        <v>126</v>
      </c>
      <c r="E99" s="676" t="s">
        <v>958</v>
      </c>
      <c r="F99" s="731" t="s">
        <v>328</v>
      </c>
      <c r="G99" s="395"/>
      <c r="H99" s="1033"/>
      <c r="I99" s="395"/>
      <c r="J99" s="1033"/>
      <c r="K99" s="395"/>
      <c r="L99" s="1033"/>
      <c r="M99" s="395"/>
      <c r="N99" s="1033"/>
      <c r="O99" s="395"/>
      <c r="P99" s="1033"/>
      <c r="Q99" s="299" t="s">
        <v>656</v>
      </c>
      <c r="AD99" s="768">
        <v>0</v>
      </c>
    </row>
    <row s="1645" customFormat="1" customHeight="1" ht="22.5" hidden="1">
      <c r="A100" s="2402"/>
      <c r="B100" s="521" t="s">
        <v>610</v>
      </c>
      <c r="D100" s="675" t="s">
        <v>172</v>
      </c>
      <c r="E100" s="676" t="s">
        <v>959</v>
      </c>
      <c r="F100" s="731" t="s">
        <v>328</v>
      </c>
      <c r="G100" s="395"/>
      <c r="H100" s="1033"/>
      <c r="I100" s="395"/>
      <c r="J100" s="1033"/>
      <c r="K100" s="395"/>
      <c r="L100" s="1033"/>
      <c r="M100" s="395"/>
      <c r="N100" s="1033"/>
      <c r="O100" s="395"/>
      <c r="P100" s="1033"/>
      <c r="Q100" s="299" t="s">
        <v>656</v>
      </c>
      <c r="AD100" s="768">
        <v>0</v>
      </c>
    </row>
    <row s="1645" customFormat="1" customHeight="1" ht="11.549999999999999">
      <c r="A101" s="1043"/>
      <c r="B101" s="528"/>
      <c r="D101" s="1044"/>
      <c r="E101" s="1045"/>
      <c r="K101" s="1645"/>
      <c r="L101" s="1645"/>
      <c r="M101" s="1645"/>
      <c r="N101" s="1645"/>
      <c r="O101" s="1645"/>
      <c r="P101" s="1645"/>
      <c r="AD101" s="519">
        <v>11</v>
      </c>
    </row>
    <row customHeight="1" ht="22.5" hidden="1">
      <c r="A102" s="546" t="s">
        <v>82</v>
      </c>
      <c r="B102" s="521">
        <v>0</v>
      </c>
      <c r="C102" s="515">
        <v>3</v>
      </c>
      <c r="D102" s="515">
        <v>7</v>
      </c>
      <c r="E102" s="515">
        <v>69</v>
      </c>
      <c r="F102" s="515">
        <v>10</v>
      </c>
      <c r="G102" s="515">
        <v>0</v>
      </c>
      <c r="H102" s="515">
        <v>0</v>
      </c>
      <c r="I102" s="768">
        <v>43</v>
      </c>
      <c r="J102" s="768">
        <v>43</v>
      </c>
      <c r="K102" s="1645">
        <v>0</v>
      </c>
      <c r="L102" s="1645">
        <v>0</v>
      </c>
      <c r="M102" s="1645">
        <v>0</v>
      </c>
      <c r="N102" s="1645">
        <v>0</v>
      </c>
      <c r="O102" s="1645">
        <v>0</v>
      </c>
      <c r="P102" s="1645">
        <v>0</v>
      </c>
      <c r="Q102" s="515">
        <v>73</v>
      </c>
      <c r="R102" s="515">
        <v>3</v>
      </c>
      <c r="S102" s="515">
        <v>10</v>
      </c>
      <c r="T102" s="515">
        <v>10</v>
      </c>
      <c r="U102" s="515">
        <v>10</v>
      </c>
      <c r="V102" s="515">
        <v>10</v>
      </c>
      <c r="W102" s="515">
        <v>10</v>
      </c>
      <c r="X102" s="515">
        <v>10</v>
      </c>
      <c r="Y102" s="515">
        <v>10</v>
      </c>
      <c r="Z102" s="515">
        <v>10</v>
      </c>
      <c r="AA102" s="515">
        <v>10</v>
      </c>
      <c r="AB102" s="515">
        <v>10</v>
      </c>
      <c r="AC102" s="515">
        <v>10</v>
      </c>
      <c r="AD102" s="515">
        <v>23</v>
      </c>
    </row>
  </sheetData>
  <sheetProtection sheet="1" formatColumns="0" formatRows="0" autoFilter="0" sort="1" insertRows="1" insertColumns="1" deleteRows="1" deleteColumns="1"/>
  <mergeCells count="27">
    <mergeCell ref="D3:F3"/>
    <mergeCell ref="Q7:Q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 ref="O7:P7"/>
    <mergeCell ref="O8:P8"/>
    <mergeCell ref="O9:P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O19">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O31 O42 O43 O60 O69 O70 O72 O95">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P31:P32 G62:G63 G74:G75 G97:G100 I62:I63 I74:I75 I97:I100 H13:H14 H19 J19 L19 N19 P19 J13:J14 L13:L14 N13:N14 P13:P14 K62 K63 K74 K75 K97 K98 K99 K100 M62 M63 M74 M75 M97 M98 M99 M100 O62 O63 O74 O75 O97 O98 O99 O1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O13 O14 O18 O21 O22 O24 O26 O27 O29 O30 O32 O37 O39 O40 O44 O45 O46 O47 O48 O49 O50 O51 O52 O53 O54 O55 O56 O57 O58 O59 O61 O65 O67 O68 O71 O73 O77 O78 O79 O80 O81 O82 O83 O84 O85 O86 O87 O88 O89 O90 O91 O92 O93 O94 O96">
      <formula1>0</formula1>
      <formula2>9.99999999999999E+23</formula2>
    </dataValidation>
    <dataValidation type="whole" allowBlank="1" showErrorMessage="1" errorTitle="Ошибка" error="Допускается ввод только неотрицательных целых чисел!" sqref="G16:G17 I16:I17 K16 K17 M16 M17 O16 O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N26:N27 P26:P27 J15:J18 L15:L18 N15:N18 P15:P18 J21:J22 L21:L22 N21:N22 P21:P22 J29:J30 L29:L30 N29:N30 P29:P30 J24 L24 N24 P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C44EAE-94B3-D2A7-987E-0.451D1124}" mc:Ignorable="x14ac xr xr2 xr3">
  <sheetPr>
    <tabColor rgb="FFCCCCFF"/>
  </sheetPr>
  <dimension ref="A1:AM25"/>
  <sheetViews>
    <sheetView showGridLines="0" workbookViewId="0">
      <pane xSplit="4" ySplit="12" topLeftCell="E13" activePane="bottomRight" state="frozen"/>
      <selection pane="bottomLeft" activeCell="A13" sqref="A13"/>
      <selection pane="topRight" activeCell="E1" sqref="E1"/>
      <selection pane="bottomRight" activeCell="J4" sqref="J4"/>
    </sheetView>
  </sheetViews>
  <sheetFormatPr defaultColWidth="9.140625" customHeight="1" defaultRowHeight="11.25"/>
  <cols>
    <col min="1" max="1" style="1863" width="6.421875" hidden="1" customWidth="1"/>
    <col min="2" max="2" style="1863" width="2.00390625" hidden="1" customWidth="1"/>
    <col min="3" max="3" style="1863" width="3.00390625" customWidth="1"/>
    <col min="4" max="4" style="1863" width="4.00390625" customWidth="1"/>
    <col min="5" max="5" style="1863" width="44.00390625" customWidth="1"/>
    <col min="6" max="6" style="1863" width="6.421875" customWidth="1"/>
    <col min="7" max="7" style="1863" width="4.00390625" customWidth="1"/>
    <col min="8" max="8" style="1863" width="5.00390625" customWidth="1"/>
    <col min="9" max="9" style="1863" width="52.00390625" customWidth="1"/>
    <col min="10" max="10" style="1863" width="7.00390625" customWidth="1"/>
    <col min="11" max="11" style="1863" width="3.00390625" customWidth="1"/>
    <col min="12" max="12" style="1863" width="6.00390625" customWidth="1"/>
    <col min="13" max="13" style="1863" width="56.00390625" customWidth="1"/>
    <col min="14" max="14" style="1380" width="8.00390625" customWidth="1"/>
    <col min="15" max="20" style="1634" width="9.140625" hidden="1"/>
    <col min="21" max="24" style="1276" width="9.140625" hidden="1"/>
    <col min="25" max="37" style="1380" width="9.140625" hidden="1"/>
    <col min="38" max="38" style="1380" width="8.00390625" customWidth="1"/>
    <col min="39" max="39" style="1863" width="9.140625" hidden="1"/>
  </cols>
  <sheetData>
    <row customHeight="1" ht="11.25" hidden="1">
      <c r="AM1" s="593" t="s">
        <v>14</v>
      </c>
    </row>
    <row customHeight="1" ht="11.25" hidden="1">
      <c r="AM2" s="593">
        <v>0</v>
      </c>
    </row>
    <row customHeight="1" ht="11.549999999999999">
      <c r="AM3" s="593">
        <v>11</v>
      </c>
    </row>
    <row customHeight="1" ht="35.699999999999996">
      <c r="A4" s="595"/>
      <c r="B4" s="595"/>
      <c r="D4" s="2129"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30"/>
      <c r="F4" s="2130"/>
      <c r="G4" s="2130"/>
      <c r="H4" s="2130"/>
      <c r="I4" s="2131"/>
      <c r="J4" s="594"/>
      <c r="K4" s="594"/>
      <c r="L4" s="594"/>
      <c r="M4" s="594"/>
      <c r="AM4" s="593">
        <v>34</v>
      </c>
    </row>
    <row s="599" customFormat="1" customHeight="1" ht="14.699999999999998">
      <c r="A5" s="595"/>
      <c r="B5" s="595"/>
      <c r="C5" s="595"/>
      <c r="D5" s="2132" t="str">
        <f>IF(org=0,"Не определено",org)</f>
        <v>АО «ДГК» СП «Нерюнгринская ГРЭС»</v>
      </c>
      <c r="E5" s="2133"/>
      <c r="F5" s="2133"/>
      <c r="G5" s="2133"/>
      <c r="H5" s="2133"/>
      <c r="I5" s="2134"/>
      <c r="J5" s="596"/>
      <c r="K5" s="596"/>
      <c r="L5" s="596"/>
      <c r="M5" s="596"/>
      <c r="N5" s="596"/>
      <c r="O5" s="880"/>
      <c r="P5" s="880"/>
      <c r="Q5" s="880"/>
      <c r="R5" s="880"/>
      <c r="S5" s="880"/>
      <c r="T5" s="880"/>
      <c r="U5" s="1271"/>
      <c r="V5" s="1271"/>
      <c r="W5" s="1271"/>
      <c r="X5" s="1271"/>
      <c r="Y5" s="596"/>
      <c r="Z5" s="596"/>
      <c r="AA5" s="596"/>
      <c r="AB5" s="596"/>
      <c r="AC5" s="596"/>
      <c r="AD5" s="596"/>
      <c r="AE5" s="596"/>
      <c r="AF5" s="596"/>
      <c r="AG5" s="596"/>
      <c r="AH5" s="596"/>
      <c r="AI5" s="596"/>
      <c r="AJ5" s="596"/>
      <c r="AK5" s="596"/>
      <c r="AL5" s="596"/>
      <c r="AM5" s="597">
        <v>14</v>
      </c>
    </row>
    <row s="599" customFormat="1" customHeight="1" ht="6.3">
      <c r="A6" s="2135"/>
      <c r="B6" s="2135"/>
      <c r="C6" s="2135"/>
      <c r="D6" s="2135"/>
      <c r="E6" s="2135"/>
      <c r="F6" s="2135"/>
      <c r="G6" s="598"/>
      <c r="H6" s="598"/>
      <c r="I6" s="598"/>
      <c r="J6" s="598"/>
      <c r="K6" s="598"/>
      <c r="N6" s="600"/>
      <c r="O6" s="1424"/>
      <c r="P6" s="1424"/>
      <c r="Q6" s="1424"/>
      <c r="R6" s="1424"/>
      <c r="S6" s="1424"/>
      <c r="T6" s="1424"/>
      <c r="U6" s="1274"/>
      <c r="V6" s="1274"/>
      <c r="W6" s="1274"/>
      <c r="X6" s="1274"/>
      <c r="Y6" s="600"/>
      <c r="Z6" s="600"/>
      <c r="AA6" s="600"/>
      <c r="AB6" s="600"/>
      <c r="AC6" s="600"/>
      <c r="AD6" s="600"/>
      <c r="AE6" s="600"/>
      <c r="AF6" s="600"/>
      <c r="AG6" s="600"/>
      <c r="AH6" s="600"/>
      <c r="AI6" s="600"/>
      <c r="AJ6" s="600"/>
      <c r="AK6" s="600"/>
      <c r="AL6" s="600"/>
      <c r="AM6" s="599">
        <v>6</v>
      </c>
    </row>
    <row customHeight="1" ht="45.75" hidden="1">
      <c r="E7" s="214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41"/>
      <c r="G7" s="2141"/>
      <c r="H7" s="2141"/>
      <c r="I7" s="2141"/>
      <c r="J7" s="2141"/>
      <c r="K7" s="2141"/>
      <c r="L7" s="2141"/>
      <c r="M7" s="2141"/>
      <c r="AM7" s="593">
        <v>0</v>
      </c>
    </row>
    <row s="599" customFormat="1" customHeight="1" ht="6.3">
      <c r="A8" s="601"/>
      <c r="B8" s="601"/>
      <c r="C8" s="601"/>
      <c r="D8" s="601"/>
      <c r="E8" s="601"/>
      <c r="F8" s="601"/>
      <c r="G8" s="601"/>
      <c r="H8" s="601"/>
      <c r="I8" s="601"/>
      <c r="J8" s="601"/>
      <c r="K8" s="601"/>
      <c r="L8" s="601"/>
      <c r="M8" s="599"/>
      <c r="N8" s="596"/>
      <c r="O8" s="880"/>
      <c r="P8" s="880"/>
      <c r="Q8" s="880"/>
      <c r="R8" s="880"/>
      <c r="S8" s="880"/>
      <c r="T8" s="880"/>
      <c r="U8" s="1271"/>
      <c r="V8" s="1271"/>
      <c r="W8" s="1271"/>
      <c r="X8" s="1271"/>
      <c r="Y8" s="596"/>
      <c r="Z8" s="596"/>
      <c r="AA8" s="596"/>
      <c r="AB8" s="596"/>
      <c r="AC8" s="596"/>
      <c r="AD8" s="596"/>
      <c r="AE8" s="596"/>
      <c r="AF8" s="596"/>
      <c r="AG8" s="596"/>
      <c r="AH8" s="596"/>
      <c r="AI8" s="596"/>
      <c r="AJ8" s="596"/>
      <c r="AK8" s="596"/>
      <c r="AL8" s="596"/>
      <c r="AM8" s="597">
        <v>6</v>
      </c>
    </row>
    <row customHeight="1" ht="18.75">
      <c r="A9" s="2136"/>
      <c r="B9" s="333"/>
      <c r="C9" s="333"/>
      <c r="D9" s="2137" t="s">
        <v>120</v>
      </c>
      <c r="E9" s="2137"/>
      <c r="F9" s="2138" t="s">
        <v>121</v>
      </c>
      <c r="G9" s="2139"/>
      <c r="H9" s="2139"/>
      <c r="I9" s="2139"/>
      <c r="J9" s="2142" t="s">
        <v>122</v>
      </c>
      <c r="K9" s="2142"/>
      <c r="L9" s="2142"/>
      <c r="M9" s="2142"/>
      <c r="AM9" s="593">
        <v>18</v>
      </c>
    </row>
    <row customHeight="1" ht="24">
      <c r="A10" s="2136"/>
      <c r="B10" s="602"/>
      <c r="C10" s="535"/>
      <c r="D10" s="533" t="s">
        <v>88</v>
      </c>
      <c r="E10" s="533" t="s">
        <v>89</v>
      </c>
      <c r="F10" s="533" t="s">
        <v>123</v>
      </c>
      <c r="G10" s="2143" t="s">
        <v>88</v>
      </c>
      <c r="H10" s="2144"/>
      <c r="I10" s="533" t="s">
        <v>89</v>
      </c>
      <c r="J10" s="533" t="s">
        <v>123</v>
      </c>
      <c r="K10" s="2143" t="s">
        <v>88</v>
      </c>
      <c r="L10" s="2144"/>
      <c r="M10" s="533" t="s">
        <v>89</v>
      </c>
      <c r="N10" s="1637"/>
      <c r="AM10" s="593">
        <v>23</v>
      </c>
    </row>
    <row s="1863" customFormat="1" customHeight="1" ht="11.25" hidden="1">
      <c r="A11" s="603"/>
      <c r="B11" s="603"/>
      <c r="C11" s="603"/>
      <c r="D11" s="604" t="s">
        <v>124</v>
      </c>
      <c r="E11" s="604" t="s">
        <v>104</v>
      </c>
      <c r="F11" s="604" t="s">
        <v>90</v>
      </c>
      <c r="G11" s="2125" t="s">
        <v>91</v>
      </c>
      <c r="H11" s="2126"/>
      <c r="I11" s="604" t="s">
        <v>125</v>
      </c>
      <c r="J11" s="604" t="s">
        <v>92</v>
      </c>
      <c r="K11" s="2127" t="s">
        <v>93</v>
      </c>
      <c r="L11" s="2128"/>
      <c r="M11" s="604" t="s">
        <v>126</v>
      </c>
      <c r="N11" s="1636"/>
      <c r="O11" s="1423"/>
      <c r="P11" s="1425"/>
      <c r="Q11" s="1425"/>
      <c r="R11" s="1425"/>
      <c r="S11" s="1425"/>
      <c r="T11" s="1425"/>
      <c r="U11" s="1275"/>
      <c r="V11" s="1275"/>
      <c r="W11" s="1275"/>
      <c r="X11" s="1275"/>
      <c r="Y11" s="605"/>
      <c r="Z11" s="605"/>
      <c r="AA11" s="605"/>
      <c r="AB11" s="605"/>
      <c r="AC11" s="605"/>
      <c r="AD11" s="605"/>
      <c r="AE11" s="605"/>
      <c r="AF11" s="605"/>
      <c r="AG11" s="605"/>
      <c r="AH11" s="605"/>
      <c r="AI11" s="605"/>
      <c r="AJ11" s="605"/>
      <c r="AK11" s="605"/>
      <c r="AL11" s="605"/>
      <c r="AM11" s="606">
        <v>0</v>
      </c>
    </row>
    <row customHeight="1" ht="1.05">
      <c r="A12" s="607"/>
      <c r="B12" s="608"/>
      <c r="C12" s="608"/>
      <c r="D12" s="609"/>
      <c r="E12" s="377"/>
      <c r="F12" s="610"/>
      <c r="G12" s="1069"/>
      <c r="H12" s="1069"/>
      <c r="I12" s="610"/>
      <c r="J12" s="610"/>
      <c r="K12" s="184"/>
      <c r="L12" s="377"/>
      <c r="M12" s="611"/>
      <c r="N12" s="1637"/>
      <c r="O12" s="1423" t="s">
        <v>127</v>
      </c>
      <c r="P12" s="1423" t="s">
        <v>128</v>
      </c>
      <c r="Q12" s="1423" t="s">
        <v>129</v>
      </c>
      <c r="R12" s="1423" t="s">
        <v>130</v>
      </c>
      <c r="AM12" s="593">
        <v>1</v>
      </c>
    </row>
    <row s="1863" customFormat="1" customHeight="1" ht="15.75">
      <c r="A13" s="303"/>
      <c r="B13" s="303"/>
      <c r="C13" s="536"/>
      <c r="D13" s="2118" t="s">
        <v>124</v>
      </c>
      <c r="E13" s="2119" t="str">
        <f>INDEX(VD_NAME_LIST,MATCH("4190064",VD_ID_LIST,0))</f>
        <v>Производство тепловой энергии. Некомбинированная выработка</v>
      </c>
      <c r="F13" s="2122" t="s">
        <v>66</v>
      </c>
      <c r="G13" s="2123"/>
      <c r="H13" s="2124">
        <v>1</v>
      </c>
      <c r="I13" s="2115" t="str">
        <f>IF(U13="","",INDEX(TERRITORY_MR_LIST,MATCH(U13,TERRITORY_LIST_ID,0)))</f>
        <v>Территория 1</v>
      </c>
      <c r="J13" s="2117" t="s">
        <v>66</v>
      </c>
      <c r="K13" s="612"/>
      <c r="L13" s="537" t="s">
        <v>124</v>
      </c>
      <c r="M13" s="2640" t="s">
        <v>131</v>
      </c>
      <c r="N13" s="822"/>
      <c r="O13" s="1426" t="s">
        <v>132</v>
      </c>
      <c r="P13" s="1423" t="str">
        <f>$E$13</f>
        <v>Производство тепловой энергии. Некомбинированная выработка</v>
      </c>
      <c r="Q13" s="1423" t="str">
        <f>IF($F$13="нет","без дифференциации",$I$13)</f>
        <v>Территория 1</v>
      </c>
      <c r="R13" s="1423" t="str">
        <f>IF($J$13="нет","без дифференциации",M13)</f>
        <v>Нерюнгринская ГРЭС (г. Нерюнгри)</v>
      </c>
      <c r="S13" s="1426"/>
      <c r="T13" s="1426"/>
      <c r="U13" s="1276" t="s">
        <v>98</v>
      </c>
      <c r="V13" s="1276" t="s">
        <v>133</v>
      </c>
      <c r="W13" s="1276"/>
      <c r="X13" s="1276"/>
      <c r="Y13" s="614" t="s">
        <v>134</v>
      </c>
      <c r="Z13" s="614">
        <v>1705000</v>
      </c>
      <c r="AA13" s="614"/>
      <c r="AB13" s="614"/>
      <c r="AC13" s="614"/>
      <c r="AD13" s="614"/>
      <c r="AE13" s="614"/>
      <c r="AF13" s="614"/>
      <c r="AG13" s="614"/>
      <c r="AH13" s="614"/>
      <c r="AI13" s="614"/>
      <c r="AJ13" s="614"/>
      <c r="AK13" s="614"/>
      <c r="AL13" s="614"/>
      <c r="AM13" s="616">
        <v>15</v>
      </c>
    </row>
    <row s="1863" customFormat="1" customHeight="1" ht="15.75">
      <c r="A14" s="303"/>
      <c r="B14" s="303"/>
      <c r="C14" s="186"/>
      <c r="D14" s="2118"/>
      <c r="E14" s="2120"/>
      <c r="F14" s="2117"/>
      <c r="G14" s="2123"/>
      <c r="H14" s="2124"/>
      <c r="I14" s="2116"/>
      <c r="J14" s="2117"/>
      <c r="K14" s="431"/>
      <c r="L14" s="187"/>
      <c r="M14" s="617" t="s">
        <v>135</v>
      </c>
      <c r="N14" s="822"/>
      <c r="O14" s="1426"/>
      <c r="P14" s="1423"/>
      <c r="Q14" s="1423"/>
      <c r="R14" s="1423"/>
      <c r="S14" s="1426"/>
      <c r="T14" s="1426"/>
      <c r="U14" s="1276"/>
      <c r="V14" s="1276"/>
      <c r="W14" s="1276"/>
      <c r="X14" s="1276"/>
      <c r="Y14" s="614"/>
      <c r="Z14" s="614"/>
      <c r="AA14" s="614"/>
      <c r="AB14" s="614"/>
      <c r="AC14" s="614"/>
      <c r="AD14" s="614"/>
      <c r="AE14" s="614"/>
      <c r="AF14" s="614"/>
      <c r="AG14" s="614"/>
      <c r="AH14" s="614"/>
      <c r="AI14" s="614"/>
      <c r="AJ14" s="614"/>
      <c r="AK14" s="614"/>
      <c r="AL14" s="614"/>
      <c r="AM14" s="616">
        <v>15</v>
      </c>
    </row>
    <row s="1863" customFormat="1" customHeight="1" ht="15.75">
      <c r="A15" s="303"/>
      <c r="B15" s="303"/>
      <c r="C15" s="186"/>
      <c r="D15" s="2118"/>
      <c r="E15" s="2121"/>
      <c r="F15" s="2117"/>
      <c r="G15" s="1070"/>
      <c r="H15" s="1071"/>
      <c r="I15" s="590" t="s">
        <v>136</v>
      </c>
      <c r="J15" s="187"/>
      <c r="K15" s="187"/>
      <c r="L15" s="187"/>
      <c r="M15" s="618"/>
      <c r="N15" s="822"/>
      <c r="O15" s="1426"/>
      <c r="P15" s="1423"/>
      <c r="Q15" s="1423"/>
      <c r="R15" s="1423"/>
      <c r="S15" s="1426"/>
      <c r="T15" s="1426"/>
      <c r="U15" s="1276"/>
      <c r="V15" s="1276"/>
      <c r="W15" s="1276"/>
      <c r="X15" s="1276"/>
      <c r="Y15" s="614"/>
      <c r="Z15" s="614"/>
      <c r="AA15" s="614"/>
      <c r="AB15" s="614"/>
      <c r="AC15" s="614"/>
      <c r="AD15" s="614"/>
      <c r="AE15" s="614"/>
      <c r="AF15" s="614"/>
      <c r="AG15" s="614"/>
      <c r="AH15" s="614"/>
      <c r="AI15" s="614"/>
      <c r="AJ15" s="614"/>
      <c r="AK15" s="614"/>
      <c r="AL15" s="614"/>
      <c r="AM15" s="616">
        <v>15</v>
      </c>
    </row>
    <row customHeight="1" ht="15">
      <c r="A16" s="433"/>
      <c r="B16" s="433"/>
      <c r="C16" s="1738" t="s">
        <v>105</v>
      </c>
      <c r="D16" s="2118" t="s">
        <v>104</v>
      </c>
      <c r="E16" s="2119" t="str">
        <f>INDEX(VD_NAME_LIST,MATCH("4190066",VD_ID_LIST,0))&amp;"; "&amp;INDEX(VD_NAME_LIST,MATCH("4190068",VD_ID_LIST,0))&amp;"; "&amp;INDEX(VD_NAME_LIST,MATCH("4190070",VD_ID_LIST,0))&amp;"; "&amp;INDEX(VD_NAME_LIST,MATCH("4190072",VD_ID_LIST,0))</f>
        <v>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F16" s="2117" t="s">
        <v>66</v>
      </c>
      <c r="G16" s="2567"/>
      <c r="H16" s="2137">
        <v>1</v>
      </c>
      <c r="I16" s="2641" t="str">
        <f>IF($U$16="","",INDEX(TERRITORY_MR_LIST,MATCH($U$16,TERRITORY_LIST_ID,0)))</f>
        <v>Территория 2</v>
      </c>
      <c r="J16" s="2117" t="s">
        <v>66</v>
      </c>
      <c r="K16" s="842"/>
      <c r="L16" s="1792" t="s">
        <v>124</v>
      </c>
      <c r="M16" s="2640" t="s">
        <v>137</v>
      </c>
      <c r="N16" s="614"/>
      <c r="O16" s="614" t="s">
        <v>138</v>
      </c>
      <c r="P16" s="614" t="str">
        <f>$E$16</f>
        <v>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Q16" s="614" t="str">
        <f>IF($F$16="нет","без дифференциации",$I$16)</f>
        <v>Территория 2</v>
      </c>
      <c r="R16" s="614" t="str">
        <f>IF($J$16="нет","без дифференциации",$M$16)</f>
        <v>Нерюнгринская ГРЭС (п. Серебряный Бор)</v>
      </c>
      <c r="S16" s="614"/>
      <c r="T16" s="614"/>
      <c r="U16" s="615" t="s">
        <v>106</v>
      </c>
      <c r="V16" s="614" t="s">
        <v>139</v>
      </c>
      <c r="W16" s="614"/>
      <c r="X16" s="605"/>
      <c r="Y16" s="605" t="s">
        <v>134</v>
      </c>
      <c r="Z16" s="605">
        <v>1705000</v>
      </c>
      <c r="AA16" s="605"/>
      <c r="AB16" s="605"/>
      <c r="AC16" s="605"/>
      <c r="AD16" s="605"/>
      <c r="AE16" s="605"/>
      <c r="AF16" s="605"/>
      <c r="AG16" s="605"/>
      <c r="AH16" s="605"/>
      <c r="AI16" s="605"/>
      <c r="AJ16" s="605"/>
      <c r="AK16" s="605"/>
      <c r="AL16" s="605"/>
      <c r="AM16" s="1863"/>
    </row>
    <row customHeight="1" ht="15">
      <c r="A17" s="433"/>
      <c r="B17" s="433"/>
      <c r="C17" s="186"/>
      <c r="D17" s="2118"/>
      <c r="E17" s="2120"/>
      <c r="F17" s="2117"/>
      <c r="G17" s="2568"/>
      <c r="H17" s="2137"/>
      <c r="I17" s="2642" t="str">
        <f>IF($U$16="","",INDEX(TERRITORY_MR_LIST,MATCH($U$16,TERRITORY_LIST_ID,0)))</f>
        <v>Территория 2</v>
      </c>
      <c r="J17" s="2117"/>
      <c r="K17" s="431"/>
      <c r="L17" s="187"/>
      <c r="M17" s="617" t="s">
        <v>135</v>
      </c>
      <c r="N17" s="614"/>
      <c r="O17" s="614"/>
      <c r="P17" s="614"/>
      <c r="Q17" s="614"/>
      <c r="R17" s="614"/>
      <c r="S17" s="614"/>
      <c r="T17" s="614"/>
      <c r="U17" s="615"/>
      <c r="V17" s="614"/>
      <c r="W17" s="614"/>
      <c r="X17" s="605"/>
      <c r="Y17" s="605"/>
      <c r="Z17" s="605"/>
      <c r="AA17" s="605"/>
      <c r="AB17" s="605"/>
      <c r="AC17" s="605"/>
      <c r="AD17" s="605"/>
      <c r="AE17" s="605"/>
      <c r="AF17" s="605"/>
      <c r="AG17" s="605"/>
      <c r="AH17" s="605"/>
      <c r="AI17" s="605"/>
      <c r="AJ17" s="605"/>
      <c r="AK17" s="605"/>
      <c r="AL17" s="605"/>
      <c r="AM17" s="1863"/>
    </row>
    <row customHeight="1" ht="15">
      <c r="A18" s="433"/>
      <c r="B18" s="433"/>
      <c r="C18" s="186"/>
      <c r="D18" s="1831"/>
      <c r="E18" s="1831"/>
      <c r="F18" s="1831"/>
      <c r="G18" s="2571" t="s">
        <v>105</v>
      </c>
      <c r="H18" s="2113" t="s">
        <v>104</v>
      </c>
      <c r="I18" s="2572" t="str">
        <f>IF(U18="","",INDEX(TERRITORY_MR_LIST,MATCH(U18,TERRITORY_LIST_ID,0)))</f>
        <v>Территория 3</v>
      </c>
      <c r="J18" s="2117" t="s">
        <v>66</v>
      </c>
      <c r="K18" s="842"/>
      <c r="L18" s="1792" t="s">
        <v>124</v>
      </c>
      <c r="M18" s="2640" t="s">
        <v>140</v>
      </c>
      <c r="N18" s="614"/>
      <c r="O18" s="614" t="s">
        <v>141</v>
      </c>
      <c r="P18" s="614" t="str">
        <f>$E$16</f>
        <v>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Q18" s="614" t="str">
        <f>IF($F$18="нет","без дифференциации",$I$18)</f>
        <v>Территория 3</v>
      </c>
      <c r="R18" s="614" t="str">
        <f>IF($J$18="нет","без дифференциации",$M$18)</f>
        <v>Нерюнгринская ГРЭС (п. Беркакит)</v>
      </c>
      <c r="S18" s="614"/>
      <c r="T18" s="614"/>
      <c r="U18" s="615" t="s">
        <v>110</v>
      </c>
      <c r="V18" s="614"/>
      <c r="W18" s="614"/>
      <c r="X18" s="605"/>
      <c r="Y18" s="605" t="s">
        <v>134</v>
      </c>
      <c r="Z18" s="605">
        <v>1705000</v>
      </c>
      <c r="AA18" s="605"/>
      <c r="AB18" s="605"/>
      <c r="AC18" s="605"/>
      <c r="AD18" s="605"/>
      <c r="AE18" s="605"/>
      <c r="AF18" s="605"/>
      <c r="AG18" s="605"/>
      <c r="AH18" s="605"/>
      <c r="AI18" s="605"/>
      <c r="AJ18" s="605"/>
      <c r="AK18" s="605"/>
      <c r="AL18" s="605"/>
      <c r="AM18" s="1863"/>
    </row>
    <row customHeight="1" ht="15">
      <c r="A19" s="433"/>
      <c r="B19" s="433"/>
      <c r="C19" s="186"/>
      <c r="D19" s="1831"/>
      <c r="E19" s="1831"/>
      <c r="F19" s="1831"/>
      <c r="G19" s="2571"/>
      <c r="H19" s="2113"/>
      <c r="I19" s="2572"/>
      <c r="J19" s="2117"/>
      <c r="K19" s="431"/>
      <c r="L19" s="187"/>
      <c r="M19" s="617" t="s">
        <v>135</v>
      </c>
      <c r="N19" s="614"/>
      <c r="O19" s="614"/>
      <c r="P19" s="614"/>
      <c r="Q19" s="614"/>
      <c r="R19" s="614"/>
      <c r="S19" s="614"/>
      <c r="T19" s="614"/>
      <c r="U19" s="615"/>
      <c r="V19" s="614"/>
      <c r="W19" s="614"/>
      <c r="X19" s="605"/>
      <c r="Y19" s="605"/>
      <c r="Z19" s="605"/>
      <c r="AA19" s="605"/>
      <c r="AB19" s="605"/>
      <c r="AC19" s="605"/>
      <c r="AD19" s="605"/>
      <c r="AE19" s="605"/>
      <c r="AF19" s="605"/>
      <c r="AG19" s="605"/>
      <c r="AH19" s="605"/>
      <c r="AI19" s="605"/>
      <c r="AJ19" s="605"/>
      <c r="AK19" s="605"/>
      <c r="AL19" s="605"/>
      <c r="AM19" s="1863"/>
    </row>
    <row customHeight="1" ht="15">
      <c r="A20" s="433"/>
      <c r="B20" s="433"/>
      <c r="C20" s="186"/>
      <c r="D20" s="2118"/>
      <c r="E20" s="2121"/>
      <c r="F20" s="2117"/>
      <c r="G20" s="431"/>
      <c r="H20" s="187"/>
      <c r="I20" s="590" t="s">
        <v>136</v>
      </c>
      <c r="J20" s="187"/>
      <c r="K20" s="187"/>
      <c r="L20" s="187"/>
      <c r="M20" s="618"/>
      <c r="N20" s="614"/>
      <c r="O20" s="614"/>
      <c r="P20" s="614"/>
      <c r="Q20" s="614"/>
      <c r="R20" s="614"/>
      <c r="S20" s="614"/>
      <c r="T20" s="614"/>
      <c r="U20" s="615"/>
      <c r="V20" s="614"/>
      <c r="W20" s="614"/>
      <c r="X20" s="605"/>
      <c r="Y20" s="605"/>
      <c r="Z20" s="605"/>
      <c r="AA20" s="605"/>
      <c r="AB20" s="605"/>
      <c r="AC20" s="605"/>
      <c r="AD20" s="605"/>
      <c r="AE20" s="605"/>
      <c r="AF20" s="605"/>
      <c r="AG20" s="605"/>
      <c r="AH20" s="605"/>
      <c r="AI20" s="605"/>
      <c r="AJ20" s="605"/>
      <c r="AK20" s="605"/>
      <c r="AL20" s="605"/>
      <c r="AM20" s="1863"/>
    </row>
    <row customHeight="1" ht="15">
      <c r="A21" s="433"/>
      <c r="B21" s="433"/>
      <c r="C21" s="1738" t="s">
        <v>105</v>
      </c>
      <c r="D21" s="2118" t="s">
        <v>90</v>
      </c>
      <c r="E21" s="2119" t="str">
        <f>INDEX(VD_NAME_LIST,MATCH("4190066",VD_ID_LIST,0))&amp;"; "&amp;INDEX(VD_NAME_LIST,MATCH("4190067",VD_ID_LIST,0))&amp;"; "&amp;INDEX(VD_NAME_LIST,MATCH("4190068",VD_ID_LIST,0))&amp;"; "&amp;INDEX(VD_NAME_LIST,MATCH("4190069",VD_ID_LIST,0))&amp;"; "&amp;INDEX(VD_NAME_LIST,MATCH("4190070",VD_ID_LIST,0))&amp;"; "&amp;INDEX(VD_NAME_LIST,MATCH("4190071",VD_ID_LIST,0))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 Передача. Тепловая энергия; Передача. Теплоноситель; Сбыт. Тепловая энергия; Сбыт. Теплоноситель</v>
      </c>
      <c r="F21" s="2117" t="s">
        <v>66</v>
      </c>
      <c r="G21" s="2567"/>
      <c r="H21" s="2137">
        <v>1</v>
      </c>
      <c r="I21" s="2641" t="str">
        <f>IF($U$21="","",INDEX(TERRITORY_MR_LIST,MATCH($U$21,TERRITORY_LIST_ID,0)))</f>
        <v>Территория 4</v>
      </c>
      <c r="J21" s="2117" t="s">
        <v>66</v>
      </c>
      <c r="K21" s="842"/>
      <c r="L21" s="1792" t="s">
        <v>124</v>
      </c>
      <c r="M21" s="2640" t="s">
        <v>142</v>
      </c>
      <c r="N21" s="614"/>
      <c r="O21" s="614" t="s">
        <v>143</v>
      </c>
      <c r="P21" s="614" t="str">
        <f>$E$21</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 Передача. Тепловая энергия; Передача. Теплоноситель; Сбыт. Тепловая энергия; Сбыт. Теплоноситель</v>
      </c>
      <c r="Q21" s="614" t="str">
        <f>IF($F$21="нет","без дифференциации",$I$21)</f>
        <v>Территория 4</v>
      </c>
      <c r="R21" s="614" t="str">
        <f>IF($J$21="нет","без дифференциации",$M$21)</f>
        <v>Чульманская ТЭЦ (п. Чульман)</v>
      </c>
      <c r="S21" s="614"/>
      <c r="T21" s="614"/>
      <c r="U21" s="615" t="s">
        <v>114</v>
      </c>
      <c r="V21" s="614" t="s">
        <v>144</v>
      </c>
      <c r="W21" s="614"/>
      <c r="X21" s="605"/>
      <c r="Y21" s="605" t="s">
        <v>134</v>
      </c>
      <c r="Z21" s="605">
        <v>1705000</v>
      </c>
      <c r="AA21" s="605"/>
      <c r="AB21" s="605"/>
      <c r="AC21" s="605"/>
      <c r="AD21" s="605"/>
      <c r="AE21" s="605"/>
      <c r="AF21" s="605"/>
      <c r="AG21" s="605"/>
      <c r="AH21" s="605"/>
      <c r="AI21" s="605"/>
      <c r="AJ21" s="605"/>
      <c r="AK21" s="605"/>
      <c r="AL21" s="605"/>
      <c r="AM21" s="1863"/>
    </row>
    <row customHeight="1" ht="15">
      <c r="A22" s="433"/>
      <c r="B22" s="433"/>
      <c r="C22" s="186"/>
      <c r="D22" s="2118"/>
      <c r="E22" s="2120"/>
      <c r="F22" s="2117"/>
      <c r="G22" s="2568"/>
      <c r="H22" s="2137"/>
      <c r="I22" s="2642" t="str">
        <f>IF($U$21="","",INDEX(TERRITORY_MR_LIST,MATCH($U$21,TERRITORY_LIST_ID,0)))</f>
        <v>Территория 4</v>
      </c>
      <c r="J22" s="2117"/>
      <c r="K22" s="431"/>
      <c r="L22" s="187"/>
      <c r="M22" s="617" t="s">
        <v>135</v>
      </c>
      <c r="N22" s="614"/>
      <c r="O22" s="614"/>
      <c r="P22" s="614"/>
      <c r="Q22" s="614"/>
      <c r="R22" s="614"/>
      <c r="S22" s="614"/>
      <c r="T22" s="614"/>
      <c r="U22" s="615"/>
      <c r="V22" s="614"/>
      <c r="W22" s="614"/>
      <c r="X22" s="605"/>
      <c r="Y22" s="605"/>
      <c r="Z22" s="605"/>
      <c r="AA22" s="605"/>
      <c r="AB22" s="605"/>
      <c r="AC22" s="605"/>
      <c r="AD22" s="605"/>
      <c r="AE22" s="605"/>
      <c r="AF22" s="605"/>
      <c r="AG22" s="605"/>
      <c r="AH22" s="605"/>
      <c r="AI22" s="605"/>
      <c r="AJ22" s="605"/>
      <c r="AK22" s="605"/>
      <c r="AL22" s="605"/>
      <c r="AM22" s="1863"/>
    </row>
    <row customHeight="1" ht="15">
      <c r="A23" s="433"/>
      <c r="B23" s="433"/>
      <c r="C23" s="186"/>
      <c r="D23" s="2118"/>
      <c r="E23" s="2121"/>
      <c r="F23" s="2117"/>
      <c r="G23" s="431"/>
      <c r="H23" s="187"/>
      <c r="I23" s="590" t="s">
        <v>136</v>
      </c>
      <c r="J23" s="187"/>
      <c r="K23" s="187"/>
      <c r="L23" s="187"/>
      <c r="M23" s="618"/>
      <c r="N23" s="614"/>
      <c r="O23" s="614"/>
      <c r="P23" s="614"/>
      <c r="Q23" s="614"/>
      <c r="R23" s="614"/>
      <c r="S23" s="614"/>
      <c r="T23" s="614"/>
      <c r="U23" s="615"/>
      <c r="V23" s="614"/>
      <c r="W23" s="614"/>
      <c r="X23" s="605"/>
      <c r="Y23" s="605"/>
      <c r="Z23" s="605"/>
      <c r="AA23" s="605"/>
      <c r="AB23" s="605"/>
      <c r="AC23" s="605"/>
      <c r="AD23" s="605"/>
      <c r="AE23" s="605"/>
      <c r="AF23" s="605"/>
      <c r="AG23" s="605"/>
      <c r="AH23" s="605"/>
      <c r="AI23" s="605"/>
      <c r="AJ23" s="605"/>
      <c r="AK23" s="605"/>
      <c r="AL23" s="605"/>
      <c r="AM23" s="1863"/>
    </row>
    <row customHeight="1" ht="15.75">
      <c r="A24" s="619"/>
      <c r="B24" s="145"/>
      <c r="C24" s="816"/>
      <c r="D24" s="431"/>
      <c r="E24" s="581" t="s">
        <v>145</v>
      </c>
      <c r="F24" s="187"/>
      <c r="G24" s="187"/>
      <c r="H24" s="187"/>
      <c r="I24" s="187"/>
      <c r="J24" s="187"/>
      <c r="K24" s="187" t="s">
        <v>22</v>
      </c>
      <c r="L24" s="187"/>
      <c r="M24" s="618"/>
      <c r="N24" s="1637"/>
      <c r="AM24" s="593">
        <v>15</v>
      </c>
    </row>
    <row customHeight="1" ht="11.25" hidden="1">
      <c r="A25" s="593" t="s">
        <v>82</v>
      </c>
      <c r="B25" s="593">
        <v>0</v>
      </c>
      <c r="C25" s="593">
        <v>3</v>
      </c>
      <c r="D25" s="593"/>
      <c r="E25" s="593">
        <v>44</v>
      </c>
      <c r="F25" s="593">
        <v>6</v>
      </c>
      <c r="G25" s="593">
        <v>4</v>
      </c>
      <c r="H25" s="593">
        <v>5</v>
      </c>
      <c r="I25" s="593">
        <v>52</v>
      </c>
      <c r="J25" s="593">
        <v>6</v>
      </c>
      <c r="K25" s="593">
        <v>3</v>
      </c>
      <c r="L25" s="593">
        <v>6</v>
      </c>
      <c r="M25" s="593">
        <v>56</v>
      </c>
      <c r="N25" s="594">
        <v>8</v>
      </c>
      <c r="O25" s="1423">
        <v>0</v>
      </c>
      <c r="P25" s="1423">
        <v>0</v>
      </c>
      <c r="Q25" s="1423">
        <v>0</v>
      </c>
      <c r="R25" s="1423">
        <v>0</v>
      </c>
      <c r="S25" s="1423">
        <v>0</v>
      </c>
      <c r="T25" s="1423">
        <v>0</v>
      </c>
      <c r="U25" s="1273">
        <v>0</v>
      </c>
      <c r="V25" s="1273">
        <v>0</v>
      </c>
      <c r="W25" s="1273">
        <v>0</v>
      </c>
      <c r="X25" s="1273">
        <v>0</v>
      </c>
      <c r="Y25" s="594">
        <v>0</v>
      </c>
      <c r="Z25" s="594">
        <v>0</v>
      </c>
      <c r="AA25" s="594">
        <v>0</v>
      </c>
      <c r="AB25" s="594">
        <v>0</v>
      </c>
      <c r="AC25" s="594">
        <v>0</v>
      </c>
      <c r="AD25" s="594">
        <v>0</v>
      </c>
      <c r="AE25" s="594">
        <v>0</v>
      </c>
      <c r="AF25" s="594">
        <v>0</v>
      </c>
      <c r="AG25" s="594">
        <v>0</v>
      </c>
      <c r="AH25" s="594">
        <v>0</v>
      </c>
      <c r="AI25" s="594">
        <v>0</v>
      </c>
      <c r="AJ25" s="594">
        <v>0</v>
      </c>
      <c r="AK25" s="594">
        <v>0</v>
      </c>
      <c r="AL25" s="594">
        <v>8</v>
      </c>
      <c r="AM25" s="593">
        <v>11</v>
      </c>
    </row>
  </sheetData>
  <sheetProtection sheet="1" formatColumns="0" formatRows="0" autoFilter="0" sort="1" insertRows="1" insertColumns="1" deleteRows="1" deleteColumns="1"/>
  <mergeCells count="3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 ref="D16:D20"/>
    <mergeCell ref="E16:E20"/>
    <mergeCell ref="F16:F20"/>
    <mergeCell ref="G16:G17"/>
    <mergeCell ref="H16:H17"/>
    <mergeCell ref="I16:I17"/>
    <mergeCell ref="J16:J17"/>
    <mergeCell ref="C16:C20"/>
    <mergeCell ref="G18:G19"/>
    <mergeCell ref="H18:H19"/>
    <mergeCell ref="I18:I19"/>
    <mergeCell ref="J18:J19"/>
    <mergeCell ref="D21:D23"/>
    <mergeCell ref="E21:E23"/>
    <mergeCell ref="F21:F23"/>
    <mergeCell ref="G21:G22"/>
    <mergeCell ref="H21:H22"/>
    <mergeCell ref="I21:I22"/>
    <mergeCell ref="J21:J22"/>
    <mergeCell ref="C21:C23"/>
  </mergeCells>
  <dataValidations count="4">
    <dataValidation type="textLength" operator="lessThan" allowBlank="1" showInputMessage="1" showErrorMessage="1" error="Допускается ввод не более 900 символов!" sqref="M13">
      <formula1>900</formula1>
    </dataValidation>
    <dataValidation type="textLength" operator="lessThan" allowBlank="1" showInputMessage="1" showErrorMessage="1" error="Допускается ввод не более 900 символов!" sqref="M16">
      <formula1>900</formula1>
    </dataValidation>
    <dataValidation type="textLength" operator="lessThan" allowBlank="1" showInputMessage="1" showErrorMessage="1" error="Допускается ввод не более 900 символов!" sqref="M18">
      <formula1>900</formula1>
    </dataValidation>
    <dataValidation type="textLength" operator="lessThan" allowBlank="1" showInputMessage="1" showErrorMessage="1" error="Допускается ввод не более 900 символов!" sqref="M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08BE0E-3FE1-60A8-9738-0.AB0F6D1}" mc:Ignorable="x14ac xr xr2 xr3">
  <sheetPr>
    <tabColor rgb="FFE26B0A"/>
  </sheetPr>
  <dimension ref="A1:AB782"/>
  <sheetViews>
    <sheetView showGridLines="0" zoomScale="90" workbookViewId="0">
      <pane xSplit="8" ySplit="31" topLeftCell="I755" activePane="bottomRight" state="frozen"/>
      <selection pane="bottomLeft" activeCell="A32" sqref="A32"/>
      <selection pane="topRight" activeCell="I1" sqref="I1"/>
      <selection pane="bottomRight" activeCell="I763" sqref="I763"/>
    </sheetView>
  </sheetViews>
  <sheetFormatPr defaultColWidth="10.57421875" customHeight="1" defaultRowHeight="15"/>
  <cols>
    <col min="1" max="1" style="1642" width="9.140625" hidden="1" customWidth="1"/>
    <col min="2" max="2" style="1645" width="9.140625" hidden="1" customWidth="1"/>
    <col min="3" max="3" style="693" width="4.00390625" customWidth="1"/>
    <col min="4" max="4" style="1645" width="14.12109375" customWidth="1"/>
    <col min="5" max="5" style="1645" width="36.00390625" customWidth="1"/>
    <col min="6" max="6" style="1645" width="9.00390625" customWidth="1"/>
    <col min="7" max="7" style="1645" width="25.7109375" hidden="1" customWidth="1"/>
    <col min="8" max="8" style="1645" width="33.7109375" hidden="1" customWidth="1"/>
    <col min="9" max="9" style="1645" width="25.7109375" customWidth="1"/>
    <col min="10" max="10" style="1645" width="33.00390625" customWidth="1"/>
    <col min="11" max="11" style="1645" width="25.7109375" customWidth="1"/>
    <col min="12" max="12" style="1645" width="33.7109375" customWidth="1"/>
    <col min="13" max="13" style="1645" width="25.7109375" customWidth="1"/>
    <col min="14" max="14" style="1645" width="33.7109375" customWidth="1"/>
    <col min="15" max="15" style="1645" width="25.7109375" customWidth="1"/>
    <col min="16" max="16" style="1645" width="33.7109375" customWidth="1"/>
    <col min="17" max="17" style="1376" width="93.00390625" customWidth="1"/>
    <col min="18" max="26" style="1645" width="10.00390625" customWidth="1"/>
    <col min="27" max="27" style="685" width="10.00390625" customWidth="1"/>
    <col min="28" max="28" style="1645" width="10.57421875" hidden="1"/>
  </cols>
  <sheetData>
    <row s="1376" customFormat="1" customHeight="1" ht="22.5" hidden="1">
      <c r="C1" s="682"/>
      <c r="G1" s="427">
        <v>4</v>
      </c>
      <c r="I1" s="427">
        <v>4</v>
      </c>
      <c r="K1" s="1376">
        <v>4</v>
      </c>
      <c r="L1" s="1376"/>
      <c r="M1" s="1376">
        <v>4</v>
      </c>
      <c r="N1" s="1376"/>
      <c r="O1" s="1376">
        <v>4</v>
      </c>
      <c r="P1" s="1376"/>
      <c r="AA1" s="430"/>
      <c r="AB1" s="427" t="s">
        <v>14</v>
      </c>
    </row>
    <row s="1376" customFormat="1" customHeight="1" ht="15" hidden="1">
      <c r="C2" s="682"/>
      <c r="K2" s="1376"/>
      <c r="L2" s="1376"/>
      <c r="M2" s="1376"/>
      <c r="N2" s="1376"/>
      <c r="O2" s="1376"/>
      <c r="P2" s="1376"/>
      <c r="AA2" s="430"/>
      <c r="AB2" s="427">
        <v>0</v>
      </c>
    </row>
    <row customHeight="1" ht="22.5" hidden="1">
      <c r="A3" s="515"/>
      <c r="B3" s="2407"/>
      <c r="C3" s="2408" t="s">
        <v>105</v>
      </c>
      <c r="D3" s="699" t="str">
        <f>B3&amp;".1"</f>
        <v>.1</v>
      </c>
      <c r="E3" s="700" t="s">
        <v>960</v>
      </c>
      <c r="F3" s="701" t="s">
        <v>328</v>
      </c>
      <c r="G3" s="696"/>
      <c r="H3" s="411"/>
      <c r="I3" s="696"/>
      <c r="J3" s="411"/>
      <c r="K3" s="2363"/>
      <c r="L3" s="828"/>
      <c r="M3" s="2363"/>
      <c r="N3" s="828"/>
      <c r="O3" s="2363"/>
      <c r="P3" s="828"/>
      <c r="Q3" s="299" t="s">
        <v>961</v>
      </c>
      <c r="AB3" s="515">
        <v>0</v>
      </c>
    </row>
    <row customHeight="1" ht="15" hidden="1">
      <c r="A4" s="515"/>
      <c r="B4" s="2407"/>
      <c r="C4" s="2408"/>
      <c r="D4" s="699" t="str">
        <f>B3&amp;".2"</f>
        <v>.2</v>
      </c>
      <c r="E4" s="700" t="s">
        <v>962</v>
      </c>
      <c r="F4" s="701" t="s">
        <v>328</v>
      </c>
      <c r="G4" s="1748" t="s">
        <v>22</v>
      </c>
      <c r="H4" s="411"/>
      <c r="I4" s="1748" t="s">
        <v>22</v>
      </c>
      <c r="J4" s="411"/>
      <c r="K4" s="1748" t="s">
        <v>22</v>
      </c>
      <c r="L4" s="828"/>
      <c r="M4" s="1748" t="s">
        <v>22</v>
      </c>
      <c r="N4" s="828"/>
      <c r="O4" s="1748" t="s">
        <v>22</v>
      </c>
      <c r="P4" s="828"/>
      <c r="Q4" s="299" t="s">
        <v>963</v>
      </c>
      <c r="AB4" s="515">
        <v>0</v>
      </c>
    </row>
    <row s="1376" customFormat="1" customHeight="1" ht="15" hidden="1">
      <c r="C5" s="682"/>
      <c r="K5" s="1376"/>
      <c r="L5" s="1376"/>
      <c r="M5" s="1376"/>
      <c r="N5" s="1376"/>
      <c r="O5" s="1376"/>
      <c r="P5" s="1376"/>
      <c r="AA5" s="430"/>
      <c r="AB5" s="427">
        <v>0</v>
      </c>
    </row>
    <row customHeight="1" ht="22.5" hidden="1">
      <c r="A6" s="515"/>
      <c r="B6" s="2407"/>
      <c r="C6" s="2408" t="s">
        <v>105</v>
      </c>
      <c r="D6" s="699" t="str">
        <f>B6&amp;".1"</f>
        <v>.1</v>
      </c>
      <c r="E6" s="700" t="s">
        <v>964</v>
      </c>
      <c r="F6" s="701" t="s">
        <v>328</v>
      </c>
      <c r="G6" s="696"/>
      <c r="H6" s="411"/>
      <c r="I6" s="696"/>
      <c r="J6" s="411"/>
      <c r="K6" s="2363"/>
      <c r="L6" s="828"/>
      <c r="M6" s="2363"/>
      <c r="N6" s="828"/>
      <c r="O6" s="2363"/>
      <c r="P6" s="828"/>
      <c r="Q6" s="299" t="s">
        <v>965</v>
      </c>
      <c r="AB6" s="515">
        <v>0</v>
      </c>
    </row>
    <row customHeight="1" ht="15" hidden="1">
      <c r="A7" s="515"/>
      <c r="B7" s="2407"/>
      <c r="C7" s="2408"/>
      <c r="D7" s="699" t="str">
        <f>B6&amp;".2"</f>
        <v>.2</v>
      </c>
      <c r="E7" s="700" t="s">
        <v>962</v>
      </c>
      <c r="F7" s="701" t="s">
        <v>328</v>
      </c>
      <c r="G7" s="1748" t="s">
        <v>22</v>
      </c>
      <c r="H7" s="411"/>
      <c r="I7" s="1748" t="s">
        <v>22</v>
      </c>
      <c r="J7" s="411"/>
      <c r="K7" s="1748" t="s">
        <v>22</v>
      </c>
      <c r="L7" s="828"/>
      <c r="M7" s="1748" t="s">
        <v>22</v>
      </c>
      <c r="N7" s="828"/>
      <c r="O7" s="1748" t="s">
        <v>22</v>
      </c>
      <c r="P7" s="828"/>
      <c r="Q7" s="299" t="s">
        <v>963</v>
      </c>
      <c r="AB7" s="515">
        <v>0</v>
      </c>
    </row>
    <row s="1376" customFormat="1" customHeight="1" ht="15" hidden="1">
      <c r="C8" s="682"/>
      <c r="K8" s="1376"/>
      <c r="L8" s="1376"/>
      <c r="M8" s="1376"/>
      <c r="N8" s="1376"/>
      <c r="O8" s="1376"/>
      <c r="P8" s="1376"/>
      <c r="AA8" s="430"/>
      <c r="AB8" s="427">
        <v>0</v>
      </c>
    </row>
    <row customHeight="1" ht="22.5" hidden="1">
      <c r="A9" s="515"/>
      <c r="B9" s="2407"/>
      <c r="C9" s="2408" t="s">
        <v>105</v>
      </c>
      <c r="D9" s="699" t="str">
        <f>B9&amp;".1"</f>
        <v>.1</v>
      </c>
      <c r="E9" s="700" t="s">
        <v>966</v>
      </c>
      <c r="F9" s="701" t="s">
        <v>328</v>
      </c>
      <c r="G9" s="707" t="s">
        <v>22</v>
      </c>
      <c r="H9" s="411" t="s">
        <v>22</v>
      </c>
      <c r="I9" s="707" t="s">
        <v>22</v>
      </c>
      <c r="J9" s="411" t="s">
        <v>22</v>
      </c>
      <c r="K9" s="871" t="s">
        <v>22</v>
      </c>
      <c r="L9" s="828" t="s">
        <v>22</v>
      </c>
      <c r="M9" s="871" t="s">
        <v>22</v>
      </c>
      <c r="N9" s="828" t="s">
        <v>22</v>
      </c>
      <c r="O9" s="871" t="s">
        <v>22</v>
      </c>
      <c r="P9" s="828" t="s">
        <v>22</v>
      </c>
      <c r="Q9" s="299"/>
      <c r="AB9" s="515">
        <v>0</v>
      </c>
    </row>
    <row customHeight="1" ht="15" hidden="1">
      <c r="A10" s="515"/>
      <c r="B10" s="2407"/>
      <c r="C10" s="2408"/>
      <c r="D10" s="699" t="str">
        <f>B9&amp;".2"</f>
        <v>.2</v>
      </c>
      <c r="E10" s="700" t="s">
        <v>967</v>
      </c>
      <c r="F10" s="701" t="s">
        <v>328</v>
      </c>
      <c r="G10" s="1742" t="s">
        <v>22</v>
      </c>
      <c r="H10" s="411" t="s">
        <v>22</v>
      </c>
      <c r="I10" s="1742" t="s">
        <v>22</v>
      </c>
      <c r="J10" s="411" t="s">
        <v>22</v>
      </c>
      <c r="K10" s="1742" t="s">
        <v>22</v>
      </c>
      <c r="L10" s="828" t="s">
        <v>22</v>
      </c>
      <c r="M10" s="1742" t="s">
        <v>22</v>
      </c>
      <c r="N10" s="828" t="s">
        <v>22</v>
      </c>
      <c r="O10" s="1742" t="s">
        <v>22</v>
      </c>
      <c r="P10" s="828" t="s">
        <v>22</v>
      </c>
      <c r="Q10" s="299" t="s">
        <v>968</v>
      </c>
      <c r="AB10" s="515">
        <v>0</v>
      </c>
    </row>
    <row customHeight="1" ht="15" hidden="1">
      <c r="A11" s="515"/>
      <c r="B11" s="2407"/>
      <c r="C11" s="2408"/>
      <c r="D11" s="699" t="str">
        <f>B9&amp;".3"</f>
        <v>.3</v>
      </c>
      <c r="E11" s="700" t="s">
        <v>969</v>
      </c>
      <c r="F11" s="701" t="s">
        <v>328</v>
      </c>
      <c r="G11" s="1742" t="s">
        <v>22</v>
      </c>
      <c r="H11" s="411" t="s">
        <v>22</v>
      </c>
      <c r="I11" s="1742" t="s">
        <v>22</v>
      </c>
      <c r="J11" s="411" t="s">
        <v>22</v>
      </c>
      <c r="K11" s="1742" t="s">
        <v>22</v>
      </c>
      <c r="L11" s="828" t="s">
        <v>22</v>
      </c>
      <c r="M11" s="1742" t="s">
        <v>22</v>
      </c>
      <c r="N11" s="828" t="s">
        <v>22</v>
      </c>
      <c r="O11" s="1742" t="s">
        <v>22</v>
      </c>
      <c r="P11" s="828" t="s">
        <v>22</v>
      </c>
      <c r="Q11" s="299" t="s">
        <v>970</v>
      </c>
      <c r="AB11" s="515">
        <v>0</v>
      </c>
    </row>
    <row s="1376" customFormat="1" customHeight="1" ht="15" hidden="1">
      <c r="C12" s="682"/>
      <c r="K12" s="1376"/>
      <c r="L12" s="1376"/>
      <c r="M12" s="1376"/>
      <c r="N12" s="1376"/>
      <c r="O12" s="1376"/>
      <c r="P12" s="1376"/>
      <c r="AA12" s="430"/>
      <c r="AB12" s="427">
        <v>0</v>
      </c>
    </row>
    <row customHeight="1" ht="33.75" hidden="1">
      <c r="A13" s="515"/>
      <c r="B13" s="2407"/>
      <c r="C13" s="2408" t="s">
        <v>105</v>
      </c>
      <c r="D13" s="699" t="str">
        <f>B13&amp;".1"</f>
        <v>.1</v>
      </c>
      <c r="E13" s="700" t="s">
        <v>971</v>
      </c>
      <c r="F13" s="701" t="s">
        <v>328</v>
      </c>
      <c r="G13" s="707" t="s">
        <v>22</v>
      </c>
      <c r="H13" s="411" t="s">
        <v>22</v>
      </c>
      <c r="I13" s="707" t="s">
        <v>22</v>
      </c>
      <c r="J13" s="411" t="s">
        <v>22</v>
      </c>
      <c r="K13" s="2706" t="s">
        <v>22</v>
      </c>
      <c r="L13" s="2707" t="s">
        <v>22</v>
      </c>
      <c r="M13" s="2706" t="s">
        <v>22</v>
      </c>
      <c r="N13" s="2707" t="s">
        <v>22</v>
      </c>
      <c r="O13" s="2706" t="s">
        <v>22</v>
      </c>
      <c r="P13" s="2707" t="s">
        <v>22</v>
      </c>
      <c r="Q13" s="299" t="s">
        <v>972</v>
      </c>
      <c r="AB13" s="515">
        <v>0</v>
      </c>
    </row>
    <row customHeight="1" ht="15" hidden="1">
      <c r="B14" s="2407"/>
      <c r="C14" s="2408"/>
      <c r="D14" s="699" t="str">
        <f>B13&amp;".2"</f>
        <v>.2</v>
      </c>
      <c r="E14" s="700" t="s">
        <v>973</v>
      </c>
      <c r="F14" s="701" t="s">
        <v>328</v>
      </c>
      <c r="G14" s="1742" t="s">
        <v>22</v>
      </c>
      <c r="H14" s="411" t="s">
        <v>22</v>
      </c>
      <c r="I14" s="1742" t="s">
        <v>22</v>
      </c>
      <c r="J14" s="411" t="s">
        <v>22</v>
      </c>
      <c r="K14" s="2708" t="s">
        <v>22</v>
      </c>
      <c r="L14" s="2707" t="s">
        <v>22</v>
      </c>
      <c r="M14" s="2708" t="s">
        <v>22</v>
      </c>
      <c r="N14" s="2707" t="s">
        <v>22</v>
      </c>
      <c r="O14" s="2708" t="s">
        <v>22</v>
      </c>
      <c r="P14" s="2707" t="s">
        <v>22</v>
      </c>
      <c r="Q14" s="299" t="s">
        <v>974</v>
      </c>
      <c r="AB14" s="515">
        <v>0</v>
      </c>
    </row>
    <row s="1376" customFormat="1" customHeight="1" ht="15" hidden="1">
      <c r="C15" s="682"/>
      <c r="K15" s="1376"/>
      <c r="L15" s="1376"/>
      <c r="M15" s="1376"/>
      <c r="N15" s="1376"/>
      <c r="O15" s="1376"/>
      <c r="P15" s="1376"/>
      <c r="AA15" s="430"/>
      <c r="AB15" s="427">
        <v>0</v>
      </c>
    </row>
    <row s="1376" customFormat="1" customHeight="1" ht="15" hidden="1">
      <c r="C16" s="682"/>
      <c r="K16" s="1376"/>
      <c r="L16" s="1376"/>
      <c r="M16" s="1376"/>
      <c r="N16" s="1376"/>
      <c r="O16" s="1376"/>
      <c r="P16" s="1376"/>
      <c r="AA16" s="430"/>
      <c r="AB16" s="427">
        <v>0</v>
      </c>
    </row>
    <row s="1376" customFormat="1" customHeight="1" ht="15" hidden="1">
      <c r="C17" s="682"/>
      <c r="K17" s="1376"/>
      <c r="L17" s="1376"/>
      <c r="M17" s="1376"/>
      <c r="N17" s="1376"/>
      <c r="O17" s="1376"/>
      <c r="P17" s="1376"/>
      <c r="AA17" s="430"/>
      <c r="AB17" s="427">
        <v>0</v>
      </c>
    </row>
    <row s="1376" customFormat="1" customHeight="1" ht="15" hidden="1">
      <c r="C18" s="682"/>
      <c r="K18" s="1376"/>
      <c r="L18" s="1376"/>
      <c r="M18" s="1376"/>
      <c r="N18" s="1376"/>
      <c r="O18" s="1376"/>
      <c r="P18" s="1376"/>
      <c r="AA18" s="430"/>
      <c r="AB18" s="427">
        <v>0</v>
      </c>
    </row>
    <row s="1376" customFormat="1" customHeight="1" ht="15" hidden="1">
      <c r="C19" s="682"/>
      <c r="K19" s="1376"/>
      <c r="L19" s="1376"/>
      <c r="M19" s="1376"/>
      <c r="N19" s="1376"/>
      <c r="O19" s="1376"/>
      <c r="P19" s="1376"/>
      <c r="AA19" s="430"/>
      <c r="AB19" s="427">
        <v>0</v>
      </c>
    </row>
    <row s="1376" customFormat="1" customHeight="1" ht="15" hidden="1">
      <c r="C20" s="682"/>
      <c r="K20" s="1376"/>
      <c r="L20" s="1376"/>
      <c r="M20" s="1376"/>
      <c r="N20" s="1376"/>
      <c r="O20" s="1376"/>
      <c r="P20" s="1376"/>
      <c r="AA20" s="430"/>
      <c r="AB20" s="427">
        <v>0</v>
      </c>
    </row>
    <row customHeight="1" ht="15.75">
      <c r="C21" s="186"/>
      <c r="D21" s="519"/>
      <c r="E21" s="519"/>
      <c r="F21" s="519"/>
      <c r="G21" s="519"/>
      <c r="H21" s="519"/>
      <c r="I21" s="519"/>
      <c r="J21" s="519"/>
      <c r="K21" s="1645"/>
      <c r="L21" s="1645"/>
      <c r="M21" s="1645"/>
      <c r="N21" s="1645"/>
      <c r="O21" s="1645"/>
      <c r="P21" s="1645"/>
      <c r="AB21" s="515">
        <v>15</v>
      </c>
    </row>
    <row customHeight="1" ht="23.25">
      <c r="C22" s="186"/>
      <c r="D22" s="224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7"/>
      <c r="F22" s="2247"/>
      <c r="G22" s="2247"/>
      <c r="H22" s="2247"/>
      <c r="I22" s="2247"/>
      <c r="J22" s="686"/>
      <c r="K22" s="2258"/>
      <c r="L22" s="2258"/>
      <c r="M22" s="2258"/>
      <c r="N22" s="2258"/>
      <c r="O22" s="2258"/>
      <c r="P22" s="2258"/>
      <c r="Q22" s="547"/>
      <c r="AB22" s="515">
        <v>22</v>
      </c>
    </row>
    <row customHeight="1" ht="15.75">
      <c r="C23" s="186"/>
      <c r="D23" s="2186" t="str">
        <f>IF(org=0,"Не определено",org)</f>
        <v>АО «ДГК» СП «Нерюнгринская ГРЭС»</v>
      </c>
      <c r="E23" s="2186"/>
      <c r="F23" s="2186"/>
      <c r="G23" s="2186"/>
      <c r="H23" s="2186"/>
      <c r="I23" s="2186"/>
      <c r="J23" s="686"/>
      <c r="K23" s="2259"/>
      <c r="L23" s="2259"/>
      <c r="M23" s="2259"/>
      <c r="N23" s="2259"/>
      <c r="O23" s="2259"/>
      <c r="P23" s="2259"/>
      <c r="Q23" s="547"/>
      <c r="AB23" s="515">
        <v>15</v>
      </c>
    </row>
    <row customHeight="1" ht="15.75">
      <c r="C24" s="186"/>
      <c r="D24" s="519"/>
      <c r="E24" s="519"/>
      <c r="F24" s="519"/>
      <c r="G24" s="547">
        <v>22</v>
      </c>
      <c r="H24" s="762"/>
      <c r="I24" s="547">
        <v>22</v>
      </c>
      <c r="J24" s="762"/>
      <c r="K24" s="1376" t="s">
        <v>22</v>
      </c>
      <c r="L24" s="762"/>
      <c r="M24" s="1376" t="s">
        <v>22</v>
      </c>
      <c r="N24" s="762"/>
      <c r="O24" s="1376" t="s">
        <v>22</v>
      </c>
      <c r="P24" s="762"/>
      <c r="AB24" s="515">
        <v>15</v>
      </c>
    </row>
    <row s="1645" customFormat="1" customHeight="1" ht="1.05">
      <c r="A25" s="769"/>
      <c r="C25" s="186"/>
      <c r="D25" s="519"/>
      <c r="E25" s="519"/>
      <c r="F25" s="519"/>
      <c r="G25" s="547"/>
      <c r="H25" s="762"/>
      <c r="I25" s="547" t="s">
        <v>132</v>
      </c>
      <c r="J25" s="762"/>
      <c r="K25" s="1376" t="s">
        <v>138</v>
      </c>
      <c r="L25" s="762"/>
      <c r="M25" s="1376" t="s">
        <v>141</v>
      </c>
      <c r="N25" s="762"/>
      <c r="O25" s="1376" t="s">
        <v>143</v>
      </c>
      <c r="P25" s="762"/>
      <c r="Q25" s="427"/>
      <c r="AA25" s="685"/>
      <c r="AB25" s="768">
        <v>1</v>
      </c>
    </row>
    <row customHeight="1" ht="15.75">
      <c r="C26" s="186"/>
      <c r="D26" s="721"/>
      <c r="E26" s="2377" t="s">
        <v>120</v>
      </c>
      <c r="F26" s="2378"/>
      <c r="G26" s="2405" t="str">
        <f>IF(G25="","",INDEX(DIFFERENTIATION_UNMERGE_VD,MATCH(G25,DIFFERENTIATION_ID_DIFF,0)))</f>
        <v/>
      </c>
      <c r="H26" s="2406"/>
      <c r="I26" s="2405" t="str">
        <f>IF(I25="","",INDEX(DIFFERENTIATION_UNMERGE_VD,MATCH(I25,DIFFERENTIATION_ID_DIFF,0)))</f>
        <v>Производство тепловой энергии. Некомбинированная выработка</v>
      </c>
      <c r="J26" s="2406"/>
      <c r="K26" s="2405" t="str">
        <f>IF(K25="","",INDEX(DIFFERENTIATION_UNMERGE_VD,MATCH(K25,DIFFERENTIATION_ID_DIFF,0)))</f>
        <v>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L26" s="2406"/>
      <c r="M26" s="2405" t="str">
        <f>IF(M25="","",INDEX(DIFFERENTIATION_UNMERGE_VD,MATCH(M25,DIFFERENTIATION_ID_DIFF,0)))</f>
        <v>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N26" s="2406"/>
      <c r="O26" s="2405" t="str">
        <f>IF(O25="","",INDEX(DIFFERENTIATION_UNMERGE_VD,MATCH(O25,DIFFERENTIATION_ID_DIFF,0)))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 Передача. Тепловая энергия; Передача. Теплоноситель; Сбыт. Тепловая энергия; Сбыт. Теплоноситель</v>
      </c>
      <c r="P26" s="2406"/>
      <c r="Q26" s="2185" t="s">
        <v>323</v>
      </c>
      <c r="AB26" s="515">
        <v>15</v>
      </c>
    </row>
    <row s="1645" customFormat="1" customHeight="1" ht="15.75">
      <c r="A27" s="769"/>
      <c r="C27" s="186"/>
      <c r="D27" s="721"/>
      <c r="E27" s="2377" t="s">
        <v>586</v>
      </c>
      <c r="F27" s="2378"/>
      <c r="G27" s="2405" t="str">
        <f>IF(G25="","",INDEX(DIFFERENTIATION_UNMERGE_AREA,MATCH(G25,DIFFERENTIATION_ID_DIFF,0)))</f>
        <v/>
      </c>
      <c r="H27" s="2406"/>
      <c r="I27" s="2405" t="str">
        <f>IF(I25="","",INDEX(DIFFERENTIATION_UNMERGE_AREA,MATCH(I25,DIFFERENTIATION_ID_DIFF,0)))</f>
        <v>Территория 1</v>
      </c>
      <c r="J27" s="2406"/>
      <c r="K27" s="2405" t="str">
        <f>IF(K25="","",INDEX(DIFFERENTIATION_UNMERGE_AREA,MATCH(K25,DIFFERENTIATION_ID_DIFF,0)))</f>
        <v>Территория 2</v>
      </c>
      <c r="L27" s="2406"/>
      <c r="M27" s="2405" t="str">
        <f>IF(M25="","",INDEX(DIFFERENTIATION_UNMERGE_AREA,MATCH(M25,DIFFERENTIATION_ID_DIFF,0)))</f>
        <v>Территория 3</v>
      </c>
      <c r="N27" s="2406"/>
      <c r="O27" s="2405" t="str">
        <f>IF(O25="","",INDEX(DIFFERENTIATION_UNMERGE_AREA,MATCH(O25,DIFFERENTIATION_ID_DIFF,0)))</f>
        <v>Территория 4</v>
      </c>
      <c r="P27" s="2406"/>
      <c r="Q27" s="2205"/>
      <c r="AA27" s="685"/>
      <c r="AB27" s="768">
        <v>15</v>
      </c>
    </row>
    <row s="1645" customFormat="1" customHeight="1" ht="15.75">
      <c r="A28" s="769"/>
      <c r="C28" s="186"/>
      <c r="D28" s="721"/>
      <c r="E28" s="2377" t="s">
        <v>587</v>
      </c>
      <c r="F28" s="2378"/>
      <c r="G28" s="2405" t="str">
        <f>IF(G25="","",INDEX(DIFFERENTIATION_UNMERGE_SYSTEM,MATCH(G25,DIFFERENTIATION_ID_DIFF,0)))</f>
        <v/>
      </c>
      <c r="H28" s="2406"/>
      <c r="I28" s="2405" t="str">
        <f>IF(I25="","",INDEX(DIFFERENTIATION_UNMERGE_SYSTEM,MATCH(I25,DIFFERENTIATION_ID_DIFF,0)))</f>
        <v>Нерюнгринская ГРЭС (г. Нерюнгри)</v>
      </c>
      <c r="J28" s="2406"/>
      <c r="K28" s="2405" t="str">
        <f>IF(K25="","",INDEX(DIFFERENTIATION_UNMERGE_SYSTEM,MATCH(K25,DIFFERENTIATION_ID_DIFF,0)))</f>
        <v>Нерюнгринская ГРЭС (п. Серебряный Бор)</v>
      </c>
      <c r="L28" s="2406"/>
      <c r="M28" s="2405" t="str">
        <f>IF(M25="","",INDEX(DIFFERENTIATION_UNMERGE_SYSTEM,MATCH(M25,DIFFERENTIATION_ID_DIFF,0)))</f>
        <v>Нерюнгринская ГРЭС (п. Беркакит)</v>
      </c>
      <c r="N28" s="2406"/>
      <c r="O28" s="2405" t="str">
        <f>IF(O25="","",INDEX(DIFFERENTIATION_UNMERGE_SYSTEM,MATCH(O25,DIFFERENTIATION_ID_DIFF,0)))</f>
        <v>Чульманская ТЭЦ (п. Чульман)</v>
      </c>
      <c r="P28" s="2406"/>
      <c r="Q28" s="2205"/>
      <c r="AA28" s="685"/>
      <c r="AB28" s="768">
        <v>15</v>
      </c>
    </row>
    <row s="1645" customFormat="1" customHeight="1" ht="15.75">
      <c r="A29" s="769"/>
      <c r="C29" s="186"/>
      <c r="D29" s="2379" t="s">
        <v>322</v>
      </c>
      <c r="E29" s="2380"/>
      <c r="F29" s="2380"/>
      <c r="G29" s="897"/>
      <c r="H29" s="897"/>
      <c r="I29" s="897"/>
      <c r="J29" s="898"/>
      <c r="K29" s="2377"/>
      <c r="L29" s="2377"/>
      <c r="M29" s="2377"/>
      <c r="N29" s="2377"/>
      <c r="O29" s="2377"/>
      <c r="P29" s="2377"/>
      <c r="Q29" s="2205"/>
      <c r="AA29" s="685"/>
      <c r="AB29" s="768">
        <v>15</v>
      </c>
    </row>
    <row customHeight="1" ht="35.699999999999996">
      <c r="C30" s="186"/>
      <c r="D30" s="771" t="s">
        <v>88</v>
      </c>
      <c r="E30" s="770" t="s">
        <v>324</v>
      </c>
      <c r="F30" s="770" t="s">
        <v>588</v>
      </c>
      <c r="G30" s="818" t="s">
        <v>325</v>
      </c>
      <c r="H30" s="817" t="s">
        <v>412</v>
      </c>
      <c r="I30" s="694" t="s">
        <v>325</v>
      </c>
      <c r="J30" s="475" t="s">
        <v>412</v>
      </c>
      <c r="K30" s="2272" t="s">
        <v>325</v>
      </c>
      <c r="L30" s="2322" t="s">
        <v>412</v>
      </c>
      <c r="M30" s="2272" t="s">
        <v>325</v>
      </c>
      <c r="N30" s="2322" t="s">
        <v>412</v>
      </c>
      <c r="O30" s="2272" t="s">
        <v>325</v>
      </c>
      <c r="P30" s="2322" t="s">
        <v>412</v>
      </c>
      <c r="Q30" s="2211"/>
      <c r="AB30" s="515">
        <v>34</v>
      </c>
    </row>
    <row customHeight="1" ht="15" hidden="1">
      <c r="C31" s="186"/>
      <c r="D31" s="603"/>
      <c r="E31" s="603"/>
      <c r="F31" s="603"/>
      <c r="G31" s="669"/>
      <c r="H31" s="669"/>
      <c r="I31" s="669"/>
      <c r="J31" s="669"/>
      <c r="K31" s="693"/>
      <c r="L31" s="693"/>
      <c r="M31" s="693"/>
      <c r="N31" s="693"/>
      <c r="O31" s="693"/>
      <c r="P31" s="693"/>
      <c r="Q31" s="299"/>
      <c r="AB31" s="515">
        <v>0</v>
      </c>
    </row>
    <row customHeight="1" ht="24">
      <c r="A32" s="515"/>
      <c r="B32" s="515" t="s">
        <v>975</v>
      </c>
      <c r="C32" s="536"/>
      <c r="D32" s="702">
        <v>1</v>
      </c>
      <c r="E32" s="703" t="s">
        <v>976</v>
      </c>
      <c r="F32" s="701" t="s">
        <v>328</v>
      </c>
      <c r="G32" s="823" t="s">
        <v>328</v>
      </c>
      <c r="H32" s="823" t="s">
        <v>328</v>
      </c>
      <c r="I32" s="701" t="s">
        <v>328</v>
      </c>
      <c r="J32" s="701" t="s">
        <v>328</v>
      </c>
      <c r="K32" s="2273" t="s">
        <v>328</v>
      </c>
      <c r="L32" s="2273" t="s">
        <v>328</v>
      </c>
      <c r="M32" s="2273" t="s">
        <v>328</v>
      </c>
      <c r="N32" s="2273" t="s">
        <v>328</v>
      </c>
      <c r="O32" s="2273" t="s">
        <v>328</v>
      </c>
      <c r="P32" s="2273" t="s">
        <v>328</v>
      </c>
      <c r="Q32" s="299"/>
      <c r="AB32" s="515">
        <v>23</v>
      </c>
    </row>
    <row customHeight="1" ht="11.549999999999999">
      <c r="A33" s="515"/>
      <c r="C33" s="515"/>
      <c r="D33" s="357"/>
      <c r="E33" s="590" t="s">
        <v>608</v>
      </c>
      <c r="F33" s="582"/>
      <c r="G33" s="582"/>
      <c r="H33" s="582"/>
      <c r="I33" s="582"/>
      <c r="J33" s="582"/>
      <c r="K33" s="2672"/>
      <c r="L33" s="2673"/>
      <c r="M33" s="2674"/>
      <c r="N33" s="2675"/>
      <c r="O33" s="2676"/>
      <c r="P33" s="2677"/>
      <c r="Q33" s="583"/>
      <c r="AA33" s="515"/>
      <c r="AB33" s="515">
        <v>11</v>
      </c>
    </row>
    <row customHeight="1" ht="24">
      <c r="A34" s="515"/>
      <c r="B34" s="591" t="s">
        <v>661</v>
      </c>
      <c r="C34" s="536"/>
      <c r="D34" s="702">
        <v>2</v>
      </c>
      <c r="E34" s="703" t="s">
        <v>977</v>
      </c>
      <c r="F34" s="830" t="s">
        <v>328</v>
      </c>
      <c r="G34" s="830" t="s">
        <v>328</v>
      </c>
      <c r="H34" s="830" t="s">
        <v>328</v>
      </c>
      <c r="I34" s="701"/>
      <c r="J34" s="701"/>
      <c r="K34" s="2273" t="s">
        <v>328</v>
      </c>
      <c r="L34" s="2273" t="s">
        <v>328</v>
      </c>
      <c r="M34" s="2273" t="s">
        <v>328</v>
      </c>
      <c r="N34" s="2273" t="s">
        <v>328</v>
      </c>
      <c r="O34" s="2273" t="s">
        <v>328</v>
      </c>
      <c r="P34" s="2273" t="s">
        <v>328</v>
      </c>
      <c r="Q34" s="299"/>
      <c r="AB34" s="515">
        <v>23</v>
      </c>
    </row>
    <row customHeight="1" ht="11.549999999999999">
      <c r="A35" s="515"/>
      <c r="C35" s="515"/>
      <c r="D35" s="357"/>
      <c r="E35" s="590" t="s">
        <v>978</v>
      </c>
      <c r="F35" s="582"/>
      <c r="G35" s="704"/>
      <c r="H35" s="582"/>
      <c r="I35" s="704"/>
      <c r="J35" s="582"/>
      <c r="K35" s="2678"/>
      <c r="L35" s="2679"/>
      <c r="M35" s="2680"/>
      <c r="N35" s="2681"/>
      <c r="O35" s="2682"/>
      <c r="P35" s="2683"/>
      <c r="Q35" s="583"/>
      <c r="AA35" s="515"/>
      <c r="AB35" s="515">
        <v>11</v>
      </c>
    </row>
    <row customHeight="1" ht="71.25">
      <c r="A36" s="515"/>
      <c r="B36" s="515" t="s">
        <v>979</v>
      </c>
      <c r="C36" s="536"/>
      <c r="D36" s="702">
        <v>3</v>
      </c>
      <c r="E36" s="703" t="s">
        <v>980</v>
      </c>
      <c r="F36" s="705" t="s">
        <v>328</v>
      </c>
      <c r="G36" s="824" t="s">
        <v>981</v>
      </c>
      <c r="H36" s="823" t="s">
        <v>328</v>
      </c>
      <c r="I36" s="534" t="s">
        <v>981</v>
      </c>
      <c r="J36" s="701" t="s">
        <v>328</v>
      </c>
      <c r="K36" s="2117" t="s">
        <v>981</v>
      </c>
      <c r="L36" s="2273" t="s">
        <v>328</v>
      </c>
      <c r="M36" s="2117" t="s">
        <v>981</v>
      </c>
      <c r="N36" s="2273" t="s">
        <v>328</v>
      </c>
      <c r="O36" s="2117" t="s">
        <v>981</v>
      </c>
      <c r="P36" s="2273" t="s">
        <v>328</v>
      </c>
      <c r="Q36" s="299" t="s">
        <v>982</v>
      </c>
      <c r="AB36" s="515">
        <v>68</v>
      </c>
    </row>
    <row s="1860" customFormat="1" customHeight="1" ht="22.5">
      <c r="A37" s="1645"/>
      <c r="B37" s="2407" t="s">
        <v>346</v>
      </c>
      <c r="C37" s="2408" t="s">
        <v>105</v>
      </c>
      <c r="D37" s="699" t="str">
        <f>B37&amp;".1"</f>
        <v>3.1.1</v>
      </c>
      <c r="E37" s="1677" t="s">
        <v>966</v>
      </c>
      <c r="F37" s="2273" t="s">
        <v>328</v>
      </c>
      <c r="G37" s="871" t="s">
        <v>22</v>
      </c>
      <c r="H37" s="828" t="s">
        <v>22</v>
      </c>
      <c r="I37" s="871" t="s">
        <v>983</v>
      </c>
      <c r="J37" s="828" t="s">
        <v>22</v>
      </c>
      <c r="K37" s="871" t="s">
        <v>983</v>
      </c>
      <c r="L37" s="828" t="s">
        <v>22</v>
      </c>
      <c r="M37" s="871" t="s">
        <v>983</v>
      </c>
      <c r="N37" s="828" t="s">
        <v>22</v>
      </c>
      <c r="O37" s="871" t="s">
        <v>983</v>
      </c>
      <c r="P37" s="828" t="s">
        <v>22</v>
      </c>
      <c r="Q37" s="1535"/>
      <c r="R37" s="1645"/>
      <c r="S37" s="1645"/>
      <c r="T37" s="1645"/>
      <c r="U37" s="1645"/>
      <c r="V37" s="1645"/>
      <c r="W37" s="1645"/>
      <c r="X37" s="1645"/>
      <c r="Y37" s="1645"/>
      <c r="Z37" s="1645"/>
      <c r="AA37" s="685"/>
      <c r="AB37" s="1645">
        <v>0</v>
      </c>
    </row>
    <row s="1860" customFormat="1" customHeight="1" ht="15">
      <c r="A38" s="1645"/>
      <c r="B38" s="2407"/>
      <c r="C38" s="2408"/>
      <c r="D38" s="699" t="str">
        <f>B37&amp;".2"</f>
        <v>3.1.2</v>
      </c>
      <c r="E38" s="1677" t="s">
        <v>967</v>
      </c>
      <c r="F38" s="2273" t="s">
        <v>328</v>
      </c>
      <c r="G38" s="1742" t="s">
        <v>22</v>
      </c>
      <c r="H38" s="828" t="s">
        <v>22</v>
      </c>
      <c r="I38" s="1742">
        <v>46113</v>
      </c>
      <c r="J38" s="828" t="s">
        <v>22</v>
      </c>
      <c r="K38" s="1742">
        <v>46146</v>
      </c>
      <c r="L38" s="828" t="s">
        <v>22</v>
      </c>
      <c r="M38" s="1742">
        <v>46115</v>
      </c>
      <c r="N38" s="828" t="s">
        <v>22</v>
      </c>
      <c r="O38" s="1742">
        <v>46118</v>
      </c>
      <c r="P38" s="828" t="s">
        <v>22</v>
      </c>
      <c r="Q38" s="1535" t="s">
        <v>968</v>
      </c>
      <c r="R38" s="1645"/>
      <c r="S38" s="1645"/>
      <c r="T38" s="1645"/>
      <c r="U38" s="1645"/>
      <c r="V38" s="1645"/>
      <c r="W38" s="1645"/>
      <c r="X38" s="1645"/>
      <c r="Y38" s="1645"/>
      <c r="Z38" s="1645"/>
      <c r="AA38" s="685"/>
      <c r="AB38" s="1645">
        <v>0</v>
      </c>
    </row>
    <row s="1860" customFormat="1" customHeight="1" ht="15">
      <c r="A39" s="1645"/>
      <c r="B39" s="2407"/>
      <c r="C39" s="2408"/>
      <c r="D39" s="699" t="str">
        <f>B37&amp;".3"</f>
        <v>3.1.3</v>
      </c>
      <c r="E39" s="1677" t="s">
        <v>969</v>
      </c>
      <c r="F39" s="2273" t="s">
        <v>328</v>
      </c>
      <c r="G39" s="1742" t="s">
        <v>22</v>
      </c>
      <c r="H39" s="828" t="s">
        <v>22</v>
      </c>
      <c r="I39" s="1742">
        <v>46143</v>
      </c>
      <c r="J39" s="828" t="s">
        <v>22</v>
      </c>
      <c r="K39" s="1742">
        <v>46203</v>
      </c>
      <c r="L39" s="828" t="s">
        <v>22</v>
      </c>
      <c r="M39" s="1742">
        <v>46203</v>
      </c>
      <c r="N39" s="828" t="s">
        <v>22</v>
      </c>
      <c r="O39" s="1742">
        <v>46203</v>
      </c>
      <c r="P39" s="828" t="s">
        <v>22</v>
      </c>
      <c r="Q39" s="1535" t="s">
        <v>970</v>
      </c>
      <c r="R39" s="1645"/>
      <c r="S39" s="1645"/>
      <c r="T39" s="1645"/>
      <c r="U39" s="1645"/>
      <c r="V39" s="1645"/>
      <c r="W39" s="1645"/>
      <c r="X39" s="1645"/>
      <c r="Y39" s="1645"/>
      <c r="Z39" s="1645"/>
      <c r="AA39" s="685"/>
      <c r="AB39" s="1645">
        <v>0</v>
      </c>
    </row>
    <row s="1860" customFormat="1" customHeight="1" ht="22.5">
      <c r="A40" s="1645"/>
      <c r="B40" s="2407" t="s">
        <v>354</v>
      </c>
      <c r="C40" s="2408" t="s">
        <v>105</v>
      </c>
      <c r="D40" s="699" t="str">
        <f>B40&amp;".1"</f>
        <v>3.2.1</v>
      </c>
      <c r="E40" s="1677" t="s">
        <v>966</v>
      </c>
      <c r="F40" s="2273" t="s">
        <v>328</v>
      </c>
      <c r="G40" s="2363" t="s">
        <v>22</v>
      </c>
      <c r="H40" s="828" t="s">
        <v>22</v>
      </c>
      <c r="I40" s="2363" t="s">
        <v>983</v>
      </c>
      <c r="J40" s="828" t="s">
        <v>22</v>
      </c>
      <c r="K40" s="2363" t="s">
        <v>983</v>
      </c>
      <c r="L40" s="828" t="s">
        <v>22</v>
      </c>
      <c r="M40" s="2363" t="s">
        <v>983</v>
      </c>
      <c r="N40" s="828" t="s">
        <v>22</v>
      </c>
      <c r="O40" s="2363" t="s">
        <v>983</v>
      </c>
      <c r="P40" s="828" t="s">
        <v>22</v>
      </c>
      <c r="Q40" s="1535"/>
      <c r="R40" s="1645"/>
      <c r="S40" s="1645"/>
      <c r="T40" s="1645"/>
      <c r="U40" s="1645"/>
      <c r="V40" s="1645"/>
      <c r="W40" s="1645"/>
      <c r="X40" s="1645"/>
      <c r="Y40" s="1645"/>
      <c r="Z40" s="1645"/>
      <c r="AA40" s="685"/>
      <c r="AB40" s="1645">
        <v>0</v>
      </c>
    </row>
    <row s="1860" customFormat="1" customHeight="1" ht="15">
      <c r="A41" s="1645"/>
      <c r="B41" s="2407"/>
      <c r="C41" s="2408"/>
      <c r="D41" s="699" t="str">
        <f>B40&amp;".2"</f>
        <v>3.2.2</v>
      </c>
      <c r="E41" s="1677" t="s">
        <v>967</v>
      </c>
      <c r="F41" s="2273" t="s">
        <v>328</v>
      </c>
      <c r="G41" s="1748" t="s">
        <v>22</v>
      </c>
      <c r="H41" s="828" t="s">
        <v>22</v>
      </c>
      <c r="I41" s="1748">
        <v>46113</v>
      </c>
      <c r="J41" s="828" t="s">
        <v>22</v>
      </c>
      <c r="K41" s="1748">
        <v>46146</v>
      </c>
      <c r="L41" s="828" t="s">
        <v>22</v>
      </c>
      <c r="M41" s="1748">
        <v>46122</v>
      </c>
      <c r="N41" s="828" t="s">
        <v>22</v>
      </c>
      <c r="O41" s="1748">
        <v>46125</v>
      </c>
      <c r="P41" s="828" t="s">
        <v>22</v>
      </c>
      <c r="Q41" s="1535" t="s">
        <v>968</v>
      </c>
      <c r="R41" s="1645"/>
      <c r="S41" s="1645"/>
      <c r="T41" s="1645"/>
      <c r="U41" s="1645"/>
      <c r="V41" s="1645"/>
      <c r="W41" s="1645"/>
      <c r="X41" s="1645"/>
      <c r="Y41" s="1645"/>
      <c r="Z41" s="1645"/>
      <c r="AA41" s="685"/>
      <c r="AB41" s="1645">
        <v>0</v>
      </c>
    </row>
    <row s="1860" customFormat="1" customHeight="1" ht="15">
      <c r="A42" s="1645"/>
      <c r="B42" s="2407"/>
      <c r="C42" s="2408"/>
      <c r="D42" s="699" t="str">
        <f>B40&amp;".3"</f>
        <v>3.2.3</v>
      </c>
      <c r="E42" s="1677" t="s">
        <v>969</v>
      </c>
      <c r="F42" s="2273" t="s">
        <v>328</v>
      </c>
      <c r="G42" s="1748" t="s">
        <v>22</v>
      </c>
      <c r="H42" s="828" t="s">
        <v>22</v>
      </c>
      <c r="I42" s="1748" t="s">
        <v>22</v>
      </c>
      <c r="J42" s="828" t="s">
        <v>22</v>
      </c>
      <c r="K42" s="1748" t="s">
        <v>22</v>
      </c>
      <c r="L42" s="828" t="s">
        <v>22</v>
      </c>
      <c r="M42" s="1748" t="s">
        <v>22</v>
      </c>
      <c r="N42" s="828" t="s">
        <v>22</v>
      </c>
      <c r="O42" s="1748" t="s">
        <v>22</v>
      </c>
      <c r="P42" s="828" t="s">
        <v>22</v>
      </c>
      <c r="Q42" s="1535" t="s">
        <v>970</v>
      </c>
      <c r="R42" s="1645"/>
      <c r="S42" s="1645"/>
      <c r="T42" s="1645"/>
      <c r="U42" s="1645"/>
      <c r="V42" s="1645"/>
      <c r="W42" s="1645"/>
      <c r="X42" s="1645"/>
      <c r="Y42" s="1645"/>
      <c r="Z42" s="1645"/>
      <c r="AA42" s="685"/>
      <c r="AB42" s="1645">
        <v>0</v>
      </c>
    </row>
    <row s="1860" customFormat="1" customHeight="1" ht="22.5">
      <c r="A43" s="1645"/>
      <c r="B43" s="2407" t="s">
        <v>356</v>
      </c>
      <c r="C43" s="2408" t="s">
        <v>105</v>
      </c>
      <c r="D43" s="699" t="str">
        <f>B43&amp;".1"</f>
        <v>3.3.1</v>
      </c>
      <c r="E43" s="1677" t="s">
        <v>966</v>
      </c>
      <c r="F43" s="2273" t="s">
        <v>328</v>
      </c>
      <c r="G43" s="2363" t="s">
        <v>22</v>
      </c>
      <c r="H43" s="828" t="s">
        <v>22</v>
      </c>
      <c r="I43" s="2363" t="s">
        <v>983</v>
      </c>
      <c r="J43" s="828" t="s">
        <v>22</v>
      </c>
      <c r="K43" s="2363" t="s">
        <v>983</v>
      </c>
      <c r="L43" s="828" t="s">
        <v>22</v>
      </c>
      <c r="M43" s="2363" t="s">
        <v>984</v>
      </c>
      <c r="N43" s="828" t="s">
        <v>22</v>
      </c>
      <c r="O43" s="2363" t="s">
        <v>983</v>
      </c>
      <c r="P43" s="828" t="s">
        <v>22</v>
      </c>
      <c r="Q43" s="1535"/>
      <c r="R43" s="1645"/>
      <c r="S43" s="1645"/>
      <c r="T43" s="1645"/>
      <c r="U43" s="1645"/>
      <c r="V43" s="1645"/>
      <c r="W43" s="1645"/>
      <c r="X43" s="1645"/>
      <c r="Y43" s="1645"/>
      <c r="Z43" s="1645"/>
      <c r="AA43" s="685"/>
      <c r="AB43" s="1645">
        <v>0</v>
      </c>
    </row>
    <row s="1860" customFormat="1" customHeight="1" ht="15">
      <c r="A44" s="1645"/>
      <c r="B44" s="2407"/>
      <c r="C44" s="2408"/>
      <c r="D44" s="699" t="str">
        <f>B43&amp;".2"</f>
        <v>3.3.2</v>
      </c>
      <c r="E44" s="1677" t="s">
        <v>967</v>
      </c>
      <c r="F44" s="2273" t="s">
        <v>328</v>
      </c>
      <c r="G44" s="1748" t="s">
        <v>22</v>
      </c>
      <c r="H44" s="828" t="s">
        <v>22</v>
      </c>
      <c r="I44" s="1748">
        <v>46113</v>
      </c>
      <c r="J44" s="828" t="s">
        <v>22</v>
      </c>
      <c r="K44" s="1748">
        <v>46146</v>
      </c>
      <c r="L44" s="828" t="s">
        <v>22</v>
      </c>
      <c r="M44" s="1748">
        <v>46122</v>
      </c>
      <c r="N44" s="828" t="s">
        <v>22</v>
      </c>
      <c r="O44" s="1748">
        <v>46129</v>
      </c>
      <c r="P44" s="828" t="s">
        <v>22</v>
      </c>
      <c r="Q44" s="1535" t="s">
        <v>968</v>
      </c>
      <c r="R44" s="1645"/>
      <c r="S44" s="1645"/>
      <c r="T44" s="1645"/>
      <c r="U44" s="1645"/>
      <c r="V44" s="1645"/>
      <c r="W44" s="1645"/>
      <c r="X44" s="1645"/>
      <c r="Y44" s="1645"/>
      <c r="Z44" s="1645"/>
      <c r="AA44" s="685"/>
      <c r="AB44" s="1645">
        <v>0</v>
      </c>
    </row>
    <row s="1860" customFormat="1" customHeight="1" ht="15">
      <c r="A45" s="1645"/>
      <c r="B45" s="2407"/>
      <c r="C45" s="2408"/>
      <c r="D45" s="699" t="str">
        <f>B43&amp;".3"</f>
        <v>3.3.3</v>
      </c>
      <c r="E45" s="1677" t="s">
        <v>969</v>
      </c>
      <c r="F45" s="2273" t="s">
        <v>328</v>
      </c>
      <c r="G45" s="1748" t="s">
        <v>22</v>
      </c>
      <c r="H45" s="828" t="s">
        <v>22</v>
      </c>
      <c r="I45" s="1748" t="s">
        <v>22</v>
      </c>
      <c r="J45" s="828" t="s">
        <v>22</v>
      </c>
      <c r="K45" s="1748" t="s">
        <v>22</v>
      </c>
      <c r="L45" s="828" t="s">
        <v>22</v>
      </c>
      <c r="M45" s="1748" t="s">
        <v>22</v>
      </c>
      <c r="N45" s="828" t="s">
        <v>22</v>
      </c>
      <c r="O45" s="1748" t="s">
        <v>22</v>
      </c>
      <c r="P45" s="828" t="s">
        <v>22</v>
      </c>
      <c r="Q45" s="1535" t="s">
        <v>970</v>
      </c>
      <c r="R45" s="1645"/>
      <c r="S45" s="1645"/>
      <c r="T45" s="1645"/>
      <c r="U45" s="1645"/>
      <c r="V45" s="1645"/>
      <c r="W45" s="1645"/>
      <c r="X45" s="1645"/>
      <c r="Y45" s="1645"/>
      <c r="Z45" s="1645"/>
      <c r="AA45" s="685"/>
      <c r="AB45" s="1645">
        <v>0</v>
      </c>
    </row>
    <row s="1860" customFormat="1" customHeight="1" ht="22.5">
      <c r="A46" s="1645"/>
      <c r="B46" s="2407" t="s">
        <v>358</v>
      </c>
      <c r="C46" s="2408" t="s">
        <v>105</v>
      </c>
      <c r="D46" s="699" t="str">
        <f>B46&amp;".1"</f>
        <v>3.4.1</v>
      </c>
      <c r="E46" s="1677" t="s">
        <v>966</v>
      </c>
      <c r="F46" s="2273" t="s">
        <v>328</v>
      </c>
      <c r="G46" s="2363" t="s">
        <v>22</v>
      </c>
      <c r="H46" s="828" t="s">
        <v>22</v>
      </c>
      <c r="I46" s="2363" t="s">
        <v>983</v>
      </c>
      <c r="J46" s="828" t="s">
        <v>22</v>
      </c>
      <c r="K46" s="2363" t="s">
        <v>983</v>
      </c>
      <c r="L46" s="828" t="s">
        <v>22</v>
      </c>
      <c r="M46" s="2363" t="s">
        <v>984</v>
      </c>
      <c r="N46" s="828" t="s">
        <v>22</v>
      </c>
      <c r="O46" s="2363" t="s">
        <v>985</v>
      </c>
      <c r="P46" s="828" t="s">
        <v>22</v>
      </c>
      <c r="Q46" s="1535"/>
      <c r="R46" s="1645"/>
      <c r="S46" s="1645"/>
      <c r="T46" s="1645"/>
      <c r="U46" s="1645"/>
      <c r="V46" s="1645"/>
      <c r="W46" s="1645"/>
      <c r="X46" s="1645"/>
      <c r="Y46" s="1645"/>
      <c r="Z46" s="1645"/>
      <c r="AA46" s="685"/>
      <c r="AB46" s="1645">
        <v>0</v>
      </c>
    </row>
    <row s="1860" customFormat="1" customHeight="1" ht="15">
      <c r="A47" s="1645"/>
      <c r="B47" s="2407"/>
      <c r="C47" s="2408"/>
      <c r="D47" s="699" t="str">
        <f>B46&amp;".2"</f>
        <v>3.4.2</v>
      </c>
      <c r="E47" s="1677" t="s">
        <v>967</v>
      </c>
      <c r="F47" s="2273" t="s">
        <v>328</v>
      </c>
      <c r="G47" s="1748" t="s">
        <v>22</v>
      </c>
      <c r="H47" s="828" t="s">
        <v>22</v>
      </c>
      <c r="I47" s="1748">
        <v>46113</v>
      </c>
      <c r="J47" s="828" t="s">
        <v>22</v>
      </c>
      <c r="K47" s="1748">
        <v>46146</v>
      </c>
      <c r="L47" s="828" t="s">
        <v>22</v>
      </c>
      <c r="M47" s="1748">
        <v>46122</v>
      </c>
      <c r="N47" s="828" t="s">
        <v>22</v>
      </c>
      <c r="O47" s="1748">
        <v>46129</v>
      </c>
      <c r="P47" s="828" t="s">
        <v>22</v>
      </c>
      <c r="Q47" s="1535" t="s">
        <v>968</v>
      </c>
      <c r="R47" s="1645"/>
      <c r="S47" s="1645"/>
      <c r="T47" s="1645"/>
      <c r="U47" s="1645"/>
      <c r="V47" s="1645"/>
      <c r="W47" s="1645"/>
      <c r="X47" s="1645"/>
      <c r="Y47" s="1645"/>
      <c r="Z47" s="1645"/>
      <c r="AA47" s="685"/>
      <c r="AB47" s="1645">
        <v>0</v>
      </c>
    </row>
    <row s="1860" customFormat="1" customHeight="1" ht="15">
      <c r="A48" s="1645"/>
      <c r="B48" s="2407"/>
      <c r="C48" s="2408"/>
      <c r="D48" s="699" t="str">
        <f>B46&amp;".3"</f>
        <v>3.4.3</v>
      </c>
      <c r="E48" s="1677" t="s">
        <v>969</v>
      </c>
      <c r="F48" s="2273" t="s">
        <v>328</v>
      </c>
      <c r="G48" s="1748" t="s">
        <v>22</v>
      </c>
      <c r="H48" s="828" t="s">
        <v>22</v>
      </c>
      <c r="I48" s="1748" t="s">
        <v>22</v>
      </c>
      <c r="J48" s="828" t="s">
        <v>22</v>
      </c>
      <c r="K48" s="1748" t="s">
        <v>22</v>
      </c>
      <c r="L48" s="828" t="s">
        <v>22</v>
      </c>
      <c r="M48" s="1748" t="s">
        <v>22</v>
      </c>
      <c r="N48" s="828" t="s">
        <v>22</v>
      </c>
      <c r="O48" s="1748" t="s">
        <v>22</v>
      </c>
      <c r="P48" s="828" t="s">
        <v>22</v>
      </c>
      <c r="Q48" s="1535" t="s">
        <v>970</v>
      </c>
      <c r="R48" s="1645"/>
      <c r="S48" s="1645"/>
      <c r="T48" s="1645"/>
      <c r="U48" s="1645"/>
      <c r="V48" s="1645"/>
      <c r="W48" s="1645"/>
      <c r="X48" s="1645"/>
      <c r="Y48" s="1645"/>
      <c r="Z48" s="1645"/>
      <c r="AA48" s="685"/>
      <c r="AB48" s="1645">
        <v>0</v>
      </c>
    </row>
    <row s="1860" customFormat="1" customHeight="1" ht="22.5">
      <c r="A49" s="1645"/>
      <c r="B49" s="2407" t="s">
        <v>942</v>
      </c>
      <c r="C49" s="2408" t="s">
        <v>105</v>
      </c>
      <c r="D49" s="699" t="str">
        <f>B49&amp;".1"</f>
        <v>3.5.1</v>
      </c>
      <c r="E49" s="1677" t="s">
        <v>966</v>
      </c>
      <c r="F49" s="2273" t="s">
        <v>328</v>
      </c>
      <c r="G49" s="2363" t="s">
        <v>22</v>
      </c>
      <c r="H49" s="828" t="s">
        <v>22</v>
      </c>
      <c r="I49" s="2363" t="s">
        <v>983</v>
      </c>
      <c r="J49" s="828" t="s">
        <v>22</v>
      </c>
      <c r="K49" s="2363" t="s">
        <v>983</v>
      </c>
      <c r="L49" s="828" t="s">
        <v>22</v>
      </c>
      <c r="M49" s="2363" t="s">
        <v>986</v>
      </c>
      <c r="N49" s="828" t="s">
        <v>22</v>
      </c>
      <c r="O49" s="2363" t="s">
        <v>983</v>
      </c>
      <c r="P49" s="828" t="s">
        <v>22</v>
      </c>
      <c r="Q49" s="1535"/>
      <c r="R49" s="1645"/>
      <c r="S49" s="1645"/>
      <c r="T49" s="1645"/>
      <c r="U49" s="1645"/>
      <c r="V49" s="1645"/>
      <c r="W49" s="1645"/>
      <c r="X49" s="1645"/>
      <c r="Y49" s="1645"/>
      <c r="Z49" s="1645"/>
      <c r="AA49" s="685"/>
      <c r="AB49" s="1645">
        <v>0</v>
      </c>
    </row>
    <row s="1860" customFormat="1" customHeight="1" ht="15">
      <c r="A50" s="1645"/>
      <c r="B50" s="2407"/>
      <c r="C50" s="2408"/>
      <c r="D50" s="699" t="str">
        <f>B49&amp;".2"</f>
        <v>3.5.2</v>
      </c>
      <c r="E50" s="1677" t="s">
        <v>967</v>
      </c>
      <c r="F50" s="2273" t="s">
        <v>328</v>
      </c>
      <c r="G50" s="1748" t="s">
        <v>22</v>
      </c>
      <c r="H50" s="828" t="s">
        <v>22</v>
      </c>
      <c r="I50" s="1748">
        <v>46115</v>
      </c>
      <c r="J50" s="828" t="s">
        <v>22</v>
      </c>
      <c r="K50" s="1748">
        <v>46146</v>
      </c>
      <c r="L50" s="828" t="s">
        <v>22</v>
      </c>
      <c r="M50" s="1748">
        <v>46136</v>
      </c>
      <c r="N50" s="828" t="s">
        <v>22</v>
      </c>
      <c r="O50" s="1748">
        <v>46129</v>
      </c>
      <c r="P50" s="828" t="s">
        <v>22</v>
      </c>
      <c r="Q50" s="1535" t="s">
        <v>968</v>
      </c>
      <c r="R50" s="1645"/>
      <c r="S50" s="1645"/>
      <c r="T50" s="1645"/>
      <c r="U50" s="1645"/>
      <c r="V50" s="1645"/>
      <c r="W50" s="1645"/>
      <c r="X50" s="1645"/>
      <c r="Y50" s="1645"/>
      <c r="Z50" s="1645"/>
      <c r="AA50" s="685"/>
      <c r="AB50" s="1645">
        <v>0</v>
      </c>
    </row>
    <row s="1860" customFormat="1" customHeight="1" ht="15">
      <c r="A51" s="1645"/>
      <c r="B51" s="2407"/>
      <c r="C51" s="2408"/>
      <c r="D51" s="699" t="str">
        <f>B49&amp;".3"</f>
        <v>3.5.3</v>
      </c>
      <c r="E51" s="1677" t="s">
        <v>969</v>
      </c>
      <c r="F51" s="2273" t="s">
        <v>328</v>
      </c>
      <c r="G51" s="1748" t="s">
        <v>22</v>
      </c>
      <c r="H51" s="828" t="s">
        <v>22</v>
      </c>
      <c r="I51" s="1748" t="s">
        <v>22</v>
      </c>
      <c r="J51" s="828" t="s">
        <v>22</v>
      </c>
      <c r="K51" s="1748" t="s">
        <v>22</v>
      </c>
      <c r="L51" s="828" t="s">
        <v>22</v>
      </c>
      <c r="M51" s="1748" t="s">
        <v>22</v>
      </c>
      <c r="N51" s="828" t="s">
        <v>22</v>
      </c>
      <c r="O51" s="1748" t="s">
        <v>22</v>
      </c>
      <c r="P51" s="828" t="s">
        <v>22</v>
      </c>
      <c r="Q51" s="1535" t="s">
        <v>970</v>
      </c>
      <c r="R51" s="1645"/>
      <c r="S51" s="1645"/>
      <c r="T51" s="1645"/>
      <c r="U51" s="1645"/>
      <c r="V51" s="1645"/>
      <c r="W51" s="1645"/>
      <c r="X51" s="1645"/>
      <c r="Y51" s="1645"/>
      <c r="Z51" s="1645"/>
      <c r="AA51" s="685"/>
      <c r="AB51" s="1645">
        <v>0</v>
      </c>
    </row>
    <row s="1860" customFormat="1" customHeight="1" ht="35">
      <c r="A52" s="1645"/>
      <c r="B52" s="2407" t="s">
        <v>944</v>
      </c>
      <c r="C52" s="2408" t="s">
        <v>105</v>
      </c>
      <c r="D52" s="699" t="str">
        <f>B52&amp;".1"</f>
        <v>3.6.1</v>
      </c>
      <c r="E52" s="1677" t="s">
        <v>966</v>
      </c>
      <c r="F52" s="2273" t="s">
        <v>328</v>
      </c>
      <c r="G52" s="2363" t="s">
        <v>22</v>
      </c>
      <c r="H52" s="828" t="s">
        <v>22</v>
      </c>
      <c r="I52" s="2363" t="s">
        <v>987</v>
      </c>
      <c r="J52" s="828" t="s">
        <v>22</v>
      </c>
      <c r="K52" s="2363" t="s">
        <v>983</v>
      </c>
      <c r="L52" s="828" t="s">
        <v>22</v>
      </c>
      <c r="M52" s="2363" t="s">
        <v>985</v>
      </c>
      <c r="N52" s="828" t="s">
        <v>22</v>
      </c>
      <c r="O52" s="2363" t="s">
        <v>983</v>
      </c>
      <c r="P52" s="828" t="s">
        <v>22</v>
      </c>
      <c r="Q52" s="1535"/>
      <c r="R52" s="1645"/>
      <c r="S52" s="1645"/>
      <c r="T52" s="1645"/>
      <c r="U52" s="1645"/>
      <c r="V52" s="1645"/>
      <c r="W52" s="1645"/>
      <c r="X52" s="1645"/>
      <c r="Y52" s="1645"/>
      <c r="Z52" s="1645"/>
      <c r="AA52" s="685"/>
      <c r="AB52" s="1645">
        <v>0</v>
      </c>
    </row>
    <row s="1860" customFormat="1" customHeight="1" ht="15">
      <c r="A53" s="1645"/>
      <c r="B53" s="2407"/>
      <c r="C53" s="2408"/>
      <c r="D53" s="699" t="str">
        <f>B52&amp;".2"</f>
        <v>3.6.2</v>
      </c>
      <c r="E53" s="1677" t="s">
        <v>967</v>
      </c>
      <c r="F53" s="2273" t="s">
        <v>328</v>
      </c>
      <c r="G53" s="1748" t="s">
        <v>22</v>
      </c>
      <c r="H53" s="828" t="s">
        <v>22</v>
      </c>
      <c r="I53" s="1748">
        <v>46118</v>
      </c>
      <c r="J53" s="828" t="s">
        <v>22</v>
      </c>
      <c r="K53" s="1748">
        <v>46148</v>
      </c>
      <c r="L53" s="828" t="s">
        <v>22</v>
      </c>
      <c r="M53" s="1748">
        <v>46136</v>
      </c>
      <c r="N53" s="828" t="s">
        <v>22</v>
      </c>
      <c r="O53" s="1748">
        <v>46135</v>
      </c>
      <c r="P53" s="828" t="s">
        <v>22</v>
      </c>
      <c r="Q53" s="1535" t="s">
        <v>968</v>
      </c>
      <c r="R53" s="1645"/>
      <c r="S53" s="1645"/>
      <c r="T53" s="1645"/>
      <c r="U53" s="1645"/>
      <c r="V53" s="1645"/>
      <c r="W53" s="1645"/>
      <c r="X53" s="1645"/>
      <c r="Y53" s="1645"/>
      <c r="Z53" s="1645"/>
      <c r="AA53" s="685"/>
      <c r="AB53" s="1645">
        <v>0</v>
      </c>
    </row>
    <row s="1860" customFormat="1" customHeight="1" ht="15">
      <c r="A54" s="1645"/>
      <c r="B54" s="2407"/>
      <c r="C54" s="2408"/>
      <c r="D54" s="699" t="str">
        <f>B52&amp;".3"</f>
        <v>3.6.3</v>
      </c>
      <c r="E54" s="1677" t="s">
        <v>969</v>
      </c>
      <c r="F54" s="2273" t="s">
        <v>328</v>
      </c>
      <c r="G54" s="1748" t="s">
        <v>22</v>
      </c>
      <c r="H54" s="828" t="s">
        <v>22</v>
      </c>
      <c r="I54" s="1748">
        <v>46119</v>
      </c>
      <c r="J54" s="828" t="s">
        <v>22</v>
      </c>
      <c r="K54" s="1748" t="s">
        <v>22</v>
      </c>
      <c r="L54" s="828" t="s">
        <v>22</v>
      </c>
      <c r="M54" s="1748" t="s">
        <v>22</v>
      </c>
      <c r="N54" s="828" t="s">
        <v>22</v>
      </c>
      <c r="O54" s="1748" t="s">
        <v>22</v>
      </c>
      <c r="P54" s="828" t="s">
        <v>22</v>
      </c>
      <c r="Q54" s="1535" t="s">
        <v>970</v>
      </c>
      <c r="R54" s="1645"/>
      <c r="S54" s="1645"/>
      <c r="T54" s="1645"/>
      <c r="U54" s="1645"/>
      <c r="V54" s="1645"/>
      <c r="W54" s="1645"/>
      <c r="X54" s="1645"/>
      <c r="Y54" s="1645"/>
      <c r="Z54" s="1645"/>
      <c r="AA54" s="685"/>
      <c r="AB54" s="1645">
        <v>0</v>
      </c>
    </row>
    <row s="1860" customFormat="1" customHeight="1" ht="22.5">
      <c r="A55" s="1645"/>
      <c r="B55" s="2407" t="s">
        <v>946</v>
      </c>
      <c r="C55" s="2408" t="s">
        <v>105</v>
      </c>
      <c r="D55" s="699" t="str">
        <f>B55&amp;".1"</f>
        <v>3.7.1</v>
      </c>
      <c r="E55" s="1677" t="s">
        <v>966</v>
      </c>
      <c r="F55" s="2273" t="s">
        <v>328</v>
      </c>
      <c r="G55" s="2363" t="s">
        <v>22</v>
      </c>
      <c r="H55" s="828" t="s">
        <v>22</v>
      </c>
      <c r="I55" s="2363" t="s">
        <v>983</v>
      </c>
      <c r="J55" s="828" t="s">
        <v>22</v>
      </c>
      <c r="K55" s="2363" t="s">
        <v>983</v>
      </c>
      <c r="L55" s="828" t="s">
        <v>22</v>
      </c>
      <c r="M55" s="2363" t="s">
        <v>988</v>
      </c>
      <c r="N55" s="828" t="s">
        <v>22</v>
      </c>
      <c r="O55" s="2363" t="s">
        <v>983</v>
      </c>
      <c r="P55" s="828" t="s">
        <v>22</v>
      </c>
      <c r="Q55" s="1535"/>
      <c r="R55" s="1645"/>
      <c r="S55" s="1645"/>
      <c r="T55" s="1645"/>
      <c r="U55" s="1645"/>
      <c r="V55" s="1645"/>
      <c r="W55" s="1645"/>
      <c r="X55" s="1645"/>
      <c r="Y55" s="1645"/>
      <c r="Z55" s="1645"/>
      <c r="AA55" s="685"/>
      <c r="AB55" s="1645">
        <v>0</v>
      </c>
    </row>
    <row s="1860" customFormat="1" customHeight="1" ht="15">
      <c r="A56" s="1645"/>
      <c r="B56" s="2407"/>
      <c r="C56" s="2408"/>
      <c r="D56" s="699" t="str">
        <f>B55&amp;".2"</f>
        <v>3.7.2</v>
      </c>
      <c r="E56" s="1677" t="s">
        <v>967</v>
      </c>
      <c r="F56" s="2273" t="s">
        <v>328</v>
      </c>
      <c r="G56" s="1748" t="s">
        <v>22</v>
      </c>
      <c r="H56" s="828" t="s">
        <v>22</v>
      </c>
      <c r="I56" s="1748">
        <v>46118</v>
      </c>
      <c r="J56" s="828" t="s">
        <v>22</v>
      </c>
      <c r="K56" s="1748">
        <v>46148</v>
      </c>
      <c r="L56" s="828" t="s">
        <v>22</v>
      </c>
      <c r="M56" s="1748">
        <v>46139</v>
      </c>
      <c r="N56" s="828" t="s">
        <v>22</v>
      </c>
      <c r="O56" s="1748">
        <v>46135</v>
      </c>
      <c r="P56" s="828" t="s">
        <v>22</v>
      </c>
      <c r="Q56" s="1535" t="s">
        <v>968</v>
      </c>
      <c r="R56" s="1645"/>
      <c r="S56" s="1645"/>
      <c r="T56" s="1645"/>
      <c r="U56" s="1645"/>
      <c r="V56" s="1645"/>
      <c r="W56" s="1645"/>
      <c r="X56" s="1645"/>
      <c r="Y56" s="1645"/>
      <c r="Z56" s="1645"/>
      <c r="AA56" s="685"/>
      <c r="AB56" s="1645">
        <v>0</v>
      </c>
    </row>
    <row s="1860" customFormat="1" customHeight="1" ht="15">
      <c r="A57" s="1645"/>
      <c r="B57" s="2407"/>
      <c r="C57" s="2408"/>
      <c r="D57" s="699" t="str">
        <f>B55&amp;".3"</f>
        <v>3.7.3</v>
      </c>
      <c r="E57" s="1677" t="s">
        <v>969</v>
      </c>
      <c r="F57" s="2273" t="s">
        <v>328</v>
      </c>
      <c r="G57" s="1748" t="s">
        <v>22</v>
      </c>
      <c r="H57" s="828" t="s">
        <v>22</v>
      </c>
      <c r="I57" s="1748" t="s">
        <v>22</v>
      </c>
      <c r="J57" s="828" t="s">
        <v>22</v>
      </c>
      <c r="K57" s="1748" t="s">
        <v>22</v>
      </c>
      <c r="L57" s="828" t="s">
        <v>22</v>
      </c>
      <c r="M57" s="1748" t="s">
        <v>22</v>
      </c>
      <c r="N57" s="828" t="s">
        <v>22</v>
      </c>
      <c r="O57" s="1748" t="s">
        <v>22</v>
      </c>
      <c r="P57" s="828" t="s">
        <v>22</v>
      </c>
      <c r="Q57" s="1535" t="s">
        <v>970</v>
      </c>
      <c r="R57" s="1645"/>
      <c r="S57" s="1645"/>
      <c r="T57" s="1645"/>
      <c r="U57" s="1645"/>
      <c r="V57" s="1645"/>
      <c r="W57" s="1645"/>
      <c r="X57" s="1645"/>
      <c r="Y57" s="1645"/>
      <c r="Z57" s="1645"/>
      <c r="AA57" s="685"/>
      <c r="AB57" s="1645">
        <v>0</v>
      </c>
    </row>
    <row s="1860" customFormat="1" customHeight="1" ht="22.5">
      <c r="A58" s="1645"/>
      <c r="B58" s="2407" t="s">
        <v>989</v>
      </c>
      <c r="C58" s="2408" t="s">
        <v>105</v>
      </c>
      <c r="D58" s="699" t="str">
        <f>B58&amp;".1"</f>
        <v>3.8.1</v>
      </c>
      <c r="E58" s="1677" t="s">
        <v>966</v>
      </c>
      <c r="F58" s="2273" t="s">
        <v>328</v>
      </c>
      <c r="G58" s="2363" t="s">
        <v>22</v>
      </c>
      <c r="H58" s="828" t="s">
        <v>22</v>
      </c>
      <c r="I58" s="2363" t="s">
        <v>983</v>
      </c>
      <c r="J58" s="828" t="s">
        <v>22</v>
      </c>
      <c r="K58" s="2363" t="s">
        <v>983</v>
      </c>
      <c r="L58" s="828" t="s">
        <v>22</v>
      </c>
      <c r="M58" s="2363" t="s">
        <v>983</v>
      </c>
      <c r="N58" s="828" t="s">
        <v>22</v>
      </c>
      <c r="O58" s="2363" t="s">
        <v>983</v>
      </c>
      <c r="P58" s="828" t="s">
        <v>22</v>
      </c>
      <c r="Q58" s="1535"/>
      <c r="R58" s="1645"/>
      <c r="S58" s="1645"/>
      <c r="T58" s="1645"/>
      <c r="U58" s="1645"/>
      <c r="V58" s="1645"/>
      <c r="W58" s="1645"/>
      <c r="X58" s="1645"/>
      <c r="Y58" s="1645"/>
      <c r="Z58" s="1645"/>
      <c r="AA58" s="685"/>
      <c r="AB58" s="1645">
        <v>0</v>
      </c>
    </row>
    <row s="1860" customFormat="1" customHeight="1" ht="15">
      <c r="A59" s="1645"/>
      <c r="B59" s="2407"/>
      <c r="C59" s="2408"/>
      <c r="D59" s="699" t="str">
        <f>B58&amp;".2"</f>
        <v>3.8.2</v>
      </c>
      <c r="E59" s="1677" t="s">
        <v>967</v>
      </c>
      <c r="F59" s="2273" t="s">
        <v>328</v>
      </c>
      <c r="G59" s="1748" t="s">
        <v>22</v>
      </c>
      <c r="H59" s="828" t="s">
        <v>22</v>
      </c>
      <c r="I59" s="1748">
        <v>46118</v>
      </c>
      <c r="J59" s="828" t="s">
        <v>22</v>
      </c>
      <c r="K59" s="1748">
        <v>46149</v>
      </c>
      <c r="L59" s="828" t="s">
        <v>22</v>
      </c>
      <c r="M59" s="1748">
        <v>46140</v>
      </c>
      <c r="N59" s="828" t="s">
        <v>22</v>
      </c>
      <c r="O59" s="1748">
        <v>46136</v>
      </c>
      <c r="P59" s="828" t="s">
        <v>22</v>
      </c>
      <c r="Q59" s="1535" t="s">
        <v>968</v>
      </c>
      <c r="R59" s="1645"/>
      <c r="S59" s="1645"/>
      <c r="T59" s="1645"/>
      <c r="U59" s="1645"/>
      <c r="V59" s="1645"/>
      <c r="W59" s="1645"/>
      <c r="X59" s="1645"/>
      <c r="Y59" s="1645"/>
      <c r="Z59" s="1645"/>
      <c r="AA59" s="685"/>
      <c r="AB59" s="1645">
        <v>0</v>
      </c>
    </row>
    <row s="1860" customFormat="1" customHeight="1" ht="15">
      <c r="A60" s="1645"/>
      <c r="B60" s="2407"/>
      <c r="C60" s="2408"/>
      <c r="D60" s="699" t="str">
        <f>B58&amp;".3"</f>
        <v>3.8.3</v>
      </c>
      <c r="E60" s="1677" t="s">
        <v>969</v>
      </c>
      <c r="F60" s="2273" t="s">
        <v>328</v>
      </c>
      <c r="G60" s="1748" t="s">
        <v>22</v>
      </c>
      <c r="H60" s="828" t="s">
        <v>22</v>
      </c>
      <c r="I60" s="1748" t="s">
        <v>22</v>
      </c>
      <c r="J60" s="828" t="s">
        <v>22</v>
      </c>
      <c r="K60" s="1748" t="s">
        <v>22</v>
      </c>
      <c r="L60" s="828" t="s">
        <v>22</v>
      </c>
      <c r="M60" s="1748" t="s">
        <v>22</v>
      </c>
      <c r="N60" s="828" t="s">
        <v>22</v>
      </c>
      <c r="O60" s="1748" t="s">
        <v>22</v>
      </c>
      <c r="P60" s="828" t="s">
        <v>22</v>
      </c>
      <c r="Q60" s="1535" t="s">
        <v>970</v>
      </c>
      <c r="R60" s="1645"/>
      <c r="S60" s="1645"/>
      <c r="T60" s="1645"/>
      <c r="U60" s="1645"/>
      <c r="V60" s="1645"/>
      <c r="W60" s="1645"/>
      <c r="X60" s="1645"/>
      <c r="Y60" s="1645"/>
      <c r="Z60" s="1645"/>
      <c r="AA60" s="685"/>
      <c r="AB60" s="1645">
        <v>0</v>
      </c>
    </row>
    <row s="1860" customFormat="1" customHeight="1" ht="22.5">
      <c r="A61" s="1645"/>
      <c r="B61" s="2407" t="s">
        <v>990</v>
      </c>
      <c r="C61" s="2408" t="s">
        <v>105</v>
      </c>
      <c r="D61" s="699" t="str">
        <f>B61&amp;".1"</f>
        <v>3.9.1</v>
      </c>
      <c r="E61" s="1677" t="s">
        <v>966</v>
      </c>
      <c r="F61" s="2273" t="s">
        <v>328</v>
      </c>
      <c r="G61" s="2363" t="s">
        <v>22</v>
      </c>
      <c r="H61" s="828" t="s">
        <v>22</v>
      </c>
      <c r="I61" s="2363" t="s">
        <v>983</v>
      </c>
      <c r="J61" s="828" t="s">
        <v>22</v>
      </c>
      <c r="K61" s="2363" t="s">
        <v>983</v>
      </c>
      <c r="L61" s="828" t="s">
        <v>22</v>
      </c>
      <c r="M61" s="2363" t="s">
        <v>983</v>
      </c>
      <c r="N61" s="828" t="s">
        <v>22</v>
      </c>
      <c r="O61" s="2363" t="s">
        <v>984</v>
      </c>
      <c r="P61" s="828" t="s">
        <v>22</v>
      </c>
      <c r="Q61" s="1535"/>
      <c r="R61" s="1645"/>
      <c r="S61" s="1645"/>
      <c r="T61" s="1645"/>
      <c r="U61" s="1645"/>
      <c r="V61" s="1645"/>
      <c r="W61" s="1645"/>
      <c r="X61" s="1645"/>
      <c r="Y61" s="1645"/>
      <c r="Z61" s="1645"/>
      <c r="AA61" s="685"/>
      <c r="AB61" s="1645">
        <v>0</v>
      </c>
    </row>
    <row s="1860" customFormat="1" customHeight="1" ht="15">
      <c r="A62" s="1645"/>
      <c r="B62" s="2407"/>
      <c r="C62" s="2408"/>
      <c r="D62" s="699" t="str">
        <f>B61&amp;".2"</f>
        <v>3.9.2</v>
      </c>
      <c r="E62" s="1677" t="s">
        <v>967</v>
      </c>
      <c r="F62" s="2273" t="s">
        <v>328</v>
      </c>
      <c r="G62" s="1748" t="s">
        <v>22</v>
      </c>
      <c r="H62" s="828" t="s">
        <v>22</v>
      </c>
      <c r="I62" s="1748">
        <v>46119</v>
      </c>
      <c r="J62" s="828" t="s">
        <v>22</v>
      </c>
      <c r="K62" s="1748">
        <v>46157</v>
      </c>
      <c r="L62" s="828" t="s">
        <v>22</v>
      </c>
      <c r="M62" s="1748">
        <v>46147</v>
      </c>
      <c r="N62" s="828" t="s">
        <v>22</v>
      </c>
      <c r="O62" s="1748">
        <v>46136</v>
      </c>
      <c r="P62" s="828" t="s">
        <v>22</v>
      </c>
      <c r="Q62" s="1535" t="s">
        <v>968</v>
      </c>
      <c r="R62" s="1645"/>
      <c r="S62" s="1645"/>
      <c r="T62" s="1645"/>
      <c r="U62" s="1645"/>
      <c r="V62" s="1645"/>
      <c r="W62" s="1645"/>
      <c r="X62" s="1645"/>
      <c r="Y62" s="1645"/>
      <c r="Z62" s="1645"/>
      <c r="AA62" s="685"/>
      <c r="AB62" s="1645">
        <v>0</v>
      </c>
    </row>
    <row s="1860" customFormat="1" customHeight="1" ht="15">
      <c r="A63" s="1645"/>
      <c r="B63" s="2407"/>
      <c r="C63" s="2408"/>
      <c r="D63" s="699" t="str">
        <f>B61&amp;".3"</f>
        <v>3.9.3</v>
      </c>
      <c r="E63" s="1677" t="s">
        <v>969</v>
      </c>
      <c r="F63" s="2273" t="s">
        <v>328</v>
      </c>
      <c r="G63" s="1748" t="s">
        <v>22</v>
      </c>
      <c r="H63" s="828" t="s">
        <v>22</v>
      </c>
      <c r="I63" s="1748" t="s">
        <v>22</v>
      </c>
      <c r="J63" s="828" t="s">
        <v>22</v>
      </c>
      <c r="K63" s="1748" t="s">
        <v>22</v>
      </c>
      <c r="L63" s="828" t="s">
        <v>22</v>
      </c>
      <c r="M63" s="1748" t="s">
        <v>22</v>
      </c>
      <c r="N63" s="828" t="s">
        <v>22</v>
      </c>
      <c r="O63" s="1748" t="s">
        <v>22</v>
      </c>
      <c r="P63" s="828" t="s">
        <v>22</v>
      </c>
      <c r="Q63" s="1535" t="s">
        <v>970</v>
      </c>
      <c r="R63" s="1645"/>
      <c r="S63" s="1645"/>
      <c r="T63" s="1645"/>
      <c r="U63" s="1645"/>
      <c r="V63" s="1645"/>
      <c r="W63" s="1645"/>
      <c r="X63" s="1645"/>
      <c r="Y63" s="1645"/>
      <c r="Z63" s="1645"/>
      <c r="AA63" s="685"/>
      <c r="AB63" s="1645">
        <v>0</v>
      </c>
    </row>
    <row s="1860" customFormat="1" customHeight="1" ht="22.5">
      <c r="A64" s="1645"/>
      <c r="B64" s="2407" t="s">
        <v>991</v>
      </c>
      <c r="C64" s="2408" t="s">
        <v>105</v>
      </c>
      <c r="D64" s="699" t="str">
        <f>B64&amp;".1"</f>
        <v>3.10.1</v>
      </c>
      <c r="E64" s="1677" t="s">
        <v>966</v>
      </c>
      <c r="F64" s="2273" t="s">
        <v>328</v>
      </c>
      <c r="G64" s="2363" t="s">
        <v>22</v>
      </c>
      <c r="H64" s="828" t="s">
        <v>22</v>
      </c>
      <c r="I64" s="2363" t="s">
        <v>983</v>
      </c>
      <c r="J64" s="828" t="s">
        <v>22</v>
      </c>
      <c r="K64" s="2363" t="s">
        <v>983</v>
      </c>
      <c r="L64" s="828" t="s">
        <v>22</v>
      </c>
      <c r="M64" s="2363" t="s">
        <v>983</v>
      </c>
      <c r="N64" s="828" t="s">
        <v>22</v>
      </c>
      <c r="O64" s="2363" t="s">
        <v>992</v>
      </c>
      <c r="P64" s="828" t="s">
        <v>22</v>
      </c>
      <c r="Q64" s="1535"/>
      <c r="R64" s="1645"/>
      <c r="S64" s="1645"/>
      <c r="T64" s="1645"/>
      <c r="U64" s="1645"/>
      <c r="V64" s="1645"/>
      <c r="W64" s="1645"/>
      <c r="X64" s="1645"/>
      <c r="Y64" s="1645"/>
      <c r="Z64" s="1645"/>
      <c r="AA64" s="685"/>
      <c r="AB64" s="1645">
        <v>0</v>
      </c>
    </row>
    <row s="1860" customFormat="1" customHeight="1" ht="15">
      <c r="A65" s="1645"/>
      <c r="B65" s="2407"/>
      <c r="C65" s="2408"/>
      <c r="D65" s="699" t="str">
        <f>B64&amp;".2"</f>
        <v>3.10.2</v>
      </c>
      <c r="E65" s="1677" t="s">
        <v>967</v>
      </c>
      <c r="F65" s="2273" t="s">
        <v>328</v>
      </c>
      <c r="G65" s="1748" t="s">
        <v>22</v>
      </c>
      <c r="H65" s="828" t="s">
        <v>22</v>
      </c>
      <c r="I65" s="1748">
        <v>46119</v>
      </c>
      <c r="J65" s="828" t="s">
        <v>22</v>
      </c>
      <c r="K65" s="1748">
        <v>46157</v>
      </c>
      <c r="L65" s="828" t="s">
        <v>22</v>
      </c>
      <c r="M65" s="1748">
        <v>46147</v>
      </c>
      <c r="N65" s="828" t="s">
        <v>22</v>
      </c>
      <c r="O65" s="1748">
        <v>46136</v>
      </c>
      <c r="P65" s="828" t="s">
        <v>22</v>
      </c>
      <c r="Q65" s="1535" t="s">
        <v>968</v>
      </c>
      <c r="R65" s="1645"/>
      <c r="S65" s="1645"/>
      <c r="T65" s="1645"/>
      <c r="U65" s="1645"/>
      <c r="V65" s="1645"/>
      <c r="W65" s="1645"/>
      <c r="X65" s="1645"/>
      <c r="Y65" s="1645"/>
      <c r="Z65" s="1645"/>
      <c r="AA65" s="685"/>
      <c r="AB65" s="1645">
        <v>0</v>
      </c>
    </row>
    <row s="1860" customFormat="1" customHeight="1" ht="15">
      <c r="A66" s="1645"/>
      <c r="B66" s="2407"/>
      <c r="C66" s="2408"/>
      <c r="D66" s="699" t="str">
        <f>B64&amp;".3"</f>
        <v>3.10.3</v>
      </c>
      <c r="E66" s="1677" t="s">
        <v>969</v>
      </c>
      <c r="F66" s="2273" t="s">
        <v>328</v>
      </c>
      <c r="G66" s="1748" t="s">
        <v>22</v>
      </c>
      <c r="H66" s="828" t="s">
        <v>22</v>
      </c>
      <c r="I66" s="1748" t="s">
        <v>22</v>
      </c>
      <c r="J66" s="828" t="s">
        <v>22</v>
      </c>
      <c r="K66" s="1748" t="s">
        <v>22</v>
      </c>
      <c r="L66" s="828" t="s">
        <v>22</v>
      </c>
      <c r="M66" s="1748" t="s">
        <v>22</v>
      </c>
      <c r="N66" s="828" t="s">
        <v>22</v>
      </c>
      <c r="O66" s="1748" t="s">
        <v>22</v>
      </c>
      <c r="P66" s="828" t="s">
        <v>22</v>
      </c>
      <c r="Q66" s="1535" t="s">
        <v>970</v>
      </c>
      <c r="R66" s="1645"/>
      <c r="S66" s="1645"/>
      <c r="T66" s="1645"/>
      <c r="U66" s="1645"/>
      <c r="V66" s="1645"/>
      <c r="W66" s="1645"/>
      <c r="X66" s="1645"/>
      <c r="Y66" s="1645"/>
      <c r="Z66" s="1645"/>
      <c r="AA66" s="685"/>
      <c r="AB66" s="1645">
        <v>0</v>
      </c>
    </row>
    <row s="1860" customFormat="1" customHeight="1" ht="22.5">
      <c r="A67" s="1645"/>
      <c r="B67" s="2407" t="s">
        <v>993</v>
      </c>
      <c r="C67" s="2408" t="s">
        <v>105</v>
      </c>
      <c r="D67" s="699" t="str">
        <f>B67&amp;".1"</f>
        <v>3.11.1</v>
      </c>
      <c r="E67" s="1677" t="s">
        <v>966</v>
      </c>
      <c r="F67" s="2273" t="s">
        <v>328</v>
      </c>
      <c r="G67" s="2363" t="s">
        <v>22</v>
      </c>
      <c r="H67" s="828" t="s">
        <v>22</v>
      </c>
      <c r="I67" s="2363" t="s">
        <v>986</v>
      </c>
      <c r="J67" s="828" t="s">
        <v>22</v>
      </c>
      <c r="K67" s="2363" t="s">
        <v>983</v>
      </c>
      <c r="L67" s="828" t="s">
        <v>22</v>
      </c>
      <c r="M67" s="2363" t="s">
        <v>983</v>
      </c>
      <c r="N67" s="828" t="s">
        <v>22</v>
      </c>
      <c r="O67" s="2363" t="s">
        <v>986</v>
      </c>
      <c r="P67" s="828" t="s">
        <v>22</v>
      </c>
      <c r="Q67" s="1535"/>
      <c r="R67" s="1645"/>
      <c r="S67" s="1645"/>
      <c r="T67" s="1645"/>
      <c r="U67" s="1645"/>
      <c r="V67" s="1645"/>
      <c r="W67" s="1645"/>
      <c r="X67" s="1645"/>
      <c r="Y67" s="1645"/>
      <c r="Z67" s="1645"/>
      <c r="AA67" s="685"/>
      <c r="AB67" s="1645">
        <v>0</v>
      </c>
    </row>
    <row s="1860" customFormat="1" customHeight="1" ht="15">
      <c r="A68" s="1645"/>
      <c r="B68" s="2407"/>
      <c r="C68" s="2408"/>
      <c r="D68" s="699" t="str">
        <f>B67&amp;".2"</f>
        <v>3.11.2</v>
      </c>
      <c r="E68" s="1677" t="s">
        <v>967</v>
      </c>
      <c r="F68" s="2273" t="s">
        <v>328</v>
      </c>
      <c r="G68" s="1748" t="s">
        <v>22</v>
      </c>
      <c r="H68" s="828" t="s">
        <v>22</v>
      </c>
      <c r="I68" s="1748">
        <v>46122</v>
      </c>
      <c r="J68" s="828" t="s">
        <v>22</v>
      </c>
      <c r="K68" s="1748">
        <v>46157</v>
      </c>
      <c r="L68" s="828" t="s">
        <v>22</v>
      </c>
      <c r="M68" s="1748">
        <v>46154</v>
      </c>
      <c r="N68" s="828" t="s">
        <v>22</v>
      </c>
      <c r="O68" s="1748">
        <v>46136</v>
      </c>
      <c r="P68" s="828" t="s">
        <v>22</v>
      </c>
      <c r="Q68" s="1535" t="s">
        <v>968</v>
      </c>
      <c r="R68" s="1645"/>
      <c r="S68" s="1645"/>
      <c r="T68" s="1645"/>
      <c r="U68" s="1645"/>
      <c r="V68" s="1645"/>
      <c r="W68" s="1645"/>
      <c r="X68" s="1645"/>
      <c r="Y68" s="1645"/>
      <c r="Z68" s="1645"/>
      <c r="AA68" s="685"/>
      <c r="AB68" s="1645">
        <v>0</v>
      </c>
    </row>
    <row s="1860" customFormat="1" customHeight="1" ht="15">
      <c r="A69" s="1645"/>
      <c r="B69" s="2407"/>
      <c r="C69" s="2408"/>
      <c r="D69" s="699" t="str">
        <f>B67&amp;".3"</f>
        <v>3.11.3</v>
      </c>
      <c r="E69" s="1677" t="s">
        <v>969</v>
      </c>
      <c r="F69" s="2273" t="s">
        <v>328</v>
      </c>
      <c r="G69" s="1748" t="s">
        <v>22</v>
      </c>
      <c r="H69" s="828" t="s">
        <v>22</v>
      </c>
      <c r="I69" s="1748" t="s">
        <v>22</v>
      </c>
      <c r="J69" s="828" t="s">
        <v>22</v>
      </c>
      <c r="K69" s="1748" t="s">
        <v>22</v>
      </c>
      <c r="L69" s="828" t="s">
        <v>22</v>
      </c>
      <c r="M69" s="1748" t="s">
        <v>22</v>
      </c>
      <c r="N69" s="828" t="s">
        <v>22</v>
      </c>
      <c r="O69" s="1748" t="s">
        <v>22</v>
      </c>
      <c r="P69" s="828" t="s">
        <v>22</v>
      </c>
      <c r="Q69" s="1535" t="s">
        <v>970</v>
      </c>
      <c r="R69" s="1645"/>
      <c r="S69" s="1645"/>
      <c r="T69" s="1645"/>
      <c r="U69" s="1645"/>
      <c r="V69" s="1645"/>
      <c r="W69" s="1645"/>
      <c r="X69" s="1645"/>
      <c r="Y69" s="1645"/>
      <c r="Z69" s="1645"/>
      <c r="AA69" s="685"/>
      <c r="AB69" s="1645">
        <v>0</v>
      </c>
    </row>
    <row s="1860" customFormat="1" customHeight="1" ht="22.5">
      <c r="A70" s="1645"/>
      <c r="B70" s="2407" t="s">
        <v>994</v>
      </c>
      <c r="C70" s="2408" t="s">
        <v>105</v>
      </c>
      <c r="D70" s="699" t="str">
        <f>B70&amp;".1"</f>
        <v>3.12.1</v>
      </c>
      <c r="E70" s="1677" t="s">
        <v>966</v>
      </c>
      <c r="F70" s="2273" t="s">
        <v>328</v>
      </c>
      <c r="G70" s="2363" t="s">
        <v>22</v>
      </c>
      <c r="H70" s="828" t="s">
        <v>22</v>
      </c>
      <c r="I70" s="2363" t="s">
        <v>983</v>
      </c>
      <c r="J70" s="828" t="s">
        <v>22</v>
      </c>
      <c r="K70" s="2363" t="s">
        <v>983</v>
      </c>
      <c r="L70" s="828" t="s">
        <v>22</v>
      </c>
      <c r="M70" s="2363" t="s">
        <v>983</v>
      </c>
      <c r="N70" s="828" t="s">
        <v>22</v>
      </c>
      <c r="O70" s="2363" t="s">
        <v>983</v>
      </c>
      <c r="P70" s="828" t="s">
        <v>22</v>
      </c>
      <c r="Q70" s="1535"/>
      <c r="R70" s="1645"/>
      <c r="S70" s="1645"/>
      <c r="T70" s="1645"/>
      <c r="U70" s="1645"/>
      <c r="V70" s="1645"/>
      <c r="W70" s="1645"/>
      <c r="X70" s="1645"/>
      <c r="Y70" s="1645"/>
      <c r="Z70" s="1645"/>
      <c r="AA70" s="685"/>
      <c r="AB70" s="1645">
        <v>0</v>
      </c>
    </row>
    <row s="1860" customFormat="1" customHeight="1" ht="15">
      <c r="A71" s="1645"/>
      <c r="B71" s="2407"/>
      <c r="C71" s="2408"/>
      <c r="D71" s="699" t="str">
        <f>B70&amp;".2"</f>
        <v>3.12.2</v>
      </c>
      <c r="E71" s="1677" t="s">
        <v>967</v>
      </c>
      <c r="F71" s="2273" t="s">
        <v>328</v>
      </c>
      <c r="G71" s="1748" t="s">
        <v>22</v>
      </c>
      <c r="H71" s="828" t="s">
        <v>22</v>
      </c>
      <c r="I71" s="1748">
        <v>46127</v>
      </c>
      <c r="J71" s="828" t="s">
        <v>22</v>
      </c>
      <c r="K71" s="1748">
        <v>46157</v>
      </c>
      <c r="L71" s="828" t="s">
        <v>22</v>
      </c>
      <c r="M71" s="1748">
        <v>46154</v>
      </c>
      <c r="N71" s="828" t="s">
        <v>22</v>
      </c>
      <c r="O71" s="1748">
        <v>46139</v>
      </c>
      <c r="P71" s="828" t="s">
        <v>22</v>
      </c>
      <c r="Q71" s="1535" t="s">
        <v>968</v>
      </c>
      <c r="R71" s="1645"/>
      <c r="S71" s="1645"/>
      <c r="T71" s="1645"/>
      <c r="U71" s="1645"/>
      <c r="V71" s="1645"/>
      <c r="W71" s="1645"/>
      <c r="X71" s="1645"/>
      <c r="Y71" s="1645"/>
      <c r="Z71" s="1645"/>
      <c r="AA71" s="685"/>
      <c r="AB71" s="1645">
        <v>0</v>
      </c>
    </row>
    <row s="1860" customFormat="1" customHeight="1" ht="15">
      <c r="A72" s="1645"/>
      <c r="B72" s="2407"/>
      <c r="C72" s="2408"/>
      <c r="D72" s="699" t="str">
        <f>B70&amp;".3"</f>
        <v>3.12.3</v>
      </c>
      <c r="E72" s="1677" t="s">
        <v>969</v>
      </c>
      <c r="F72" s="2273" t="s">
        <v>328</v>
      </c>
      <c r="G72" s="1748" t="s">
        <v>22</v>
      </c>
      <c r="H72" s="828" t="s">
        <v>22</v>
      </c>
      <c r="I72" s="1748" t="s">
        <v>22</v>
      </c>
      <c r="J72" s="828" t="s">
        <v>22</v>
      </c>
      <c r="K72" s="1748" t="s">
        <v>22</v>
      </c>
      <c r="L72" s="828" t="s">
        <v>22</v>
      </c>
      <c r="M72" s="1748" t="s">
        <v>22</v>
      </c>
      <c r="N72" s="828" t="s">
        <v>22</v>
      </c>
      <c r="O72" s="1748" t="s">
        <v>22</v>
      </c>
      <c r="P72" s="828" t="s">
        <v>22</v>
      </c>
      <c r="Q72" s="1535" t="s">
        <v>970</v>
      </c>
      <c r="R72" s="1645"/>
      <c r="S72" s="1645"/>
      <c r="T72" s="1645"/>
      <c r="U72" s="1645"/>
      <c r="V72" s="1645"/>
      <c r="W72" s="1645"/>
      <c r="X72" s="1645"/>
      <c r="Y72" s="1645"/>
      <c r="Z72" s="1645"/>
      <c r="AA72" s="685"/>
      <c r="AB72" s="1645">
        <v>0</v>
      </c>
    </row>
    <row s="1860" customFormat="1" customHeight="1" ht="22.5">
      <c r="A73" s="1645"/>
      <c r="B73" s="2407" t="s">
        <v>995</v>
      </c>
      <c r="C73" s="2408" t="s">
        <v>105</v>
      </c>
      <c r="D73" s="699" t="str">
        <f>B73&amp;".1"</f>
        <v>3.13.1</v>
      </c>
      <c r="E73" s="1677" t="s">
        <v>966</v>
      </c>
      <c r="F73" s="2273" t="s">
        <v>328</v>
      </c>
      <c r="G73" s="2363" t="s">
        <v>22</v>
      </c>
      <c r="H73" s="828" t="s">
        <v>22</v>
      </c>
      <c r="I73" s="2363" t="s">
        <v>996</v>
      </c>
      <c r="J73" s="828" t="s">
        <v>22</v>
      </c>
      <c r="K73" s="2363" t="s">
        <v>983</v>
      </c>
      <c r="L73" s="828" t="s">
        <v>22</v>
      </c>
      <c r="M73" s="2363" t="s">
        <v>983</v>
      </c>
      <c r="N73" s="828" t="s">
        <v>22</v>
      </c>
      <c r="O73" s="2363" t="s">
        <v>983</v>
      </c>
      <c r="P73" s="828" t="s">
        <v>22</v>
      </c>
      <c r="Q73" s="1535"/>
      <c r="R73" s="1645"/>
      <c r="S73" s="1645"/>
      <c r="T73" s="1645"/>
      <c r="U73" s="1645"/>
      <c r="V73" s="1645"/>
      <c r="W73" s="1645"/>
      <c r="X73" s="1645"/>
      <c r="Y73" s="1645"/>
      <c r="Z73" s="1645"/>
      <c r="AA73" s="685"/>
      <c r="AB73" s="1645">
        <v>0</v>
      </c>
    </row>
    <row s="1860" customFormat="1" customHeight="1" ht="15">
      <c r="A74" s="1645"/>
      <c r="B74" s="2407"/>
      <c r="C74" s="2408"/>
      <c r="D74" s="699" t="str">
        <f>B73&amp;".2"</f>
        <v>3.13.2</v>
      </c>
      <c r="E74" s="1677" t="s">
        <v>967</v>
      </c>
      <c r="F74" s="2273" t="s">
        <v>328</v>
      </c>
      <c r="G74" s="1748" t="s">
        <v>22</v>
      </c>
      <c r="H74" s="828" t="s">
        <v>22</v>
      </c>
      <c r="I74" s="1748">
        <v>46129</v>
      </c>
      <c r="J74" s="828" t="s">
        <v>22</v>
      </c>
      <c r="K74" s="1748">
        <v>46160</v>
      </c>
      <c r="L74" s="828" t="s">
        <v>22</v>
      </c>
      <c r="M74" s="1748">
        <v>46157</v>
      </c>
      <c r="N74" s="828" t="s">
        <v>22</v>
      </c>
      <c r="O74" s="1748">
        <v>46139</v>
      </c>
      <c r="P74" s="828" t="s">
        <v>22</v>
      </c>
      <c r="Q74" s="1535" t="s">
        <v>968</v>
      </c>
      <c r="R74" s="1645"/>
      <c r="S74" s="1645"/>
      <c r="T74" s="1645"/>
      <c r="U74" s="1645"/>
      <c r="V74" s="1645"/>
      <c r="W74" s="1645"/>
      <c r="X74" s="1645"/>
      <c r="Y74" s="1645"/>
      <c r="Z74" s="1645"/>
      <c r="AA74" s="685"/>
      <c r="AB74" s="1645">
        <v>0</v>
      </c>
    </row>
    <row s="1860" customFormat="1" customHeight="1" ht="15">
      <c r="A75" s="1645"/>
      <c r="B75" s="2407"/>
      <c r="C75" s="2408"/>
      <c r="D75" s="699" t="str">
        <f>B73&amp;".3"</f>
        <v>3.13.3</v>
      </c>
      <c r="E75" s="1677" t="s">
        <v>969</v>
      </c>
      <c r="F75" s="2273" t="s">
        <v>328</v>
      </c>
      <c r="G75" s="1748" t="s">
        <v>22</v>
      </c>
      <c r="H75" s="828" t="s">
        <v>22</v>
      </c>
      <c r="I75" s="1748" t="s">
        <v>22</v>
      </c>
      <c r="J75" s="828" t="s">
        <v>22</v>
      </c>
      <c r="K75" s="1748" t="s">
        <v>22</v>
      </c>
      <c r="L75" s="828" t="s">
        <v>22</v>
      </c>
      <c r="M75" s="1748" t="s">
        <v>22</v>
      </c>
      <c r="N75" s="828" t="s">
        <v>22</v>
      </c>
      <c r="O75" s="1748" t="s">
        <v>22</v>
      </c>
      <c r="P75" s="828" t="s">
        <v>22</v>
      </c>
      <c r="Q75" s="1535" t="s">
        <v>970</v>
      </c>
      <c r="R75" s="1645"/>
      <c r="S75" s="1645"/>
      <c r="T75" s="1645"/>
      <c r="U75" s="1645"/>
      <c r="V75" s="1645"/>
      <c r="W75" s="1645"/>
      <c r="X75" s="1645"/>
      <c r="Y75" s="1645"/>
      <c r="Z75" s="1645"/>
      <c r="AA75" s="685"/>
      <c r="AB75" s="1645">
        <v>0</v>
      </c>
    </row>
    <row s="1860" customFormat="1" customHeight="1" ht="22.5">
      <c r="A76" s="1645"/>
      <c r="B76" s="2407" t="s">
        <v>997</v>
      </c>
      <c r="C76" s="2408" t="s">
        <v>105</v>
      </c>
      <c r="D76" s="699" t="str">
        <f>B76&amp;".1"</f>
        <v>3.14.1</v>
      </c>
      <c r="E76" s="1677" t="s">
        <v>966</v>
      </c>
      <c r="F76" s="2273" t="s">
        <v>328</v>
      </c>
      <c r="G76" s="2363" t="s">
        <v>22</v>
      </c>
      <c r="H76" s="828" t="s">
        <v>22</v>
      </c>
      <c r="I76" s="2363" t="s">
        <v>983</v>
      </c>
      <c r="J76" s="828" t="s">
        <v>22</v>
      </c>
      <c r="K76" s="2363" t="s">
        <v>988</v>
      </c>
      <c r="L76" s="828" t="s">
        <v>22</v>
      </c>
      <c r="M76" s="2363" t="s">
        <v>983</v>
      </c>
      <c r="N76" s="828" t="s">
        <v>22</v>
      </c>
      <c r="O76" s="2363" t="s">
        <v>983</v>
      </c>
      <c r="P76" s="828" t="s">
        <v>22</v>
      </c>
      <c r="Q76" s="1535"/>
      <c r="R76" s="1645"/>
      <c r="S76" s="1645"/>
      <c r="T76" s="1645"/>
      <c r="U76" s="1645"/>
      <c r="V76" s="1645"/>
      <c r="W76" s="1645"/>
      <c r="X76" s="1645"/>
      <c r="Y76" s="1645"/>
      <c r="Z76" s="1645"/>
      <c r="AA76" s="685"/>
      <c r="AB76" s="1645">
        <v>0</v>
      </c>
    </row>
    <row s="1860" customFormat="1" customHeight="1" ht="15">
      <c r="A77" s="1645"/>
      <c r="B77" s="2407"/>
      <c r="C77" s="2408"/>
      <c r="D77" s="699" t="str">
        <f>B76&amp;".2"</f>
        <v>3.14.2</v>
      </c>
      <c r="E77" s="1677" t="s">
        <v>967</v>
      </c>
      <c r="F77" s="2273" t="s">
        <v>328</v>
      </c>
      <c r="G77" s="1748" t="s">
        <v>22</v>
      </c>
      <c r="H77" s="828" t="s">
        <v>22</v>
      </c>
      <c r="I77" s="1748">
        <v>46132</v>
      </c>
      <c r="J77" s="828" t="s">
        <v>22</v>
      </c>
      <c r="K77" s="1748">
        <v>46160</v>
      </c>
      <c r="L77" s="828" t="s">
        <v>22</v>
      </c>
      <c r="M77" s="1748">
        <v>46157</v>
      </c>
      <c r="N77" s="828" t="s">
        <v>22</v>
      </c>
      <c r="O77" s="1748">
        <v>46139</v>
      </c>
      <c r="P77" s="828" t="s">
        <v>22</v>
      </c>
      <c r="Q77" s="1535" t="s">
        <v>968</v>
      </c>
      <c r="R77" s="1645"/>
      <c r="S77" s="1645"/>
      <c r="T77" s="1645"/>
      <c r="U77" s="1645"/>
      <c r="V77" s="1645"/>
      <c r="W77" s="1645"/>
      <c r="X77" s="1645"/>
      <c r="Y77" s="1645"/>
      <c r="Z77" s="1645"/>
      <c r="AA77" s="685"/>
      <c r="AB77" s="1645">
        <v>0</v>
      </c>
    </row>
    <row s="1860" customFormat="1" customHeight="1" ht="15">
      <c r="A78" s="1645"/>
      <c r="B78" s="2407"/>
      <c r="C78" s="2408"/>
      <c r="D78" s="699" t="str">
        <f>B76&amp;".3"</f>
        <v>3.14.3</v>
      </c>
      <c r="E78" s="1677" t="s">
        <v>969</v>
      </c>
      <c r="F78" s="2273" t="s">
        <v>328</v>
      </c>
      <c r="G78" s="1748" t="s">
        <v>22</v>
      </c>
      <c r="H78" s="828" t="s">
        <v>22</v>
      </c>
      <c r="I78" s="1748" t="s">
        <v>22</v>
      </c>
      <c r="J78" s="828" t="s">
        <v>22</v>
      </c>
      <c r="K78" s="1748" t="s">
        <v>22</v>
      </c>
      <c r="L78" s="828" t="s">
        <v>22</v>
      </c>
      <c r="M78" s="1748" t="s">
        <v>22</v>
      </c>
      <c r="N78" s="828" t="s">
        <v>22</v>
      </c>
      <c r="O78" s="1748" t="s">
        <v>22</v>
      </c>
      <c r="P78" s="828" t="s">
        <v>22</v>
      </c>
      <c r="Q78" s="1535" t="s">
        <v>970</v>
      </c>
      <c r="R78" s="1645"/>
      <c r="S78" s="1645"/>
      <c r="T78" s="1645"/>
      <c r="U78" s="1645"/>
      <c r="V78" s="1645"/>
      <c r="W78" s="1645"/>
      <c r="X78" s="1645"/>
      <c r="Y78" s="1645"/>
      <c r="Z78" s="1645"/>
      <c r="AA78" s="685"/>
      <c r="AB78" s="1645">
        <v>0</v>
      </c>
    </row>
    <row s="1860" customFormat="1" customHeight="1" ht="22.5">
      <c r="A79" s="1645"/>
      <c r="B79" s="2407" t="s">
        <v>998</v>
      </c>
      <c r="C79" s="2408" t="s">
        <v>105</v>
      </c>
      <c r="D79" s="699" t="str">
        <f>B79&amp;".1"</f>
        <v>3.15.1</v>
      </c>
      <c r="E79" s="1677" t="s">
        <v>966</v>
      </c>
      <c r="F79" s="2273" t="s">
        <v>328</v>
      </c>
      <c r="G79" s="2363" t="s">
        <v>22</v>
      </c>
      <c r="H79" s="828" t="s">
        <v>22</v>
      </c>
      <c r="I79" s="2363" t="s">
        <v>983</v>
      </c>
      <c r="J79" s="828" t="s">
        <v>22</v>
      </c>
      <c r="K79" s="2363" t="s">
        <v>983</v>
      </c>
      <c r="L79" s="828" t="s">
        <v>22</v>
      </c>
      <c r="M79" s="2363" t="s">
        <v>983</v>
      </c>
      <c r="N79" s="828" t="s">
        <v>22</v>
      </c>
      <c r="O79" s="2363" t="s">
        <v>999</v>
      </c>
      <c r="P79" s="828" t="s">
        <v>22</v>
      </c>
      <c r="Q79" s="1535"/>
      <c r="R79" s="1645"/>
      <c r="S79" s="1645"/>
      <c r="T79" s="1645"/>
      <c r="U79" s="1645"/>
      <c r="V79" s="1645"/>
      <c r="W79" s="1645"/>
      <c r="X79" s="1645"/>
      <c r="Y79" s="1645"/>
      <c r="Z79" s="1645"/>
      <c r="AA79" s="685"/>
      <c r="AB79" s="1645">
        <v>0</v>
      </c>
    </row>
    <row s="1860" customFormat="1" customHeight="1" ht="15">
      <c r="A80" s="1645"/>
      <c r="B80" s="2407"/>
      <c r="C80" s="2408"/>
      <c r="D80" s="699" t="str">
        <f>B79&amp;".2"</f>
        <v>3.15.2</v>
      </c>
      <c r="E80" s="1677" t="s">
        <v>967</v>
      </c>
      <c r="F80" s="2273" t="s">
        <v>328</v>
      </c>
      <c r="G80" s="1748" t="s">
        <v>22</v>
      </c>
      <c r="H80" s="828" t="s">
        <v>22</v>
      </c>
      <c r="I80" s="1748">
        <v>46132</v>
      </c>
      <c r="J80" s="828" t="s">
        <v>22</v>
      </c>
      <c r="K80" s="1748">
        <v>46160</v>
      </c>
      <c r="L80" s="828" t="s">
        <v>22</v>
      </c>
      <c r="M80" s="1748">
        <v>46157</v>
      </c>
      <c r="N80" s="828" t="s">
        <v>22</v>
      </c>
      <c r="O80" s="1748">
        <v>46139</v>
      </c>
      <c r="P80" s="828" t="s">
        <v>22</v>
      </c>
      <c r="Q80" s="1535" t="s">
        <v>968</v>
      </c>
      <c r="R80" s="1645"/>
      <c r="S80" s="1645"/>
      <c r="T80" s="1645"/>
      <c r="U80" s="1645"/>
      <c r="V80" s="1645"/>
      <c r="W80" s="1645"/>
      <c r="X80" s="1645"/>
      <c r="Y80" s="1645"/>
      <c r="Z80" s="1645"/>
      <c r="AA80" s="685"/>
      <c r="AB80" s="1645">
        <v>0</v>
      </c>
    </row>
    <row s="1860" customFormat="1" customHeight="1" ht="15">
      <c r="A81" s="1645"/>
      <c r="B81" s="2407"/>
      <c r="C81" s="2408"/>
      <c r="D81" s="699" t="str">
        <f>B79&amp;".3"</f>
        <v>3.15.3</v>
      </c>
      <c r="E81" s="1677" t="s">
        <v>969</v>
      </c>
      <c r="F81" s="2273" t="s">
        <v>328</v>
      </c>
      <c r="G81" s="1748" t="s">
        <v>22</v>
      </c>
      <c r="H81" s="828" t="s">
        <v>22</v>
      </c>
      <c r="I81" s="1748" t="s">
        <v>22</v>
      </c>
      <c r="J81" s="828" t="s">
        <v>22</v>
      </c>
      <c r="K81" s="1748" t="s">
        <v>22</v>
      </c>
      <c r="L81" s="828" t="s">
        <v>22</v>
      </c>
      <c r="M81" s="1748" t="s">
        <v>22</v>
      </c>
      <c r="N81" s="828" t="s">
        <v>22</v>
      </c>
      <c r="O81" s="1748" t="s">
        <v>22</v>
      </c>
      <c r="P81" s="828" t="s">
        <v>22</v>
      </c>
      <c r="Q81" s="1535" t="s">
        <v>970</v>
      </c>
      <c r="R81" s="1645"/>
      <c r="S81" s="1645"/>
      <c r="T81" s="1645"/>
      <c r="U81" s="1645"/>
      <c r="V81" s="1645"/>
      <c r="W81" s="1645"/>
      <c r="X81" s="1645"/>
      <c r="Y81" s="1645"/>
      <c r="Z81" s="1645"/>
      <c r="AA81" s="685"/>
      <c r="AB81" s="1645">
        <v>0</v>
      </c>
    </row>
    <row s="1860" customFormat="1" customHeight="1" ht="22.5">
      <c r="A82" s="1645"/>
      <c r="B82" s="2407" t="s">
        <v>1000</v>
      </c>
      <c r="C82" s="2408" t="s">
        <v>105</v>
      </c>
      <c r="D82" s="699" t="str">
        <f>B82&amp;".1"</f>
        <v>3.16.1</v>
      </c>
      <c r="E82" s="1677" t="s">
        <v>966</v>
      </c>
      <c r="F82" s="2273" t="s">
        <v>328</v>
      </c>
      <c r="G82" s="2363" t="s">
        <v>22</v>
      </c>
      <c r="H82" s="828" t="s">
        <v>22</v>
      </c>
      <c r="I82" s="2363" t="s">
        <v>983</v>
      </c>
      <c r="J82" s="828" t="s">
        <v>22</v>
      </c>
      <c r="K82" s="2363" t="s">
        <v>983</v>
      </c>
      <c r="L82" s="828" t="s">
        <v>22</v>
      </c>
      <c r="M82" s="2363" t="s">
        <v>983</v>
      </c>
      <c r="N82" s="828" t="s">
        <v>22</v>
      </c>
      <c r="O82" s="2363" t="s">
        <v>983</v>
      </c>
      <c r="P82" s="828" t="s">
        <v>22</v>
      </c>
      <c r="Q82" s="1535"/>
      <c r="R82" s="1645"/>
      <c r="S82" s="1645"/>
      <c r="T82" s="1645"/>
      <c r="U82" s="1645"/>
      <c r="V82" s="1645"/>
      <c r="W82" s="1645"/>
      <c r="X82" s="1645"/>
      <c r="Y82" s="1645"/>
      <c r="Z82" s="1645"/>
      <c r="AA82" s="685"/>
      <c r="AB82" s="1645">
        <v>0</v>
      </c>
    </row>
    <row s="1860" customFormat="1" customHeight="1" ht="15">
      <c r="A83" s="1645"/>
      <c r="B83" s="2407"/>
      <c r="C83" s="2408"/>
      <c r="D83" s="699" t="str">
        <f>B82&amp;".2"</f>
        <v>3.16.2</v>
      </c>
      <c r="E83" s="1677" t="s">
        <v>967</v>
      </c>
      <c r="F83" s="2273" t="s">
        <v>328</v>
      </c>
      <c r="G83" s="1748" t="s">
        <v>22</v>
      </c>
      <c r="H83" s="828" t="s">
        <v>22</v>
      </c>
      <c r="I83" s="1748">
        <v>46132</v>
      </c>
      <c r="J83" s="828" t="s">
        <v>22</v>
      </c>
      <c r="K83" s="1748">
        <v>46160</v>
      </c>
      <c r="L83" s="828" t="s">
        <v>22</v>
      </c>
      <c r="M83" s="1748">
        <v>46162</v>
      </c>
      <c r="N83" s="828" t="s">
        <v>22</v>
      </c>
      <c r="O83" s="1748">
        <v>46139</v>
      </c>
      <c r="P83" s="828" t="s">
        <v>22</v>
      </c>
      <c r="Q83" s="1535" t="s">
        <v>968</v>
      </c>
      <c r="R83" s="1645"/>
      <c r="S83" s="1645"/>
      <c r="T83" s="1645"/>
      <c r="U83" s="1645"/>
      <c r="V83" s="1645"/>
      <c r="W83" s="1645"/>
      <c r="X83" s="1645"/>
      <c r="Y83" s="1645"/>
      <c r="Z83" s="1645"/>
      <c r="AA83" s="685"/>
      <c r="AB83" s="1645">
        <v>0</v>
      </c>
    </row>
    <row s="1860" customFormat="1" customHeight="1" ht="15">
      <c r="A84" s="1645"/>
      <c r="B84" s="2407"/>
      <c r="C84" s="2408"/>
      <c r="D84" s="699" t="str">
        <f>B82&amp;".3"</f>
        <v>3.16.3</v>
      </c>
      <c r="E84" s="1677" t="s">
        <v>969</v>
      </c>
      <c r="F84" s="2273" t="s">
        <v>328</v>
      </c>
      <c r="G84" s="1748" t="s">
        <v>22</v>
      </c>
      <c r="H84" s="828" t="s">
        <v>22</v>
      </c>
      <c r="I84" s="1748" t="s">
        <v>22</v>
      </c>
      <c r="J84" s="828" t="s">
        <v>22</v>
      </c>
      <c r="K84" s="1748"/>
      <c r="L84" s="828" t="s">
        <v>22</v>
      </c>
      <c r="M84" s="1748" t="s">
        <v>22</v>
      </c>
      <c r="N84" s="828" t="s">
        <v>22</v>
      </c>
      <c r="O84" s="1748" t="s">
        <v>22</v>
      </c>
      <c r="P84" s="828" t="s">
        <v>22</v>
      </c>
      <c r="Q84" s="1535" t="s">
        <v>970</v>
      </c>
      <c r="R84" s="1645"/>
      <c r="S84" s="1645"/>
      <c r="T84" s="1645"/>
      <c r="U84" s="1645"/>
      <c r="V84" s="1645"/>
      <c r="W84" s="1645"/>
      <c r="X84" s="1645"/>
      <c r="Y84" s="1645"/>
      <c r="Z84" s="1645"/>
      <c r="AA84" s="685"/>
      <c r="AB84" s="1645">
        <v>0</v>
      </c>
    </row>
    <row s="1860" customFormat="1" customHeight="1" ht="22.5">
      <c r="A85" s="1645"/>
      <c r="B85" s="2407" t="s">
        <v>1001</v>
      </c>
      <c r="C85" s="2408" t="s">
        <v>105</v>
      </c>
      <c r="D85" s="699" t="str">
        <f>B85&amp;".1"</f>
        <v>3.17.1</v>
      </c>
      <c r="E85" s="1677" t="s">
        <v>966</v>
      </c>
      <c r="F85" s="2273" t="s">
        <v>328</v>
      </c>
      <c r="G85" s="2363" t="s">
        <v>22</v>
      </c>
      <c r="H85" s="828" t="s">
        <v>22</v>
      </c>
      <c r="I85" s="2363" t="s">
        <v>983</v>
      </c>
      <c r="J85" s="828" t="s">
        <v>22</v>
      </c>
      <c r="K85" s="2363" t="s">
        <v>983</v>
      </c>
      <c r="L85" s="828" t="s">
        <v>22</v>
      </c>
      <c r="M85" s="2363" t="s">
        <v>983</v>
      </c>
      <c r="N85" s="828" t="s">
        <v>22</v>
      </c>
      <c r="O85" s="2363" t="s">
        <v>983</v>
      </c>
      <c r="P85" s="828" t="s">
        <v>22</v>
      </c>
      <c r="Q85" s="1535"/>
      <c r="R85" s="1645"/>
      <c r="S85" s="1645"/>
      <c r="T85" s="1645"/>
      <c r="U85" s="1645"/>
      <c r="V85" s="1645"/>
      <c r="W85" s="1645"/>
      <c r="X85" s="1645"/>
      <c r="Y85" s="1645"/>
      <c r="Z85" s="1645"/>
      <c r="AA85" s="685"/>
      <c r="AB85" s="1645">
        <v>0</v>
      </c>
    </row>
    <row s="1860" customFormat="1" customHeight="1" ht="15">
      <c r="A86" s="1645"/>
      <c r="B86" s="2407"/>
      <c r="C86" s="2408"/>
      <c r="D86" s="699" t="str">
        <f>B85&amp;".2"</f>
        <v>3.17.2</v>
      </c>
      <c r="E86" s="1677" t="s">
        <v>967</v>
      </c>
      <c r="F86" s="2273" t="s">
        <v>328</v>
      </c>
      <c r="G86" s="1748" t="s">
        <v>22</v>
      </c>
      <c r="H86" s="828" t="s">
        <v>22</v>
      </c>
      <c r="I86" s="1748">
        <v>46133</v>
      </c>
      <c r="J86" s="828" t="s">
        <v>22</v>
      </c>
      <c r="K86" s="1748">
        <v>46160</v>
      </c>
      <c r="L86" s="828" t="s">
        <v>22</v>
      </c>
      <c r="M86" s="1748">
        <v>46162</v>
      </c>
      <c r="N86" s="828" t="s">
        <v>22</v>
      </c>
      <c r="O86" s="1748">
        <v>46139</v>
      </c>
      <c r="P86" s="828" t="s">
        <v>22</v>
      </c>
      <c r="Q86" s="1535" t="s">
        <v>968</v>
      </c>
      <c r="R86" s="1645"/>
      <c r="S86" s="1645"/>
      <c r="T86" s="1645"/>
      <c r="U86" s="1645"/>
      <c r="V86" s="1645"/>
      <c r="W86" s="1645"/>
      <c r="X86" s="1645"/>
      <c r="Y86" s="1645"/>
      <c r="Z86" s="1645"/>
      <c r="AA86" s="685"/>
      <c r="AB86" s="1645">
        <v>0</v>
      </c>
    </row>
    <row s="1860" customFormat="1" customHeight="1" ht="15">
      <c r="A87" s="1645"/>
      <c r="B87" s="2407"/>
      <c r="C87" s="2408"/>
      <c r="D87" s="699" t="str">
        <f>B85&amp;".3"</f>
        <v>3.17.3</v>
      </c>
      <c r="E87" s="1677" t="s">
        <v>969</v>
      </c>
      <c r="F87" s="2273" t="s">
        <v>328</v>
      </c>
      <c r="G87" s="1748" t="s">
        <v>22</v>
      </c>
      <c r="H87" s="828" t="s">
        <v>22</v>
      </c>
      <c r="I87" s="1748" t="s">
        <v>22</v>
      </c>
      <c r="J87" s="828" t="s">
        <v>22</v>
      </c>
      <c r="K87" s="1748" t="s">
        <v>22</v>
      </c>
      <c r="L87" s="828" t="s">
        <v>22</v>
      </c>
      <c r="M87" s="1748" t="s">
        <v>22</v>
      </c>
      <c r="N87" s="828" t="s">
        <v>22</v>
      </c>
      <c r="O87" s="1748" t="s">
        <v>22</v>
      </c>
      <c r="P87" s="828" t="s">
        <v>22</v>
      </c>
      <c r="Q87" s="1535" t="s">
        <v>970</v>
      </c>
      <c r="R87" s="1645"/>
      <c r="S87" s="1645"/>
      <c r="T87" s="1645"/>
      <c r="U87" s="1645"/>
      <c r="V87" s="1645"/>
      <c r="W87" s="1645"/>
      <c r="X87" s="1645"/>
      <c r="Y87" s="1645"/>
      <c r="Z87" s="1645"/>
      <c r="AA87" s="685"/>
      <c r="AB87" s="1645">
        <v>0</v>
      </c>
    </row>
    <row s="1860" customFormat="1" customHeight="1" ht="22.5">
      <c r="A88" s="1645"/>
      <c r="B88" s="2407" t="s">
        <v>1002</v>
      </c>
      <c r="C88" s="2408" t="s">
        <v>105</v>
      </c>
      <c r="D88" s="699" t="str">
        <f>B88&amp;".1"</f>
        <v>3.18.1</v>
      </c>
      <c r="E88" s="1677" t="s">
        <v>966</v>
      </c>
      <c r="F88" s="2273" t="s">
        <v>328</v>
      </c>
      <c r="G88" s="2363" t="s">
        <v>22</v>
      </c>
      <c r="H88" s="828" t="s">
        <v>22</v>
      </c>
      <c r="I88" s="2363" t="s">
        <v>992</v>
      </c>
      <c r="J88" s="828" t="s">
        <v>22</v>
      </c>
      <c r="K88" s="2363" t="s">
        <v>983</v>
      </c>
      <c r="L88" s="828" t="s">
        <v>22</v>
      </c>
      <c r="M88" s="2363" t="s">
        <v>983</v>
      </c>
      <c r="N88" s="828" t="s">
        <v>22</v>
      </c>
      <c r="O88" s="2363" t="s">
        <v>983</v>
      </c>
      <c r="P88" s="828" t="s">
        <v>22</v>
      </c>
      <c r="Q88" s="1535"/>
      <c r="R88" s="1645"/>
      <c r="S88" s="1645"/>
      <c r="T88" s="1645"/>
      <c r="U88" s="1645"/>
      <c r="V88" s="1645"/>
      <c r="W88" s="1645"/>
      <c r="X88" s="1645"/>
      <c r="Y88" s="1645"/>
      <c r="Z88" s="1645"/>
      <c r="AA88" s="685"/>
      <c r="AB88" s="1645">
        <v>0</v>
      </c>
    </row>
    <row s="1860" customFormat="1" customHeight="1" ht="15">
      <c r="A89" s="1645"/>
      <c r="B89" s="2407"/>
      <c r="C89" s="2408"/>
      <c r="D89" s="699" t="str">
        <f>B88&amp;".2"</f>
        <v>3.18.2</v>
      </c>
      <c r="E89" s="1677" t="s">
        <v>967</v>
      </c>
      <c r="F89" s="2273" t="s">
        <v>328</v>
      </c>
      <c r="G89" s="1748" t="s">
        <v>22</v>
      </c>
      <c r="H89" s="828" t="s">
        <v>22</v>
      </c>
      <c r="I89" s="1748">
        <v>46135</v>
      </c>
      <c r="J89" s="828" t="s">
        <v>22</v>
      </c>
      <c r="K89" s="1748">
        <v>46160</v>
      </c>
      <c r="L89" s="828" t="s">
        <v>22</v>
      </c>
      <c r="M89" s="1748">
        <v>46164</v>
      </c>
      <c r="N89" s="828" t="s">
        <v>22</v>
      </c>
      <c r="O89" s="1748">
        <v>46139</v>
      </c>
      <c r="P89" s="828" t="s">
        <v>22</v>
      </c>
      <c r="Q89" s="1535" t="s">
        <v>968</v>
      </c>
      <c r="R89" s="1645"/>
      <c r="S89" s="1645"/>
      <c r="T89" s="1645"/>
      <c r="U89" s="1645"/>
      <c r="V89" s="1645"/>
      <c r="W89" s="1645"/>
      <c r="X89" s="1645"/>
      <c r="Y89" s="1645"/>
      <c r="Z89" s="1645"/>
      <c r="AA89" s="685"/>
      <c r="AB89" s="1645">
        <v>0</v>
      </c>
    </row>
    <row s="1860" customFormat="1" customHeight="1" ht="15">
      <c r="A90" s="1645"/>
      <c r="B90" s="2407"/>
      <c r="C90" s="2408"/>
      <c r="D90" s="699" t="str">
        <f>B88&amp;".3"</f>
        <v>3.18.3</v>
      </c>
      <c r="E90" s="1677" t="s">
        <v>969</v>
      </c>
      <c r="F90" s="2273" t="s">
        <v>328</v>
      </c>
      <c r="G90" s="1748" t="s">
        <v>22</v>
      </c>
      <c r="H90" s="828" t="s">
        <v>22</v>
      </c>
      <c r="I90" s="1748" t="s">
        <v>22</v>
      </c>
      <c r="J90" s="828" t="s">
        <v>22</v>
      </c>
      <c r="K90" s="1748" t="s">
        <v>22</v>
      </c>
      <c r="L90" s="828" t="s">
        <v>22</v>
      </c>
      <c r="M90" s="1748" t="s">
        <v>22</v>
      </c>
      <c r="N90" s="828" t="s">
        <v>22</v>
      </c>
      <c r="O90" s="1748" t="s">
        <v>22</v>
      </c>
      <c r="P90" s="828" t="s">
        <v>22</v>
      </c>
      <c r="Q90" s="1535" t="s">
        <v>970</v>
      </c>
      <c r="R90" s="1645"/>
      <c r="S90" s="1645"/>
      <c r="T90" s="1645"/>
      <c r="U90" s="1645"/>
      <c r="V90" s="1645"/>
      <c r="W90" s="1645"/>
      <c r="X90" s="1645"/>
      <c r="Y90" s="1645"/>
      <c r="Z90" s="1645"/>
      <c r="AA90" s="685"/>
      <c r="AB90" s="1645">
        <v>0</v>
      </c>
    </row>
    <row s="1860" customFormat="1" customHeight="1" ht="22.5">
      <c r="A91" s="1645"/>
      <c r="B91" s="2407" t="s">
        <v>1003</v>
      </c>
      <c r="C91" s="2408" t="s">
        <v>105</v>
      </c>
      <c r="D91" s="699" t="str">
        <f>B91&amp;".1"</f>
        <v>3.19.1</v>
      </c>
      <c r="E91" s="1677" t="s">
        <v>966</v>
      </c>
      <c r="F91" s="2273" t="s">
        <v>328</v>
      </c>
      <c r="G91" s="2363" t="s">
        <v>22</v>
      </c>
      <c r="H91" s="828" t="s">
        <v>22</v>
      </c>
      <c r="I91" s="2363" t="s">
        <v>983</v>
      </c>
      <c r="J91" s="828" t="s">
        <v>22</v>
      </c>
      <c r="K91" s="2363" t="s">
        <v>983</v>
      </c>
      <c r="L91" s="828" t="s">
        <v>22</v>
      </c>
      <c r="M91" s="2363" t="s">
        <v>1004</v>
      </c>
      <c r="N91" s="828" t="s">
        <v>22</v>
      </c>
      <c r="O91" s="2363" t="s">
        <v>983</v>
      </c>
      <c r="P91" s="828" t="s">
        <v>22</v>
      </c>
      <c r="Q91" s="1535"/>
      <c r="R91" s="1645"/>
      <c r="S91" s="1645"/>
      <c r="T91" s="1645"/>
      <c r="U91" s="1645"/>
      <c r="V91" s="1645"/>
      <c r="W91" s="1645"/>
      <c r="X91" s="1645"/>
      <c r="Y91" s="1645"/>
      <c r="Z91" s="1645"/>
      <c r="AA91" s="685"/>
      <c r="AB91" s="1645">
        <v>0</v>
      </c>
    </row>
    <row s="1860" customFormat="1" customHeight="1" ht="15">
      <c r="A92" s="1645"/>
      <c r="B92" s="2407"/>
      <c r="C92" s="2408"/>
      <c r="D92" s="699" t="str">
        <f>B91&amp;".2"</f>
        <v>3.19.2</v>
      </c>
      <c r="E92" s="1677" t="s">
        <v>967</v>
      </c>
      <c r="F92" s="2273" t="s">
        <v>328</v>
      </c>
      <c r="G92" s="1748" t="s">
        <v>22</v>
      </c>
      <c r="H92" s="828" t="s">
        <v>22</v>
      </c>
      <c r="I92" s="1748">
        <v>46135</v>
      </c>
      <c r="J92" s="828" t="s">
        <v>22</v>
      </c>
      <c r="K92" s="1748">
        <v>46160</v>
      </c>
      <c r="L92" s="828" t="s">
        <v>22</v>
      </c>
      <c r="M92" s="1748">
        <v>46164</v>
      </c>
      <c r="N92" s="828" t="s">
        <v>22</v>
      </c>
      <c r="O92" s="1748">
        <v>46140</v>
      </c>
      <c r="P92" s="828" t="s">
        <v>22</v>
      </c>
      <c r="Q92" s="1535" t="s">
        <v>968</v>
      </c>
      <c r="R92" s="1645"/>
      <c r="S92" s="1645"/>
      <c r="T92" s="1645"/>
      <c r="U92" s="1645"/>
      <c r="V92" s="1645"/>
      <c r="W92" s="1645"/>
      <c r="X92" s="1645"/>
      <c r="Y92" s="1645"/>
      <c r="Z92" s="1645"/>
      <c r="AA92" s="685"/>
      <c r="AB92" s="1645">
        <v>0</v>
      </c>
    </row>
    <row s="1860" customFormat="1" customHeight="1" ht="15">
      <c r="A93" s="1645"/>
      <c r="B93" s="2407"/>
      <c r="C93" s="2408"/>
      <c r="D93" s="699" t="str">
        <f>B91&amp;".3"</f>
        <v>3.19.3</v>
      </c>
      <c r="E93" s="1677" t="s">
        <v>969</v>
      </c>
      <c r="F93" s="2273" t="s">
        <v>328</v>
      </c>
      <c r="G93" s="1748" t="s">
        <v>22</v>
      </c>
      <c r="H93" s="828" t="s">
        <v>22</v>
      </c>
      <c r="I93" s="1748" t="s">
        <v>22</v>
      </c>
      <c r="J93" s="828" t="s">
        <v>22</v>
      </c>
      <c r="K93" s="1748" t="s">
        <v>22</v>
      </c>
      <c r="L93" s="828" t="s">
        <v>22</v>
      </c>
      <c r="M93" s="1748" t="s">
        <v>22</v>
      </c>
      <c r="N93" s="828" t="s">
        <v>22</v>
      </c>
      <c r="O93" s="1748" t="s">
        <v>22</v>
      </c>
      <c r="P93" s="828" t="s">
        <v>22</v>
      </c>
      <c r="Q93" s="1535" t="s">
        <v>970</v>
      </c>
      <c r="R93" s="1645"/>
      <c r="S93" s="1645"/>
      <c r="T93" s="1645"/>
      <c r="U93" s="1645"/>
      <c r="V93" s="1645"/>
      <c r="W93" s="1645"/>
      <c r="X93" s="1645"/>
      <c r="Y93" s="1645"/>
      <c r="Z93" s="1645"/>
      <c r="AA93" s="685"/>
      <c r="AB93" s="1645">
        <v>0</v>
      </c>
    </row>
    <row s="1860" customFormat="1" customHeight="1" ht="22.5">
      <c r="A94" s="1645"/>
      <c r="B94" s="2407" t="s">
        <v>1005</v>
      </c>
      <c r="C94" s="2408" t="s">
        <v>105</v>
      </c>
      <c r="D94" s="699" t="str">
        <f>B94&amp;".1"</f>
        <v>3.20.1</v>
      </c>
      <c r="E94" s="1677" t="s">
        <v>966</v>
      </c>
      <c r="F94" s="2273" t="s">
        <v>328</v>
      </c>
      <c r="G94" s="2363" t="s">
        <v>22</v>
      </c>
      <c r="H94" s="828" t="s">
        <v>22</v>
      </c>
      <c r="I94" s="2363" t="s">
        <v>983</v>
      </c>
      <c r="J94" s="828" t="s">
        <v>22</v>
      </c>
      <c r="K94" s="2363" t="s">
        <v>983</v>
      </c>
      <c r="L94" s="828" t="s">
        <v>22</v>
      </c>
      <c r="M94" s="2363" t="s">
        <v>983</v>
      </c>
      <c r="N94" s="828" t="s">
        <v>22</v>
      </c>
      <c r="O94" s="2363" t="s">
        <v>1006</v>
      </c>
      <c r="P94" s="828" t="s">
        <v>22</v>
      </c>
      <c r="Q94" s="1535"/>
      <c r="R94" s="1645"/>
      <c r="S94" s="1645"/>
      <c r="T94" s="1645"/>
      <c r="U94" s="1645"/>
      <c r="V94" s="1645"/>
      <c r="W94" s="1645"/>
      <c r="X94" s="1645"/>
      <c r="Y94" s="1645"/>
      <c r="Z94" s="1645"/>
      <c r="AA94" s="685"/>
      <c r="AB94" s="1645">
        <v>0</v>
      </c>
    </row>
    <row s="1860" customFormat="1" customHeight="1" ht="15">
      <c r="A95" s="1645"/>
      <c r="B95" s="2407"/>
      <c r="C95" s="2408"/>
      <c r="D95" s="699" t="str">
        <f>B94&amp;".2"</f>
        <v>3.20.2</v>
      </c>
      <c r="E95" s="1677" t="s">
        <v>967</v>
      </c>
      <c r="F95" s="2273" t="s">
        <v>328</v>
      </c>
      <c r="G95" s="1748" t="s">
        <v>22</v>
      </c>
      <c r="H95" s="828" t="s">
        <v>22</v>
      </c>
      <c r="I95" s="1748">
        <v>46136</v>
      </c>
      <c r="J95" s="828" t="s">
        <v>22</v>
      </c>
      <c r="K95" s="1748">
        <v>46160</v>
      </c>
      <c r="L95" s="828" t="s">
        <v>22</v>
      </c>
      <c r="M95" s="1748">
        <v>46169</v>
      </c>
      <c r="N95" s="828" t="s">
        <v>22</v>
      </c>
      <c r="O95" s="1748">
        <v>46141</v>
      </c>
      <c r="P95" s="828" t="s">
        <v>22</v>
      </c>
      <c r="Q95" s="1535" t="s">
        <v>968</v>
      </c>
      <c r="R95" s="1645"/>
      <c r="S95" s="1645"/>
      <c r="T95" s="1645"/>
      <c r="U95" s="1645"/>
      <c r="V95" s="1645"/>
      <c r="W95" s="1645"/>
      <c r="X95" s="1645"/>
      <c r="Y95" s="1645"/>
      <c r="Z95" s="1645"/>
      <c r="AA95" s="685"/>
      <c r="AB95" s="1645">
        <v>0</v>
      </c>
    </row>
    <row s="1860" customFormat="1" customHeight="1" ht="15">
      <c r="A96" s="1645"/>
      <c r="B96" s="2407"/>
      <c r="C96" s="2408"/>
      <c r="D96" s="699" t="str">
        <f>B94&amp;".3"</f>
        <v>3.20.3</v>
      </c>
      <c r="E96" s="1677" t="s">
        <v>969</v>
      </c>
      <c r="F96" s="2273" t="s">
        <v>328</v>
      </c>
      <c r="G96" s="1748" t="s">
        <v>22</v>
      </c>
      <c r="H96" s="828" t="s">
        <v>22</v>
      </c>
      <c r="I96" s="1748" t="s">
        <v>22</v>
      </c>
      <c r="J96" s="828" t="s">
        <v>22</v>
      </c>
      <c r="K96" s="1748" t="s">
        <v>22</v>
      </c>
      <c r="L96" s="828" t="s">
        <v>22</v>
      </c>
      <c r="M96" s="1748" t="s">
        <v>22</v>
      </c>
      <c r="N96" s="828" t="s">
        <v>22</v>
      </c>
      <c r="O96" s="1748">
        <v>46142</v>
      </c>
      <c r="P96" s="828" t="s">
        <v>22</v>
      </c>
      <c r="Q96" s="1535" t="s">
        <v>970</v>
      </c>
      <c r="R96" s="1645"/>
      <c r="S96" s="1645"/>
      <c r="T96" s="1645"/>
      <c r="U96" s="1645"/>
      <c r="V96" s="1645"/>
      <c r="W96" s="1645"/>
      <c r="X96" s="1645"/>
      <c r="Y96" s="1645"/>
      <c r="Z96" s="1645"/>
      <c r="AA96" s="685"/>
      <c r="AB96" s="1645">
        <v>0</v>
      </c>
    </row>
    <row s="1860" customFormat="1" customHeight="1" ht="22.5">
      <c r="A97" s="1645"/>
      <c r="B97" s="2407" t="s">
        <v>1007</v>
      </c>
      <c r="C97" s="2408" t="s">
        <v>105</v>
      </c>
      <c r="D97" s="699" t="str">
        <f>B97&amp;".1"</f>
        <v>3.21.1</v>
      </c>
      <c r="E97" s="1677" t="s">
        <v>966</v>
      </c>
      <c r="F97" s="2273" t="s">
        <v>328</v>
      </c>
      <c r="G97" s="2363" t="s">
        <v>22</v>
      </c>
      <c r="H97" s="828" t="s">
        <v>22</v>
      </c>
      <c r="I97" s="2363" t="s">
        <v>1008</v>
      </c>
      <c r="J97" s="828" t="s">
        <v>22</v>
      </c>
      <c r="K97" s="2363" t="s">
        <v>983</v>
      </c>
      <c r="L97" s="828" t="s">
        <v>22</v>
      </c>
      <c r="M97" s="2363" t="s">
        <v>983</v>
      </c>
      <c r="N97" s="828" t="s">
        <v>22</v>
      </c>
      <c r="O97" s="2363" t="s">
        <v>983</v>
      </c>
      <c r="P97" s="828" t="s">
        <v>22</v>
      </c>
      <c r="Q97" s="1535"/>
      <c r="R97" s="1645"/>
      <c r="S97" s="1645"/>
      <c r="T97" s="1645"/>
      <c r="U97" s="1645"/>
      <c r="V97" s="1645"/>
      <c r="W97" s="1645"/>
      <c r="X97" s="1645"/>
      <c r="Y97" s="1645"/>
      <c r="Z97" s="1645"/>
      <c r="AA97" s="685"/>
      <c r="AB97" s="1645">
        <v>0</v>
      </c>
    </row>
    <row s="1860" customFormat="1" customHeight="1" ht="15">
      <c r="A98" s="1645"/>
      <c r="B98" s="2407"/>
      <c r="C98" s="2408"/>
      <c r="D98" s="699" t="str">
        <f>B97&amp;".2"</f>
        <v>3.21.2</v>
      </c>
      <c r="E98" s="1677" t="s">
        <v>967</v>
      </c>
      <c r="F98" s="2273" t="s">
        <v>328</v>
      </c>
      <c r="G98" s="1748" t="s">
        <v>22</v>
      </c>
      <c r="H98" s="828" t="s">
        <v>22</v>
      </c>
      <c r="I98" s="1748">
        <v>46136</v>
      </c>
      <c r="J98" s="828" t="s">
        <v>22</v>
      </c>
      <c r="K98" s="1748">
        <v>46160</v>
      </c>
      <c r="L98" s="828" t="s">
        <v>22</v>
      </c>
      <c r="M98" s="1748">
        <v>46174</v>
      </c>
      <c r="N98" s="828" t="s">
        <v>22</v>
      </c>
      <c r="O98" s="1748">
        <v>46142</v>
      </c>
      <c r="P98" s="828" t="s">
        <v>22</v>
      </c>
      <c r="Q98" s="1535" t="s">
        <v>968</v>
      </c>
      <c r="R98" s="1645"/>
      <c r="S98" s="1645"/>
      <c r="T98" s="1645"/>
      <c r="U98" s="1645"/>
      <c r="V98" s="1645"/>
      <c r="W98" s="1645"/>
      <c r="X98" s="1645"/>
      <c r="Y98" s="1645"/>
      <c r="Z98" s="1645"/>
      <c r="AA98" s="685"/>
      <c r="AB98" s="1645">
        <v>0</v>
      </c>
    </row>
    <row s="1860" customFormat="1" customHeight="1" ht="15">
      <c r="A99" s="1645"/>
      <c r="B99" s="2407"/>
      <c r="C99" s="2408"/>
      <c r="D99" s="699" t="str">
        <f>B97&amp;".3"</f>
        <v>3.21.3</v>
      </c>
      <c r="E99" s="1677" t="s">
        <v>969</v>
      </c>
      <c r="F99" s="2273" t="s">
        <v>328</v>
      </c>
      <c r="G99" s="1748" t="s">
        <v>22</v>
      </c>
      <c r="H99" s="828" t="s">
        <v>22</v>
      </c>
      <c r="I99" s="1748" t="s">
        <v>22</v>
      </c>
      <c r="J99" s="828" t="s">
        <v>22</v>
      </c>
      <c r="K99" s="1748" t="s">
        <v>22</v>
      </c>
      <c r="L99" s="828" t="s">
        <v>22</v>
      </c>
      <c r="M99" s="1748" t="s">
        <v>22</v>
      </c>
      <c r="N99" s="828" t="s">
        <v>22</v>
      </c>
      <c r="O99" s="1748"/>
      <c r="P99" s="828" t="s">
        <v>22</v>
      </c>
      <c r="Q99" s="1535" t="s">
        <v>970</v>
      </c>
      <c r="R99" s="1645"/>
      <c r="S99" s="1645"/>
      <c r="T99" s="1645"/>
      <c r="U99" s="1645"/>
      <c r="V99" s="1645"/>
      <c r="W99" s="1645"/>
      <c r="X99" s="1645"/>
      <c r="Y99" s="1645"/>
      <c r="Z99" s="1645"/>
      <c r="AA99" s="685"/>
      <c r="AB99" s="1645">
        <v>0</v>
      </c>
    </row>
    <row s="1860" customFormat="1" customHeight="1" ht="22.5">
      <c r="A100" s="1645"/>
      <c r="B100" s="2407" t="s">
        <v>1009</v>
      </c>
      <c r="C100" s="2408" t="s">
        <v>105</v>
      </c>
      <c r="D100" s="699" t="str">
        <f>B100&amp;".1"</f>
        <v>3.22.1</v>
      </c>
      <c r="E100" s="1677" t="s">
        <v>966</v>
      </c>
      <c r="F100" s="2273" t="s">
        <v>328</v>
      </c>
      <c r="G100" s="2363" t="s">
        <v>22</v>
      </c>
      <c r="H100" s="828" t="s">
        <v>22</v>
      </c>
      <c r="I100" s="2363" t="s">
        <v>985</v>
      </c>
      <c r="J100" s="828" t="s">
        <v>22</v>
      </c>
      <c r="K100" s="2363" t="s">
        <v>983</v>
      </c>
      <c r="L100" s="828" t="s">
        <v>22</v>
      </c>
      <c r="M100" s="2363" t="s">
        <v>988</v>
      </c>
      <c r="N100" s="828" t="s">
        <v>22</v>
      </c>
      <c r="O100" s="2363" t="s">
        <v>983</v>
      </c>
      <c r="P100" s="828" t="s">
        <v>22</v>
      </c>
      <c r="Q100" s="1535"/>
      <c r="R100" s="1645"/>
      <c r="S100" s="1645"/>
      <c r="T100" s="1645"/>
      <c r="U100" s="1645"/>
      <c r="V100" s="1645"/>
      <c r="W100" s="1645"/>
      <c r="X100" s="1645"/>
      <c r="Y100" s="1645"/>
      <c r="Z100" s="1645"/>
      <c r="AA100" s="685"/>
      <c r="AB100" s="1645">
        <v>0</v>
      </c>
    </row>
    <row s="1860" customFormat="1" customHeight="1" ht="15">
      <c r="A101" s="1645"/>
      <c r="B101" s="2407"/>
      <c r="C101" s="2408"/>
      <c r="D101" s="699" t="str">
        <f>B100&amp;".2"</f>
        <v>3.22.2</v>
      </c>
      <c r="E101" s="1677" t="s">
        <v>967</v>
      </c>
      <c r="F101" s="2273" t="s">
        <v>328</v>
      </c>
      <c r="G101" s="1748" t="s">
        <v>22</v>
      </c>
      <c r="H101" s="828" t="s">
        <v>22</v>
      </c>
      <c r="I101" s="1748">
        <v>46136</v>
      </c>
      <c r="J101" s="828" t="s">
        <v>22</v>
      </c>
      <c r="K101" s="1748">
        <v>46160</v>
      </c>
      <c r="L101" s="828" t="s">
        <v>22</v>
      </c>
      <c r="M101" s="1748">
        <v>46177</v>
      </c>
      <c r="N101" s="828" t="s">
        <v>22</v>
      </c>
      <c r="O101" s="1748">
        <v>46142</v>
      </c>
      <c r="P101" s="828" t="s">
        <v>22</v>
      </c>
      <c r="Q101" s="1535" t="s">
        <v>968</v>
      </c>
      <c r="R101" s="1645"/>
      <c r="S101" s="1645"/>
      <c r="T101" s="1645"/>
      <c r="U101" s="1645"/>
      <c r="V101" s="1645"/>
      <c r="W101" s="1645"/>
      <c r="X101" s="1645"/>
      <c r="Y101" s="1645"/>
      <c r="Z101" s="1645"/>
      <c r="AA101" s="685"/>
      <c r="AB101" s="1645">
        <v>0</v>
      </c>
    </row>
    <row s="1860" customFormat="1" customHeight="1" ht="15">
      <c r="A102" s="1645"/>
      <c r="B102" s="2407"/>
      <c r="C102" s="2408"/>
      <c r="D102" s="699" t="str">
        <f>B100&amp;".3"</f>
        <v>3.22.3</v>
      </c>
      <c r="E102" s="1677" t="s">
        <v>969</v>
      </c>
      <c r="F102" s="2273" t="s">
        <v>328</v>
      </c>
      <c r="G102" s="1748" t="s">
        <v>22</v>
      </c>
      <c r="H102" s="828" t="s">
        <v>22</v>
      </c>
      <c r="I102" s="1748" t="s">
        <v>22</v>
      </c>
      <c r="J102" s="828" t="s">
        <v>22</v>
      </c>
      <c r="K102" s="1748" t="s">
        <v>22</v>
      </c>
      <c r="L102" s="828" t="s">
        <v>22</v>
      </c>
      <c r="M102" s="1748" t="s">
        <v>22</v>
      </c>
      <c r="N102" s="828" t="s">
        <v>22</v>
      </c>
      <c r="O102" s="1748" t="s">
        <v>22</v>
      </c>
      <c r="P102" s="828" t="s">
        <v>22</v>
      </c>
      <c r="Q102" s="1535" t="s">
        <v>970</v>
      </c>
      <c r="R102" s="1645"/>
      <c r="S102" s="1645"/>
      <c r="T102" s="1645"/>
      <c r="U102" s="1645"/>
      <c r="V102" s="1645"/>
      <c r="W102" s="1645"/>
      <c r="X102" s="1645"/>
      <c r="Y102" s="1645"/>
      <c r="Z102" s="1645"/>
      <c r="AA102" s="685"/>
      <c r="AB102" s="1645">
        <v>0</v>
      </c>
    </row>
    <row s="1860" customFormat="1" customHeight="1" ht="22.5">
      <c r="A103" s="1645"/>
      <c r="B103" s="2407" t="s">
        <v>1010</v>
      </c>
      <c r="C103" s="2408" t="s">
        <v>105</v>
      </c>
      <c r="D103" s="699" t="str">
        <f>B103&amp;".1"</f>
        <v>3.23.1</v>
      </c>
      <c r="E103" s="1677" t="s">
        <v>966</v>
      </c>
      <c r="F103" s="2273" t="s">
        <v>328</v>
      </c>
      <c r="G103" s="2363" t="s">
        <v>22</v>
      </c>
      <c r="H103" s="828" t="s">
        <v>22</v>
      </c>
      <c r="I103" s="2363" t="s">
        <v>1008</v>
      </c>
      <c r="J103" s="828" t="s">
        <v>22</v>
      </c>
      <c r="K103" s="2363" t="s">
        <v>983</v>
      </c>
      <c r="L103" s="828" t="s">
        <v>22</v>
      </c>
      <c r="M103" s="2363" t="s">
        <v>22</v>
      </c>
      <c r="N103" s="828" t="s">
        <v>22</v>
      </c>
      <c r="O103" s="2363" t="s">
        <v>983</v>
      </c>
      <c r="P103" s="828" t="s">
        <v>22</v>
      </c>
      <c r="Q103" s="1535"/>
      <c r="R103" s="1645"/>
      <c r="S103" s="1645"/>
      <c r="T103" s="1645"/>
      <c r="U103" s="1645"/>
      <c r="V103" s="1645"/>
      <c r="W103" s="1645"/>
      <c r="X103" s="1645"/>
      <c r="Y103" s="1645"/>
      <c r="Z103" s="1645"/>
      <c r="AA103" s="685"/>
      <c r="AB103" s="1645">
        <v>0</v>
      </c>
    </row>
    <row s="1860" customFormat="1" customHeight="1" ht="15">
      <c r="A104" s="1645"/>
      <c r="B104" s="2407"/>
      <c r="C104" s="2408"/>
      <c r="D104" s="699" t="str">
        <f>B103&amp;".2"</f>
        <v>3.23.2</v>
      </c>
      <c r="E104" s="1677" t="s">
        <v>967</v>
      </c>
      <c r="F104" s="2273" t="s">
        <v>328</v>
      </c>
      <c r="G104" s="1748" t="s">
        <v>22</v>
      </c>
      <c r="H104" s="828" t="s">
        <v>22</v>
      </c>
      <c r="I104" s="1748">
        <v>46139</v>
      </c>
      <c r="J104" s="828" t="s">
        <v>22</v>
      </c>
      <c r="K104" s="1748">
        <v>46160</v>
      </c>
      <c r="L104" s="828" t="s">
        <v>22</v>
      </c>
      <c r="M104" s="1748" t="s">
        <v>22</v>
      </c>
      <c r="N104" s="828" t="s">
        <v>22</v>
      </c>
      <c r="O104" s="1748">
        <v>46142</v>
      </c>
      <c r="P104" s="828" t="s">
        <v>22</v>
      </c>
      <c r="Q104" s="1535" t="s">
        <v>968</v>
      </c>
      <c r="R104" s="1645"/>
      <c r="S104" s="1645"/>
      <c r="T104" s="1645"/>
      <c r="U104" s="1645"/>
      <c r="V104" s="1645"/>
      <c r="W104" s="1645"/>
      <c r="X104" s="1645"/>
      <c r="Y104" s="1645"/>
      <c r="Z104" s="1645"/>
      <c r="AA104" s="685"/>
      <c r="AB104" s="1645">
        <v>0</v>
      </c>
    </row>
    <row s="1860" customFormat="1" customHeight="1" ht="15">
      <c r="A105" s="1645"/>
      <c r="B105" s="2407"/>
      <c r="C105" s="2408"/>
      <c r="D105" s="699" t="str">
        <f>B103&amp;".3"</f>
        <v>3.23.3</v>
      </c>
      <c r="E105" s="1677" t="s">
        <v>969</v>
      </c>
      <c r="F105" s="2273" t="s">
        <v>328</v>
      </c>
      <c r="G105" s="1748" t="s">
        <v>22</v>
      </c>
      <c r="H105" s="828" t="s">
        <v>22</v>
      </c>
      <c r="I105" s="1748" t="s">
        <v>22</v>
      </c>
      <c r="J105" s="828" t="s">
        <v>22</v>
      </c>
      <c r="K105" s="1748" t="s">
        <v>22</v>
      </c>
      <c r="L105" s="828" t="s">
        <v>22</v>
      </c>
      <c r="M105" s="1748" t="s">
        <v>22</v>
      </c>
      <c r="N105" s="828" t="s">
        <v>22</v>
      </c>
      <c r="O105" s="1748" t="s">
        <v>22</v>
      </c>
      <c r="P105" s="828" t="s">
        <v>22</v>
      </c>
      <c r="Q105" s="1535" t="s">
        <v>970</v>
      </c>
      <c r="R105" s="1645"/>
      <c r="S105" s="1645"/>
      <c r="T105" s="1645"/>
      <c r="U105" s="1645"/>
      <c r="V105" s="1645"/>
      <c r="W105" s="1645"/>
      <c r="X105" s="1645"/>
      <c r="Y105" s="1645"/>
      <c r="Z105" s="1645"/>
      <c r="AA105" s="685"/>
      <c r="AB105" s="1645">
        <v>0</v>
      </c>
    </row>
    <row s="1860" customFormat="1" customHeight="1" ht="22.5">
      <c r="A106" s="1645"/>
      <c r="B106" s="2407" t="s">
        <v>1011</v>
      </c>
      <c r="C106" s="2408" t="s">
        <v>105</v>
      </c>
      <c r="D106" s="699" t="str">
        <f>B106&amp;".1"</f>
        <v>3.24.1</v>
      </c>
      <c r="E106" s="1677" t="s">
        <v>966</v>
      </c>
      <c r="F106" s="2273" t="s">
        <v>328</v>
      </c>
      <c r="G106" s="2363" t="s">
        <v>22</v>
      </c>
      <c r="H106" s="828" t="s">
        <v>22</v>
      </c>
      <c r="I106" s="2363" t="s">
        <v>983</v>
      </c>
      <c r="J106" s="828" t="s">
        <v>22</v>
      </c>
      <c r="K106" s="2363" t="s">
        <v>983</v>
      </c>
      <c r="L106" s="828" t="s">
        <v>22</v>
      </c>
      <c r="M106" s="2363" t="s">
        <v>22</v>
      </c>
      <c r="N106" s="828" t="s">
        <v>22</v>
      </c>
      <c r="O106" s="2363" t="s">
        <v>983</v>
      </c>
      <c r="P106" s="828" t="s">
        <v>22</v>
      </c>
      <c r="Q106" s="1535"/>
      <c r="R106" s="1645"/>
      <c r="S106" s="1645"/>
      <c r="T106" s="1645"/>
      <c r="U106" s="1645"/>
      <c r="V106" s="1645"/>
      <c r="W106" s="1645"/>
      <c r="X106" s="1645"/>
      <c r="Y106" s="1645"/>
      <c r="Z106" s="1645"/>
      <c r="AA106" s="685"/>
      <c r="AB106" s="1645">
        <v>0</v>
      </c>
    </row>
    <row s="1860" customFormat="1" customHeight="1" ht="15">
      <c r="A107" s="1645"/>
      <c r="B107" s="2407"/>
      <c r="C107" s="2408"/>
      <c r="D107" s="699" t="str">
        <f>B106&amp;".2"</f>
        <v>3.24.2</v>
      </c>
      <c r="E107" s="1677" t="s">
        <v>967</v>
      </c>
      <c r="F107" s="2273" t="s">
        <v>328</v>
      </c>
      <c r="G107" s="1748" t="s">
        <v>22</v>
      </c>
      <c r="H107" s="828" t="s">
        <v>22</v>
      </c>
      <c r="I107" s="1748">
        <v>46139</v>
      </c>
      <c r="J107" s="828" t="s">
        <v>22</v>
      </c>
      <c r="K107" s="1748">
        <v>46160</v>
      </c>
      <c r="L107" s="828" t="s">
        <v>22</v>
      </c>
      <c r="M107" s="1748" t="s">
        <v>22</v>
      </c>
      <c r="N107" s="828" t="s">
        <v>22</v>
      </c>
      <c r="O107" s="1748">
        <v>46142</v>
      </c>
      <c r="P107" s="828" t="s">
        <v>22</v>
      </c>
      <c r="Q107" s="1535" t="s">
        <v>968</v>
      </c>
      <c r="R107" s="1645"/>
      <c r="S107" s="1645"/>
      <c r="T107" s="1645"/>
      <c r="U107" s="1645"/>
      <c r="V107" s="1645"/>
      <c r="W107" s="1645"/>
      <c r="X107" s="1645"/>
      <c r="Y107" s="1645"/>
      <c r="Z107" s="1645"/>
      <c r="AA107" s="685"/>
      <c r="AB107" s="1645">
        <v>0</v>
      </c>
    </row>
    <row s="1860" customFormat="1" customHeight="1" ht="15">
      <c r="A108" s="1645"/>
      <c r="B108" s="2407"/>
      <c r="C108" s="2408"/>
      <c r="D108" s="699" t="str">
        <f>B106&amp;".3"</f>
        <v>3.24.3</v>
      </c>
      <c r="E108" s="1677" t="s">
        <v>969</v>
      </c>
      <c r="F108" s="2273" t="s">
        <v>328</v>
      </c>
      <c r="G108" s="1748" t="s">
        <v>22</v>
      </c>
      <c r="H108" s="828" t="s">
        <v>22</v>
      </c>
      <c r="I108" s="1748" t="s">
        <v>22</v>
      </c>
      <c r="J108" s="828" t="s">
        <v>22</v>
      </c>
      <c r="K108" s="1748" t="s">
        <v>22</v>
      </c>
      <c r="L108" s="828" t="s">
        <v>22</v>
      </c>
      <c r="M108" s="1748" t="s">
        <v>22</v>
      </c>
      <c r="N108" s="828" t="s">
        <v>22</v>
      </c>
      <c r="O108" s="1748" t="s">
        <v>22</v>
      </c>
      <c r="P108" s="828" t="s">
        <v>22</v>
      </c>
      <c r="Q108" s="1535" t="s">
        <v>970</v>
      </c>
      <c r="R108" s="1645"/>
      <c r="S108" s="1645"/>
      <c r="T108" s="1645"/>
      <c r="U108" s="1645"/>
      <c r="V108" s="1645"/>
      <c r="W108" s="1645"/>
      <c r="X108" s="1645"/>
      <c r="Y108" s="1645"/>
      <c r="Z108" s="1645"/>
      <c r="AA108" s="685"/>
      <c r="AB108" s="1645">
        <v>0</v>
      </c>
    </row>
    <row s="1860" customFormat="1" customHeight="1" ht="22.5">
      <c r="A109" s="1645"/>
      <c r="B109" s="2407" t="s">
        <v>1012</v>
      </c>
      <c r="C109" s="2408" t="s">
        <v>105</v>
      </c>
      <c r="D109" s="699" t="str">
        <f>B109&amp;".1"</f>
        <v>3.25.1</v>
      </c>
      <c r="E109" s="1677" t="s">
        <v>966</v>
      </c>
      <c r="F109" s="2273" t="s">
        <v>328</v>
      </c>
      <c r="G109" s="2363" t="s">
        <v>22</v>
      </c>
      <c r="H109" s="828" t="s">
        <v>22</v>
      </c>
      <c r="I109" s="2363" t="s">
        <v>983</v>
      </c>
      <c r="J109" s="828" t="s">
        <v>22</v>
      </c>
      <c r="K109" s="2363" t="s">
        <v>983</v>
      </c>
      <c r="L109" s="828" t="s">
        <v>22</v>
      </c>
      <c r="M109" s="2363" t="s">
        <v>22</v>
      </c>
      <c r="N109" s="828" t="s">
        <v>22</v>
      </c>
      <c r="O109" s="2363" t="s">
        <v>983</v>
      </c>
      <c r="P109" s="828" t="s">
        <v>22</v>
      </c>
      <c r="Q109" s="1535"/>
      <c r="R109" s="1645"/>
      <c r="S109" s="1645"/>
      <c r="T109" s="1645"/>
      <c r="U109" s="1645"/>
      <c r="V109" s="1645"/>
      <c r="W109" s="1645"/>
      <c r="X109" s="1645"/>
      <c r="Y109" s="1645"/>
      <c r="Z109" s="1645"/>
      <c r="AA109" s="685"/>
      <c r="AB109" s="1645">
        <v>0</v>
      </c>
    </row>
    <row s="1860" customFormat="1" customHeight="1" ht="15">
      <c r="A110" s="1645"/>
      <c r="B110" s="2407"/>
      <c r="C110" s="2408"/>
      <c r="D110" s="699" t="str">
        <f>B109&amp;".2"</f>
        <v>3.25.2</v>
      </c>
      <c r="E110" s="1677" t="s">
        <v>967</v>
      </c>
      <c r="F110" s="2273" t="s">
        <v>328</v>
      </c>
      <c r="G110" s="1748" t="s">
        <v>22</v>
      </c>
      <c r="H110" s="828" t="s">
        <v>22</v>
      </c>
      <c r="I110" s="1748">
        <v>46139</v>
      </c>
      <c r="J110" s="828" t="s">
        <v>22</v>
      </c>
      <c r="K110" s="1748">
        <v>46160</v>
      </c>
      <c r="L110" s="828" t="s">
        <v>22</v>
      </c>
      <c r="M110" s="1748" t="s">
        <v>22</v>
      </c>
      <c r="N110" s="828" t="s">
        <v>22</v>
      </c>
      <c r="O110" s="1748">
        <v>46142</v>
      </c>
      <c r="P110" s="828" t="s">
        <v>22</v>
      </c>
      <c r="Q110" s="1535" t="s">
        <v>968</v>
      </c>
      <c r="R110" s="1645"/>
      <c r="S110" s="1645"/>
      <c r="T110" s="1645"/>
      <c r="U110" s="1645"/>
      <c r="V110" s="1645"/>
      <c r="W110" s="1645"/>
      <c r="X110" s="1645"/>
      <c r="Y110" s="1645"/>
      <c r="Z110" s="1645"/>
      <c r="AA110" s="685"/>
      <c r="AB110" s="1645">
        <v>0</v>
      </c>
    </row>
    <row s="1860" customFormat="1" customHeight="1" ht="15">
      <c r="A111" s="1645"/>
      <c r="B111" s="2407"/>
      <c r="C111" s="2408"/>
      <c r="D111" s="699" t="str">
        <f>B109&amp;".3"</f>
        <v>3.25.3</v>
      </c>
      <c r="E111" s="1677" t="s">
        <v>969</v>
      </c>
      <c r="F111" s="2273" t="s">
        <v>328</v>
      </c>
      <c r="G111" s="1748" t="s">
        <v>22</v>
      </c>
      <c r="H111" s="828" t="s">
        <v>22</v>
      </c>
      <c r="I111" s="1748" t="s">
        <v>22</v>
      </c>
      <c r="J111" s="828" t="s">
        <v>22</v>
      </c>
      <c r="K111" s="1748" t="s">
        <v>22</v>
      </c>
      <c r="L111" s="828" t="s">
        <v>22</v>
      </c>
      <c r="M111" s="1748" t="s">
        <v>22</v>
      </c>
      <c r="N111" s="828" t="s">
        <v>22</v>
      </c>
      <c r="O111" s="1748" t="s">
        <v>22</v>
      </c>
      <c r="P111" s="828" t="s">
        <v>22</v>
      </c>
      <c r="Q111" s="1535" t="s">
        <v>970</v>
      </c>
      <c r="R111" s="1645"/>
      <c r="S111" s="1645"/>
      <c r="T111" s="1645"/>
      <c r="U111" s="1645"/>
      <c r="V111" s="1645"/>
      <c r="W111" s="1645"/>
      <c r="X111" s="1645"/>
      <c r="Y111" s="1645"/>
      <c r="Z111" s="1645"/>
      <c r="AA111" s="685"/>
      <c r="AB111" s="1645">
        <v>0</v>
      </c>
    </row>
    <row s="1860" customFormat="1" customHeight="1" ht="22.5">
      <c r="A112" s="1645"/>
      <c r="B112" s="2407" t="s">
        <v>1013</v>
      </c>
      <c r="C112" s="2408" t="s">
        <v>105</v>
      </c>
      <c r="D112" s="699" t="str">
        <f>B112&amp;".1"</f>
        <v>3.26.1</v>
      </c>
      <c r="E112" s="1677" t="s">
        <v>966</v>
      </c>
      <c r="F112" s="2273" t="s">
        <v>328</v>
      </c>
      <c r="G112" s="2363" t="s">
        <v>22</v>
      </c>
      <c r="H112" s="828" t="s">
        <v>22</v>
      </c>
      <c r="I112" s="2363" t="s">
        <v>983</v>
      </c>
      <c r="J112" s="828" t="s">
        <v>22</v>
      </c>
      <c r="K112" s="2363" t="s">
        <v>983</v>
      </c>
      <c r="L112" s="828" t="s">
        <v>22</v>
      </c>
      <c r="M112" s="2363" t="s">
        <v>22</v>
      </c>
      <c r="N112" s="828" t="s">
        <v>22</v>
      </c>
      <c r="O112" s="2363" t="s">
        <v>983</v>
      </c>
      <c r="P112" s="828" t="s">
        <v>22</v>
      </c>
      <c r="Q112" s="1535"/>
      <c r="R112" s="1645"/>
      <c r="S112" s="1645"/>
      <c r="T112" s="1645"/>
      <c r="U112" s="1645"/>
      <c r="V112" s="1645"/>
      <c r="W112" s="1645"/>
      <c r="X112" s="1645"/>
      <c r="Y112" s="1645"/>
      <c r="Z112" s="1645"/>
      <c r="AA112" s="685"/>
      <c r="AB112" s="1645">
        <v>0</v>
      </c>
    </row>
    <row s="1860" customFormat="1" customHeight="1" ht="15">
      <c r="A113" s="1645"/>
      <c r="B113" s="2407"/>
      <c r="C113" s="2408"/>
      <c r="D113" s="699" t="str">
        <f>B112&amp;".2"</f>
        <v>3.26.2</v>
      </c>
      <c r="E113" s="1677" t="s">
        <v>967</v>
      </c>
      <c r="F113" s="2273" t="s">
        <v>328</v>
      </c>
      <c r="G113" s="1748" t="s">
        <v>22</v>
      </c>
      <c r="H113" s="828" t="s">
        <v>22</v>
      </c>
      <c r="I113" s="1748">
        <v>46139</v>
      </c>
      <c r="J113" s="828" t="s">
        <v>22</v>
      </c>
      <c r="K113" s="1748">
        <v>46160</v>
      </c>
      <c r="L113" s="828" t="s">
        <v>22</v>
      </c>
      <c r="M113" s="1748" t="s">
        <v>22</v>
      </c>
      <c r="N113" s="828" t="s">
        <v>22</v>
      </c>
      <c r="O113" s="1748">
        <v>46142</v>
      </c>
      <c r="P113" s="828" t="s">
        <v>22</v>
      </c>
      <c r="Q113" s="1535" t="s">
        <v>968</v>
      </c>
      <c r="R113" s="1645"/>
      <c r="S113" s="1645"/>
      <c r="T113" s="1645"/>
      <c r="U113" s="1645"/>
      <c r="V113" s="1645"/>
      <c r="W113" s="1645"/>
      <c r="X113" s="1645"/>
      <c r="Y113" s="1645"/>
      <c r="Z113" s="1645"/>
      <c r="AA113" s="685"/>
      <c r="AB113" s="1645">
        <v>0</v>
      </c>
    </row>
    <row s="1860" customFormat="1" customHeight="1" ht="15">
      <c r="A114" s="1645"/>
      <c r="B114" s="2407"/>
      <c r="C114" s="2408"/>
      <c r="D114" s="699" t="str">
        <f>B112&amp;".3"</f>
        <v>3.26.3</v>
      </c>
      <c r="E114" s="1677" t="s">
        <v>969</v>
      </c>
      <c r="F114" s="2273" t="s">
        <v>328</v>
      </c>
      <c r="G114" s="1748" t="s">
        <v>22</v>
      </c>
      <c r="H114" s="828" t="s">
        <v>22</v>
      </c>
      <c r="I114" s="1748" t="s">
        <v>22</v>
      </c>
      <c r="J114" s="828" t="s">
        <v>22</v>
      </c>
      <c r="K114" s="1748" t="s">
        <v>22</v>
      </c>
      <c r="L114" s="828" t="s">
        <v>22</v>
      </c>
      <c r="M114" s="1748" t="s">
        <v>22</v>
      </c>
      <c r="N114" s="828" t="s">
        <v>22</v>
      </c>
      <c r="O114" s="1748" t="s">
        <v>22</v>
      </c>
      <c r="P114" s="828" t="s">
        <v>22</v>
      </c>
      <c r="Q114" s="1535" t="s">
        <v>970</v>
      </c>
      <c r="R114" s="1645"/>
      <c r="S114" s="1645"/>
      <c r="T114" s="1645"/>
      <c r="U114" s="1645"/>
      <c r="V114" s="1645"/>
      <c r="W114" s="1645"/>
      <c r="X114" s="1645"/>
      <c r="Y114" s="1645"/>
      <c r="Z114" s="1645"/>
      <c r="AA114" s="685"/>
      <c r="AB114" s="1645">
        <v>0</v>
      </c>
    </row>
    <row s="1860" customFormat="1" customHeight="1" ht="22.5">
      <c r="A115" s="1645"/>
      <c r="B115" s="2407" t="s">
        <v>1014</v>
      </c>
      <c r="C115" s="2408" t="s">
        <v>105</v>
      </c>
      <c r="D115" s="699" t="str">
        <f>B115&amp;".1"</f>
        <v>3.27.1</v>
      </c>
      <c r="E115" s="1677" t="s">
        <v>966</v>
      </c>
      <c r="F115" s="2273" t="s">
        <v>328</v>
      </c>
      <c r="G115" s="2363" t="s">
        <v>22</v>
      </c>
      <c r="H115" s="828" t="s">
        <v>22</v>
      </c>
      <c r="I115" s="2363" t="s">
        <v>983</v>
      </c>
      <c r="J115" s="828" t="s">
        <v>22</v>
      </c>
      <c r="K115" s="2363" t="s">
        <v>983</v>
      </c>
      <c r="L115" s="828" t="s">
        <v>22</v>
      </c>
      <c r="M115" s="2363" t="s">
        <v>22</v>
      </c>
      <c r="N115" s="828" t="s">
        <v>22</v>
      </c>
      <c r="O115" s="2363" t="s">
        <v>983</v>
      </c>
      <c r="P115" s="828" t="s">
        <v>22</v>
      </c>
      <c r="Q115" s="1535"/>
      <c r="R115" s="1645"/>
      <c r="S115" s="1645"/>
      <c r="T115" s="1645"/>
      <c r="U115" s="1645"/>
      <c r="V115" s="1645"/>
      <c r="W115" s="1645"/>
      <c r="X115" s="1645"/>
      <c r="Y115" s="1645"/>
      <c r="Z115" s="1645"/>
      <c r="AA115" s="685"/>
      <c r="AB115" s="1645">
        <v>0</v>
      </c>
    </row>
    <row s="1860" customFormat="1" customHeight="1" ht="15">
      <c r="A116" s="1645"/>
      <c r="B116" s="2407"/>
      <c r="C116" s="2408"/>
      <c r="D116" s="699" t="str">
        <f>B115&amp;".2"</f>
        <v>3.27.2</v>
      </c>
      <c r="E116" s="1677" t="s">
        <v>967</v>
      </c>
      <c r="F116" s="2273" t="s">
        <v>328</v>
      </c>
      <c r="G116" s="1748" t="s">
        <v>22</v>
      </c>
      <c r="H116" s="828" t="s">
        <v>22</v>
      </c>
      <c r="I116" s="1748">
        <v>46139</v>
      </c>
      <c r="J116" s="828" t="s">
        <v>22</v>
      </c>
      <c r="K116" s="1748">
        <v>46161</v>
      </c>
      <c r="L116" s="828" t="s">
        <v>22</v>
      </c>
      <c r="M116" s="1748" t="s">
        <v>22</v>
      </c>
      <c r="N116" s="828" t="s">
        <v>22</v>
      </c>
      <c r="O116" s="1748">
        <v>46142</v>
      </c>
      <c r="P116" s="828" t="s">
        <v>22</v>
      </c>
      <c r="Q116" s="1535" t="s">
        <v>968</v>
      </c>
      <c r="R116" s="1645"/>
      <c r="S116" s="1645"/>
      <c r="T116" s="1645"/>
      <c r="U116" s="1645"/>
      <c r="V116" s="1645"/>
      <c r="W116" s="1645"/>
      <c r="X116" s="1645"/>
      <c r="Y116" s="1645"/>
      <c r="Z116" s="1645"/>
      <c r="AA116" s="685"/>
      <c r="AB116" s="1645">
        <v>0</v>
      </c>
    </row>
    <row s="1860" customFormat="1" customHeight="1" ht="15">
      <c r="A117" s="1645"/>
      <c r="B117" s="2407"/>
      <c r="C117" s="2408"/>
      <c r="D117" s="699" t="str">
        <f>B115&amp;".3"</f>
        <v>3.27.3</v>
      </c>
      <c r="E117" s="1677" t="s">
        <v>969</v>
      </c>
      <c r="F117" s="2273" t="s">
        <v>328</v>
      </c>
      <c r="G117" s="1748" t="s">
        <v>22</v>
      </c>
      <c r="H117" s="828" t="s">
        <v>22</v>
      </c>
      <c r="I117" s="1748" t="s">
        <v>22</v>
      </c>
      <c r="J117" s="828" t="s">
        <v>22</v>
      </c>
      <c r="K117" s="1748" t="s">
        <v>22</v>
      </c>
      <c r="L117" s="828" t="s">
        <v>22</v>
      </c>
      <c r="M117" s="1748" t="s">
        <v>22</v>
      </c>
      <c r="N117" s="828" t="s">
        <v>22</v>
      </c>
      <c r="O117" s="1748" t="s">
        <v>22</v>
      </c>
      <c r="P117" s="828" t="s">
        <v>22</v>
      </c>
      <c r="Q117" s="1535" t="s">
        <v>970</v>
      </c>
      <c r="R117" s="1645"/>
      <c r="S117" s="1645"/>
      <c r="T117" s="1645"/>
      <c r="U117" s="1645"/>
      <c r="V117" s="1645"/>
      <c r="W117" s="1645"/>
      <c r="X117" s="1645"/>
      <c r="Y117" s="1645"/>
      <c r="Z117" s="1645"/>
      <c r="AA117" s="685"/>
      <c r="AB117" s="1645">
        <v>0</v>
      </c>
    </row>
    <row s="1860" customFormat="1" customHeight="1" ht="22.5">
      <c r="A118" s="1645"/>
      <c r="B118" s="2407" t="s">
        <v>1015</v>
      </c>
      <c r="C118" s="2408" t="s">
        <v>105</v>
      </c>
      <c r="D118" s="699" t="str">
        <f>B118&amp;".1"</f>
        <v>3.28.1</v>
      </c>
      <c r="E118" s="1677" t="s">
        <v>966</v>
      </c>
      <c r="F118" s="2273" t="s">
        <v>328</v>
      </c>
      <c r="G118" s="2363" t="s">
        <v>22</v>
      </c>
      <c r="H118" s="828" t="s">
        <v>22</v>
      </c>
      <c r="I118" s="2363" t="s">
        <v>983</v>
      </c>
      <c r="J118" s="828" t="s">
        <v>22</v>
      </c>
      <c r="K118" s="2363" t="s">
        <v>983</v>
      </c>
      <c r="L118" s="828" t="s">
        <v>22</v>
      </c>
      <c r="M118" s="2363" t="s">
        <v>22</v>
      </c>
      <c r="N118" s="828" t="s">
        <v>22</v>
      </c>
      <c r="O118" s="2363" t="s">
        <v>983</v>
      </c>
      <c r="P118" s="828" t="s">
        <v>22</v>
      </c>
      <c r="Q118" s="1535"/>
      <c r="R118" s="1645"/>
      <c r="S118" s="1645"/>
      <c r="T118" s="1645"/>
      <c r="U118" s="1645"/>
      <c r="V118" s="1645"/>
      <c r="W118" s="1645"/>
      <c r="X118" s="1645"/>
      <c r="Y118" s="1645"/>
      <c r="Z118" s="1645"/>
      <c r="AA118" s="685"/>
      <c r="AB118" s="1645">
        <v>0</v>
      </c>
    </row>
    <row s="1860" customFormat="1" customHeight="1" ht="15">
      <c r="A119" s="1645"/>
      <c r="B119" s="2407"/>
      <c r="C119" s="2408"/>
      <c r="D119" s="699" t="str">
        <f>B118&amp;".2"</f>
        <v>3.28.2</v>
      </c>
      <c r="E119" s="1677" t="s">
        <v>967</v>
      </c>
      <c r="F119" s="2273" t="s">
        <v>328</v>
      </c>
      <c r="G119" s="1748" t="s">
        <v>22</v>
      </c>
      <c r="H119" s="828" t="s">
        <v>22</v>
      </c>
      <c r="I119" s="1748">
        <v>46139</v>
      </c>
      <c r="J119" s="828" t="s">
        <v>22</v>
      </c>
      <c r="K119" s="1748">
        <v>46174</v>
      </c>
      <c r="L119" s="828" t="s">
        <v>22</v>
      </c>
      <c r="M119" s="1748" t="s">
        <v>22</v>
      </c>
      <c r="N119" s="828" t="s">
        <v>22</v>
      </c>
      <c r="O119" s="1748">
        <v>46146</v>
      </c>
      <c r="P119" s="828" t="s">
        <v>22</v>
      </c>
      <c r="Q119" s="1535" t="s">
        <v>968</v>
      </c>
      <c r="R119" s="1645"/>
      <c r="S119" s="1645"/>
      <c r="T119" s="1645"/>
      <c r="U119" s="1645"/>
      <c r="V119" s="1645"/>
      <c r="W119" s="1645"/>
      <c r="X119" s="1645"/>
      <c r="Y119" s="1645"/>
      <c r="Z119" s="1645"/>
      <c r="AA119" s="685"/>
      <c r="AB119" s="1645">
        <v>0</v>
      </c>
    </row>
    <row s="1860" customFormat="1" customHeight="1" ht="15">
      <c r="A120" s="1645"/>
      <c r="B120" s="2407"/>
      <c r="C120" s="2408"/>
      <c r="D120" s="699" t="str">
        <f>B118&amp;".3"</f>
        <v>3.28.3</v>
      </c>
      <c r="E120" s="1677" t="s">
        <v>969</v>
      </c>
      <c r="F120" s="2273" t="s">
        <v>328</v>
      </c>
      <c r="G120" s="1748" t="s">
        <v>22</v>
      </c>
      <c r="H120" s="828" t="s">
        <v>22</v>
      </c>
      <c r="I120" s="1748" t="s">
        <v>22</v>
      </c>
      <c r="J120" s="828" t="s">
        <v>22</v>
      </c>
      <c r="K120" s="1748" t="s">
        <v>22</v>
      </c>
      <c r="L120" s="828" t="s">
        <v>22</v>
      </c>
      <c r="M120" s="1748" t="s">
        <v>22</v>
      </c>
      <c r="N120" s="828" t="s">
        <v>22</v>
      </c>
      <c r="O120" s="1748" t="s">
        <v>22</v>
      </c>
      <c r="P120" s="828" t="s">
        <v>22</v>
      </c>
      <c r="Q120" s="1535" t="s">
        <v>970</v>
      </c>
      <c r="R120" s="1645"/>
      <c r="S120" s="1645"/>
      <c r="T120" s="1645"/>
      <c r="U120" s="1645"/>
      <c r="V120" s="1645"/>
      <c r="W120" s="1645"/>
      <c r="X120" s="1645"/>
      <c r="Y120" s="1645"/>
      <c r="Z120" s="1645"/>
      <c r="AA120" s="685"/>
      <c r="AB120" s="1645">
        <v>0</v>
      </c>
    </row>
    <row s="1860" customFormat="1" customHeight="1" ht="22.5">
      <c r="A121" s="1645"/>
      <c r="B121" s="2407" t="s">
        <v>1016</v>
      </c>
      <c r="C121" s="2408" t="s">
        <v>105</v>
      </c>
      <c r="D121" s="699" t="str">
        <f>B121&amp;".1"</f>
        <v>3.29.1</v>
      </c>
      <c r="E121" s="1677" t="s">
        <v>966</v>
      </c>
      <c r="F121" s="2273" t="s">
        <v>328</v>
      </c>
      <c r="G121" s="2363" t="s">
        <v>22</v>
      </c>
      <c r="H121" s="828" t="s">
        <v>22</v>
      </c>
      <c r="I121" s="2363" t="s">
        <v>983</v>
      </c>
      <c r="J121" s="828" t="s">
        <v>22</v>
      </c>
      <c r="K121" s="2363" t="s">
        <v>22</v>
      </c>
      <c r="L121" s="828" t="s">
        <v>22</v>
      </c>
      <c r="M121" s="2363" t="s">
        <v>22</v>
      </c>
      <c r="N121" s="828" t="s">
        <v>22</v>
      </c>
      <c r="O121" s="2363" t="s">
        <v>983</v>
      </c>
      <c r="P121" s="828" t="s">
        <v>22</v>
      </c>
      <c r="Q121" s="1535"/>
      <c r="R121" s="1645"/>
      <c r="S121" s="1645"/>
      <c r="T121" s="1645"/>
      <c r="U121" s="1645"/>
      <c r="V121" s="1645"/>
      <c r="W121" s="1645"/>
      <c r="X121" s="1645"/>
      <c r="Y121" s="1645"/>
      <c r="Z121" s="1645"/>
      <c r="AA121" s="685"/>
      <c r="AB121" s="1645">
        <v>0</v>
      </c>
    </row>
    <row s="1860" customFormat="1" customHeight="1" ht="15">
      <c r="A122" s="1645"/>
      <c r="B122" s="2407"/>
      <c r="C122" s="2408"/>
      <c r="D122" s="699" t="str">
        <f>B121&amp;".2"</f>
        <v>3.29.2</v>
      </c>
      <c r="E122" s="1677" t="s">
        <v>967</v>
      </c>
      <c r="F122" s="2273" t="s">
        <v>328</v>
      </c>
      <c r="G122" s="1748" t="s">
        <v>22</v>
      </c>
      <c r="H122" s="828" t="s">
        <v>22</v>
      </c>
      <c r="I122" s="1748">
        <v>46139</v>
      </c>
      <c r="J122" s="828" t="s">
        <v>22</v>
      </c>
      <c r="K122" s="1748" t="s">
        <v>22</v>
      </c>
      <c r="L122" s="828" t="s">
        <v>22</v>
      </c>
      <c r="M122" s="1748" t="s">
        <v>22</v>
      </c>
      <c r="N122" s="828" t="s">
        <v>22</v>
      </c>
      <c r="O122" s="1748">
        <v>46147</v>
      </c>
      <c r="P122" s="828" t="s">
        <v>22</v>
      </c>
      <c r="Q122" s="1535" t="s">
        <v>968</v>
      </c>
      <c r="R122" s="1645"/>
      <c r="S122" s="1645"/>
      <c r="T122" s="1645"/>
      <c r="U122" s="1645"/>
      <c r="V122" s="1645"/>
      <c r="W122" s="1645"/>
      <c r="X122" s="1645"/>
      <c r="Y122" s="1645"/>
      <c r="Z122" s="1645"/>
      <c r="AA122" s="685"/>
      <c r="AB122" s="1645">
        <v>0</v>
      </c>
    </row>
    <row s="1860" customFormat="1" customHeight="1" ht="15">
      <c r="A123" s="1645"/>
      <c r="B123" s="2407"/>
      <c r="C123" s="2408"/>
      <c r="D123" s="699" t="str">
        <f>B121&amp;".3"</f>
        <v>3.29.3</v>
      </c>
      <c r="E123" s="1677" t="s">
        <v>969</v>
      </c>
      <c r="F123" s="2273" t="s">
        <v>328</v>
      </c>
      <c r="G123" s="1748" t="s">
        <v>22</v>
      </c>
      <c r="H123" s="828" t="s">
        <v>22</v>
      </c>
      <c r="I123" s="1748" t="s">
        <v>22</v>
      </c>
      <c r="J123" s="828" t="s">
        <v>22</v>
      </c>
      <c r="K123" s="1748" t="s">
        <v>22</v>
      </c>
      <c r="L123" s="828" t="s">
        <v>22</v>
      </c>
      <c r="M123" s="1748" t="s">
        <v>22</v>
      </c>
      <c r="N123" s="828" t="s">
        <v>22</v>
      </c>
      <c r="O123" s="1748" t="s">
        <v>22</v>
      </c>
      <c r="P123" s="828" t="s">
        <v>22</v>
      </c>
      <c r="Q123" s="1535" t="s">
        <v>970</v>
      </c>
      <c r="R123" s="1645"/>
      <c r="S123" s="1645"/>
      <c r="T123" s="1645"/>
      <c r="U123" s="1645"/>
      <c r="V123" s="1645"/>
      <c r="W123" s="1645"/>
      <c r="X123" s="1645"/>
      <c r="Y123" s="1645"/>
      <c r="Z123" s="1645"/>
      <c r="AA123" s="685"/>
      <c r="AB123" s="1645">
        <v>0</v>
      </c>
    </row>
    <row s="1860" customFormat="1" customHeight="1" ht="22.5">
      <c r="A124" s="1645"/>
      <c r="B124" s="2407" t="s">
        <v>1017</v>
      </c>
      <c r="C124" s="2408" t="s">
        <v>105</v>
      </c>
      <c r="D124" s="699" t="str">
        <f>B124&amp;".1"</f>
        <v>3.30.1</v>
      </c>
      <c r="E124" s="1677" t="s">
        <v>966</v>
      </c>
      <c r="F124" s="2273" t="s">
        <v>328</v>
      </c>
      <c r="G124" s="2363" t="s">
        <v>22</v>
      </c>
      <c r="H124" s="828" t="s">
        <v>22</v>
      </c>
      <c r="I124" s="2363" t="s">
        <v>983</v>
      </c>
      <c r="J124" s="828" t="s">
        <v>22</v>
      </c>
      <c r="K124" s="2363" t="s">
        <v>22</v>
      </c>
      <c r="L124" s="828" t="s">
        <v>22</v>
      </c>
      <c r="M124" s="2363" t="s">
        <v>22</v>
      </c>
      <c r="N124" s="828" t="s">
        <v>22</v>
      </c>
      <c r="O124" s="2363" t="s">
        <v>983</v>
      </c>
      <c r="P124" s="828" t="s">
        <v>22</v>
      </c>
      <c r="Q124" s="1535"/>
      <c r="R124" s="1645"/>
      <c r="S124" s="1645"/>
      <c r="T124" s="1645"/>
      <c r="U124" s="1645"/>
      <c r="V124" s="1645"/>
      <c r="W124" s="1645"/>
      <c r="X124" s="1645"/>
      <c r="Y124" s="1645"/>
      <c r="Z124" s="1645"/>
      <c r="AA124" s="685"/>
      <c r="AB124" s="1645">
        <v>0</v>
      </c>
    </row>
    <row s="1860" customFormat="1" customHeight="1" ht="15">
      <c r="A125" s="1645"/>
      <c r="B125" s="2407"/>
      <c r="C125" s="2408"/>
      <c r="D125" s="699" t="str">
        <f>B124&amp;".2"</f>
        <v>3.30.2</v>
      </c>
      <c r="E125" s="1677" t="s">
        <v>967</v>
      </c>
      <c r="F125" s="2273" t="s">
        <v>328</v>
      </c>
      <c r="G125" s="1748" t="s">
        <v>22</v>
      </c>
      <c r="H125" s="828" t="s">
        <v>22</v>
      </c>
      <c r="I125" s="1748">
        <v>46139</v>
      </c>
      <c r="J125" s="828" t="s">
        <v>22</v>
      </c>
      <c r="K125" s="1748" t="s">
        <v>22</v>
      </c>
      <c r="L125" s="828" t="s">
        <v>22</v>
      </c>
      <c r="M125" s="1748" t="s">
        <v>22</v>
      </c>
      <c r="N125" s="828" t="s">
        <v>22</v>
      </c>
      <c r="O125" s="1748">
        <v>46147</v>
      </c>
      <c r="P125" s="828" t="s">
        <v>22</v>
      </c>
      <c r="Q125" s="1535" t="s">
        <v>968</v>
      </c>
      <c r="R125" s="1645"/>
      <c r="S125" s="1645"/>
      <c r="T125" s="1645"/>
      <c r="U125" s="1645"/>
      <c r="V125" s="1645"/>
      <c r="W125" s="1645"/>
      <c r="X125" s="1645"/>
      <c r="Y125" s="1645"/>
      <c r="Z125" s="1645"/>
      <c r="AA125" s="685"/>
      <c r="AB125" s="1645">
        <v>0</v>
      </c>
    </row>
    <row s="1860" customFormat="1" customHeight="1" ht="15">
      <c r="A126" s="1645"/>
      <c r="B126" s="2407"/>
      <c r="C126" s="2408"/>
      <c r="D126" s="699" t="str">
        <f>B124&amp;".3"</f>
        <v>3.30.3</v>
      </c>
      <c r="E126" s="1677" t="s">
        <v>969</v>
      </c>
      <c r="F126" s="2273" t="s">
        <v>328</v>
      </c>
      <c r="G126" s="1748" t="s">
        <v>22</v>
      </c>
      <c r="H126" s="828" t="s">
        <v>22</v>
      </c>
      <c r="I126" s="1748" t="s">
        <v>22</v>
      </c>
      <c r="J126" s="828" t="s">
        <v>22</v>
      </c>
      <c r="K126" s="1748" t="s">
        <v>22</v>
      </c>
      <c r="L126" s="828" t="s">
        <v>22</v>
      </c>
      <c r="M126" s="1748" t="s">
        <v>22</v>
      </c>
      <c r="N126" s="828" t="s">
        <v>22</v>
      </c>
      <c r="O126" s="1748" t="s">
        <v>22</v>
      </c>
      <c r="P126" s="828" t="s">
        <v>22</v>
      </c>
      <c r="Q126" s="1535" t="s">
        <v>970</v>
      </c>
      <c r="R126" s="1645"/>
      <c r="S126" s="1645"/>
      <c r="T126" s="1645"/>
      <c r="U126" s="1645"/>
      <c r="V126" s="1645"/>
      <c r="W126" s="1645"/>
      <c r="X126" s="1645"/>
      <c r="Y126" s="1645"/>
      <c r="Z126" s="1645"/>
      <c r="AA126" s="685"/>
      <c r="AB126" s="1645">
        <v>0</v>
      </c>
    </row>
    <row s="1860" customFormat="1" customHeight="1" ht="22.5">
      <c r="A127" s="1645"/>
      <c r="B127" s="2407" t="s">
        <v>1018</v>
      </c>
      <c r="C127" s="2408" t="s">
        <v>105</v>
      </c>
      <c r="D127" s="699" t="str">
        <f>B127&amp;".1"</f>
        <v>3.31.1</v>
      </c>
      <c r="E127" s="1677" t="s">
        <v>966</v>
      </c>
      <c r="F127" s="2273" t="s">
        <v>328</v>
      </c>
      <c r="G127" s="2363" t="s">
        <v>22</v>
      </c>
      <c r="H127" s="828" t="s">
        <v>22</v>
      </c>
      <c r="I127" s="2363" t="s">
        <v>983</v>
      </c>
      <c r="J127" s="828" t="s">
        <v>22</v>
      </c>
      <c r="K127" s="2363" t="s">
        <v>22</v>
      </c>
      <c r="L127" s="828" t="s">
        <v>22</v>
      </c>
      <c r="M127" s="2363" t="s">
        <v>22</v>
      </c>
      <c r="N127" s="828" t="s">
        <v>22</v>
      </c>
      <c r="O127" s="2363" t="s">
        <v>983</v>
      </c>
      <c r="P127" s="828" t="s">
        <v>22</v>
      </c>
      <c r="Q127" s="1535"/>
      <c r="R127" s="1645"/>
      <c r="S127" s="1645"/>
      <c r="T127" s="1645"/>
      <c r="U127" s="1645"/>
      <c r="V127" s="1645"/>
      <c r="W127" s="1645"/>
      <c r="X127" s="1645"/>
      <c r="Y127" s="1645"/>
      <c r="Z127" s="1645"/>
      <c r="AA127" s="685"/>
      <c r="AB127" s="1645">
        <v>0</v>
      </c>
    </row>
    <row s="1860" customFormat="1" customHeight="1" ht="15">
      <c r="A128" s="1645"/>
      <c r="B128" s="2407"/>
      <c r="C128" s="2408"/>
      <c r="D128" s="699" t="str">
        <f>B127&amp;".2"</f>
        <v>3.31.2</v>
      </c>
      <c r="E128" s="1677" t="s">
        <v>967</v>
      </c>
      <c r="F128" s="2273" t="s">
        <v>328</v>
      </c>
      <c r="G128" s="1748" t="s">
        <v>22</v>
      </c>
      <c r="H128" s="828" t="s">
        <v>22</v>
      </c>
      <c r="I128" s="1748">
        <v>46139</v>
      </c>
      <c r="J128" s="828" t="s">
        <v>22</v>
      </c>
      <c r="K128" s="1748" t="s">
        <v>22</v>
      </c>
      <c r="L128" s="828" t="s">
        <v>22</v>
      </c>
      <c r="M128" s="1748" t="s">
        <v>22</v>
      </c>
      <c r="N128" s="828" t="s">
        <v>22</v>
      </c>
      <c r="O128" s="1748">
        <v>46147</v>
      </c>
      <c r="P128" s="828" t="s">
        <v>22</v>
      </c>
      <c r="Q128" s="1535" t="s">
        <v>968</v>
      </c>
      <c r="R128" s="1645"/>
      <c r="S128" s="1645"/>
      <c r="T128" s="1645"/>
      <c r="U128" s="1645"/>
      <c r="V128" s="1645"/>
      <c r="W128" s="1645"/>
      <c r="X128" s="1645"/>
      <c r="Y128" s="1645"/>
      <c r="Z128" s="1645"/>
      <c r="AA128" s="685"/>
      <c r="AB128" s="1645">
        <v>0</v>
      </c>
    </row>
    <row s="1860" customFormat="1" customHeight="1" ht="15">
      <c r="A129" s="1645"/>
      <c r="B129" s="2407"/>
      <c r="C129" s="2408"/>
      <c r="D129" s="699" t="str">
        <f>B127&amp;".3"</f>
        <v>3.31.3</v>
      </c>
      <c r="E129" s="1677" t="s">
        <v>969</v>
      </c>
      <c r="F129" s="2273" t="s">
        <v>328</v>
      </c>
      <c r="G129" s="1748" t="s">
        <v>22</v>
      </c>
      <c r="H129" s="828" t="s">
        <v>22</v>
      </c>
      <c r="I129" s="1748" t="s">
        <v>22</v>
      </c>
      <c r="J129" s="828" t="s">
        <v>22</v>
      </c>
      <c r="K129" s="1748" t="s">
        <v>22</v>
      </c>
      <c r="L129" s="828" t="s">
        <v>22</v>
      </c>
      <c r="M129" s="1748" t="s">
        <v>22</v>
      </c>
      <c r="N129" s="828" t="s">
        <v>22</v>
      </c>
      <c r="O129" s="1748" t="s">
        <v>22</v>
      </c>
      <c r="P129" s="828" t="s">
        <v>22</v>
      </c>
      <c r="Q129" s="1535" t="s">
        <v>970</v>
      </c>
      <c r="R129" s="1645"/>
      <c r="S129" s="1645"/>
      <c r="T129" s="1645"/>
      <c r="U129" s="1645"/>
      <c r="V129" s="1645"/>
      <c r="W129" s="1645"/>
      <c r="X129" s="1645"/>
      <c r="Y129" s="1645"/>
      <c r="Z129" s="1645"/>
      <c r="AA129" s="685"/>
      <c r="AB129" s="1645">
        <v>0</v>
      </c>
    </row>
    <row s="1860" customFormat="1" customHeight="1" ht="22.5">
      <c r="A130" s="1645"/>
      <c r="B130" s="2407" t="s">
        <v>1019</v>
      </c>
      <c r="C130" s="2408" t="s">
        <v>105</v>
      </c>
      <c r="D130" s="699" t="str">
        <f>B130&amp;".1"</f>
        <v>3.32.1</v>
      </c>
      <c r="E130" s="1677" t="s">
        <v>966</v>
      </c>
      <c r="F130" s="2273" t="s">
        <v>328</v>
      </c>
      <c r="G130" s="2363" t="s">
        <v>22</v>
      </c>
      <c r="H130" s="828" t="s">
        <v>22</v>
      </c>
      <c r="I130" s="2363" t="s">
        <v>1008</v>
      </c>
      <c r="J130" s="828" t="s">
        <v>22</v>
      </c>
      <c r="K130" s="2363" t="s">
        <v>22</v>
      </c>
      <c r="L130" s="828" t="s">
        <v>22</v>
      </c>
      <c r="M130" s="2363" t="s">
        <v>22</v>
      </c>
      <c r="N130" s="828" t="s">
        <v>22</v>
      </c>
      <c r="O130" s="2363" t="s">
        <v>983</v>
      </c>
      <c r="P130" s="828" t="s">
        <v>22</v>
      </c>
      <c r="Q130" s="1535"/>
      <c r="R130" s="1645"/>
      <c r="S130" s="1645"/>
      <c r="T130" s="1645"/>
      <c r="U130" s="1645"/>
      <c r="V130" s="1645"/>
      <c r="W130" s="1645"/>
      <c r="X130" s="1645"/>
      <c r="Y130" s="1645"/>
      <c r="Z130" s="1645"/>
      <c r="AA130" s="685"/>
      <c r="AB130" s="1645">
        <v>0</v>
      </c>
    </row>
    <row s="1860" customFormat="1" customHeight="1" ht="15">
      <c r="A131" s="1645"/>
      <c r="B131" s="2407"/>
      <c r="C131" s="2408"/>
      <c r="D131" s="699" t="str">
        <f>B130&amp;".2"</f>
        <v>3.32.2</v>
      </c>
      <c r="E131" s="1677" t="s">
        <v>967</v>
      </c>
      <c r="F131" s="2273" t="s">
        <v>328</v>
      </c>
      <c r="G131" s="1748" t="s">
        <v>22</v>
      </c>
      <c r="H131" s="828" t="s">
        <v>22</v>
      </c>
      <c r="I131" s="1748">
        <v>46140</v>
      </c>
      <c r="J131" s="828" t="s">
        <v>22</v>
      </c>
      <c r="K131" s="1748" t="s">
        <v>22</v>
      </c>
      <c r="L131" s="828" t="s">
        <v>22</v>
      </c>
      <c r="M131" s="1748" t="s">
        <v>22</v>
      </c>
      <c r="N131" s="828" t="s">
        <v>22</v>
      </c>
      <c r="O131" s="1748">
        <v>46148</v>
      </c>
      <c r="P131" s="828" t="s">
        <v>22</v>
      </c>
      <c r="Q131" s="1535" t="s">
        <v>968</v>
      </c>
      <c r="R131" s="1645"/>
      <c r="S131" s="1645"/>
      <c r="T131" s="1645"/>
      <c r="U131" s="1645"/>
      <c r="V131" s="1645"/>
      <c r="W131" s="1645"/>
      <c r="X131" s="1645"/>
      <c r="Y131" s="1645"/>
      <c r="Z131" s="1645"/>
      <c r="AA131" s="685"/>
      <c r="AB131" s="1645">
        <v>0</v>
      </c>
    </row>
    <row s="1860" customFormat="1" customHeight="1" ht="15">
      <c r="A132" s="1645"/>
      <c r="B132" s="2407"/>
      <c r="C132" s="2408"/>
      <c r="D132" s="699" t="str">
        <f>B130&amp;".3"</f>
        <v>3.32.3</v>
      </c>
      <c r="E132" s="1677" t="s">
        <v>969</v>
      </c>
      <c r="F132" s="2273" t="s">
        <v>328</v>
      </c>
      <c r="G132" s="1748" t="s">
        <v>22</v>
      </c>
      <c r="H132" s="828" t="s">
        <v>22</v>
      </c>
      <c r="I132" s="1748" t="s">
        <v>22</v>
      </c>
      <c r="J132" s="828" t="s">
        <v>22</v>
      </c>
      <c r="K132" s="1748" t="s">
        <v>22</v>
      </c>
      <c r="L132" s="828" t="s">
        <v>22</v>
      </c>
      <c r="M132" s="1748" t="s">
        <v>22</v>
      </c>
      <c r="N132" s="828" t="s">
        <v>22</v>
      </c>
      <c r="O132" s="1748" t="s">
        <v>22</v>
      </c>
      <c r="P132" s="828" t="s">
        <v>22</v>
      </c>
      <c r="Q132" s="1535" t="s">
        <v>970</v>
      </c>
      <c r="R132" s="1645"/>
      <c r="S132" s="1645"/>
      <c r="T132" s="1645"/>
      <c r="U132" s="1645"/>
      <c r="V132" s="1645"/>
      <c r="W132" s="1645"/>
      <c r="X132" s="1645"/>
      <c r="Y132" s="1645"/>
      <c r="Z132" s="1645"/>
      <c r="AA132" s="685"/>
      <c r="AB132" s="1645">
        <v>0</v>
      </c>
    </row>
    <row s="1860" customFormat="1" customHeight="1" ht="22.5">
      <c r="A133" s="1645"/>
      <c r="B133" s="2407" t="s">
        <v>1020</v>
      </c>
      <c r="C133" s="2408" t="s">
        <v>105</v>
      </c>
      <c r="D133" s="699" t="str">
        <f>B133&amp;".1"</f>
        <v>3.33.1</v>
      </c>
      <c r="E133" s="1677" t="s">
        <v>966</v>
      </c>
      <c r="F133" s="2273" t="s">
        <v>328</v>
      </c>
      <c r="G133" s="2363" t="s">
        <v>22</v>
      </c>
      <c r="H133" s="828" t="s">
        <v>22</v>
      </c>
      <c r="I133" s="2363" t="s">
        <v>983</v>
      </c>
      <c r="J133" s="828" t="s">
        <v>22</v>
      </c>
      <c r="K133" s="2363" t="s">
        <v>22</v>
      </c>
      <c r="L133" s="828" t="s">
        <v>22</v>
      </c>
      <c r="M133" s="2363" t="s">
        <v>22</v>
      </c>
      <c r="N133" s="828" t="s">
        <v>22</v>
      </c>
      <c r="O133" s="2363" t="s">
        <v>983</v>
      </c>
      <c r="P133" s="828" t="s">
        <v>22</v>
      </c>
      <c r="Q133" s="1535"/>
      <c r="R133" s="1645"/>
      <c r="S133" s="1645"/>
      <c r="T133" s="1645"/>
      <c r="U133" s="1645"/>
      <c r="V133" s="1645"/>
      <c r="W133" s="1645"/>
      <c r="X133" s="1645"/>
      <c r="Y133" s="1645"/>
      <c r="Z133" s="1645"/>
      <c r="AA133" s="685"/>
      <c r="AB133" s="1645">
        <v>0</v>
      </c>
    </row>
    <row s="1860" customFormat="1" customHeight="1" ht="15">
      <c r="A134" s="1645"/>
      <c r="B134" s="2407"/>
      <c r="C134" s="2408"/>
      <c r="D134" s="699" t="str">
        <f>B133&amp;".2"</f>
        <v>3.33.2</v>
      </c>
      <c r="E134" s="1677" t="s">
        <v>967</v>
      </c>
      <c r="F134" s="2273" t="s">
        <v>328</v>
      </c>
      <c r="G134" s="1748" t="s">
        <v>22</v>
      </c>
      <c r="H134" s="828" t="s">
        <v>22</v>
      </c>
      <c r="I134" s="1748">
        <v>46140</v>
      </c>
      <c r="J134" s="828" t="s">
        <v>22</v>
      </c>
      <c r="K134" s="1748" t="s">
        <v>22</v>
      </c>
      <c r="L134" s="828" t="s">
        <v>22</v>
      </c>
      <c r="M134" s="1748" t="s">
        <v>22</v>
      </c>
      <c r="N134" s="828" t="s">
        <v>22</v>
      </c>
      <c r="O134" s="1748">
        <v>46148</v>
      </c>
      <c r="P134" s="828" t="s">
        <v>22</v>
      </c>
      <c r="Q134" s="1535" t="s">
        <v>968</v>
      </c>
      <c r="R134" s="1645"/>
      <c r="S134" s="1645"/>
      <c r="T134" s="1645"/>
      <c r="U134" s="1645"/>
      <c r="V134" s="1645"/>
      <c r="W134" s="1645"/>
      <c r="X134" s="1645"/>
      <c r="Y134" s="1645"/>
      <c r="Z134" s="1645"/>
      <c r="AA134" s="685"/>
      <c r="AB134" s="1645">
        <v>0</v>
      </c>
    </row>
    <row s="1860" customFormat="1" customHeight="1" ht="15">
      <c r="A135" s="1645"/>
      <c r="B135" s="2407"/>
      <c r="C135" s="2408"/>
      <c r="D135" s="699" t="str">
        <f>B133&amp;".3"</f>
        <v>3.33.3</v>
      </c>
      <c r="E135" s="1677" t="s">
        <v>969</v>
      </c>
      <c r="F135" s="2273" t="s">
        <v>328</v>
      </c>
      <c r="G135" s="1748" t="s">
        <v>22</v>
      </c>
      <c r="H135" s="828" t="s">
        <v>22</v>
      </c>
      <c r="I135" s="1748"/>
      <c r="J135" s="828" t="s">
        <v>22</v>
      </c>
      <c r="K135" s="1748" t="s">
        <v>22</v>
      </c>
      <c r="L135" s="828" t="s">
        <v>22</v>
      </c>
      <c r="M135" s="1748" t="s">
        <v>22</v>
      </c>
      <c r="N135" s="828" t="s">
        <v>22</v>
      </c>
      <c r="O135" s="1748" t="s">
        <v>22</v>
      </c>
      <c r="P135" s="828" t="s">
        <v>22</v>
      </c>
      <c r="Q135" s="1535" t="s">
        <v>970</v>
      </c>
      <c r="R135" s="1645"/>
      <c r="S135" s="1645"/>
      <c r="T135" s="1645"/>
      <c r="U135" s="1645"/>
      <c r="V135" s="1645"/>
      <c r="W135" s="1645"/>
      <c r="X135" s="1645"/>
      <c r="Y135" s="1645"/>
      <c r="Z135" s="1645"/>
      <c r="AA135" s="685"/>
      <c r="AB135" s="1645">
        <v>0</v>
      </c>
    </row>
    <row s="1860" customFormat="1" customHeight="1" ht="22.5">
      <c r="A136" s="1645"/>
      <c r="B136" s="2407" t="s">
        <v>1021</v>
      </c>
      <c r="C136" s="2408" t="s">
        <v>105</v>
      </c>
      <c r="D136" s="699" t="str">
        <f>B136&amp;".1"</f>
        <v>3.34.1</v>
      </c>
      <c r="E136" s="1677" t="s">
        <v>966</v>
      </c>
      <c r="F136" s="2273" t="s">
        <v>328</v>
      </c>
      <c r="G136" s="2363" t="s">
        <v>22</v>
      </c>
      <c r="H136" s="828" t="s">
        <v>22</v>
      </c>
      <c r="I136" s="2363" t="s">
        <v>983</v>
      </c>
      <c r="J136" s="828" t="s">
        <v>22</v>
      </c>
      <c r="K136" s="2363" t="s">
        <v>22</v>
      </c>
      <c r="L136" s="828" t="s">
        <v>22</v>
      </c>
      <c r="M136" s="2363" t="s">
        <v>22</v>
      </c>
      <c r="N136" s="828" t="s">
        <v>22</v>
      </c>
      <c r="O136" s="2363" t="s">
        <v>983</v>
      </c>
      <c r="P136" s="828" t="s">
        <v>22</v>
      </c>
      <c r="Q136" s="1535"/>
      <c r="R136" s="1645"/>
      <c r="S136" s="1645"/>
      <c r="T136" s="1645"/>
      <c r="U136" s="1645"/>
      <c r="V136" s="1645"/>
      <c r="W136" s="1645"/>
      <c r="X136" s="1645"/>
      <c r="Y136" s="1645"/>
      <c r="Z136" s="1645"/>
      <c r="AA136" s="685"/>
      <c r="AB136" s="1645">
        <v>0</v>
      </c>
    </row>
    <row s="1860" customFormat="1" customHeight="1" ht="15">
      <c r="A137" s="1645"/>
      <c r="B137" s="2407"/>
      <c r="C137" s="2408"/>
      <c r="D137" s="699" t="str">
        <f>B136&amp;".2"</f>
        <v>3.34.2</v>
      </c>
      <c r="E137" s="1677" t="s">
        <v>967</v>
      </c>
      <c r="F137" s="2273" t="s">
        <v>328</v>
      </c>
      <c r="G137" s="1748" t="s">
        <v>22</v>
      </c>
      <c r="H137" s="828" t="s">
        <v>22</v>
      </c>
      <c r="I137" s="1748">
        <v>46140</v>
      </c>
      <c r="J137" s="828" t="s">
        <v>22</v>
      </c>
      <c r="K137" s="1748" t="s">
        <v>22</v>
      </c>
      <c r="L137" s="828" t="s">
        <v>22</v>
      </c>
      <c r="M137" s="1748" t="s">
        <v>22</v>
      </c>
      <c r="N137" s="828" t="s">
        <v>22</v>
      </c>
      <c r="O137" s="1748">
        <v>46148</v>
      </c>
      <c r="P137" s="828" t="s">
        <v>22</v>
      </c>
      <c r="Q137" s="1535" t="s">
        <v>968</v>
      </c>
      <c r="R137" s="1645"/>
      <c r="S137" s="1645"/>
      <c r="T137" s="1645"/>
      <c r="U137" s="1645"/>
      <c r="V137" s="1645"/>
      <c r="W137" s="1645"/>
      <c r="X137" s="1645"/>
      <c r="Y137" s="1645"/>
      <c r="Z137" s="1645"/>
      <c r="AA137" s="685"/>
      <c r="AB137" s="1645">
        <v>0</v>
      </c>
    </row>
    <row s="1860" customFormat="1" customHeight="1" ht="15">
      <c r="A138" s="1645"/>
      <c r="B138" s="2407"/>
      <c r="C138" s="2408"/>
      <c r="D138" s="699" t="str">
        <f>B136&amp;".3"</f>
        <v>3.34.3</v>
      </c>
      <c r="E138" s="1677" t="s">
        <v>969</v>
      </c>
      <c r="F138" s="2273" t="s">
        <v>328</v>
      </c>
      <c r="G138" s="1748" t="s">
        <v>22</v>
      </c>
      <c r="H138" s="828" t="s">
        <v>22</v>
      </c>
      <c r="I138" s="1748" t="s">
        <v>22</v>
      </c>
      <c r="J138" s="828" t="s">
        <v>22</v>
      </c>
      <c r="K138" s="1748" t="s">
        <v>22</v>
      </c>
      <c r="L138" s="828" t="s">
        <v>22</v>
      </c>
      <c r="M138" s="1748" t="s">
        <v>22</v>
      </c>
      <c r="N138" s="828" t="s">
        <v>22</v>
      </c>
      <c r="O138" s="1748" t="s">
        <v>22</v>
      </c>
      <c r="P138" s="828" t="s">
        <v>22</v>
      </c>
      <c r="Q138" s="1535" t="s">
        <v>970</v>
      </c>
      <c r="R138" s="1645"/>
      <c r="S138" s="1645"/>
      <c r="T138" s="1645"/>
      <c r="U138" s="1645"/>
      <c r="V138" s="1645"/>
      <c r="W138" s="1645"/>
      <c r="X138" s="1645"/>
      <c r="Y138" s="1645"/>
      <c r="Z138" s="1645"/>
      <c r="AA138" s="685"/>
      <c r="AB138" s="1645">
        <v>0</v>
      </c>
    </row>
    <row s="1860" customFormat="1" customHeight="1" ht="22.5">
      <c r="A139" s="1645"/>
      <c r="B139" s="2407" t="s">
        <v>1022</v>
      </c>
      <c r="C139" s="2408" t="s">
        <v>105</v>
      </c>
      <c r="D139" s="699" t="str">
        <f>B139&amp;".1"</f>
        <v>3.35.1</v>
      </c>
      <c r="E139" s="1677" t="s">
        <v>966</v>
      </c>
      <c r="F139" s="2273" t="s">
        <v>328</v>
      </c>
      <c r="G139" s="2363" t="s">
        <v>22</v>
      </c>
      <c r="H139" s="828" t="s">
        <v>22</v>
      </c>
      <c r="I139" s="2363" t="s">
        <v>983</v>
      </c>
      <c r="J139" s="828" t="s">
        <v>22</v>
      </c>
      <c r="K139" s="2363" t="s">
        <v>22</v>
      </c>
      <c r="L139" s="828" t="s">
        <v>22</v>
      </c>
      <c r="M139" s="2363" t="s">
        <v>22</v>
      </c>
      <c r="N139" s="828" t="s">
        <v>22</v>
      </c>
      <c r="O139" s="2363" t="s">
        <v>983</v>
      </c>
      <c r="P139" s="828" t="s">
        <v>22</v>
      </c>
      <c r="Q139" s="1535"/>
      <c r="R139" s="1645"/>
      <c r="S139" s="1645"/>
      <c r="T139" s="1645"/>
      <c r="U139" s="1645"/>
      <c r="V139" s="1645"/>
      <c r="W139" s="1645"/>
      <c r="X139" s="1645"/>
      <c r="Y139" s="1645"/>
      <c r="Z139" s="1645"/>
      <c r="AA139" s="685"/>
      <c r="AB139" s="1645">
        <v>0</v>
      </c>
    </row>
    <row s="1860" customFormat="1" customHeight="1" ht="15">
      <c r="A140" s="1645"/>
      <c r="B140" s="2407"/>
      <c r="C140" s="2408"/>
      <c r="D140" s="699" t="str">
        <f>B139&amp;".2"</f>
        <v>3.35.2</v>
      </c>
      <c r="E140" s="1677" t="s">
        <v>967</v>
      </c>
      <c r="F140" s="2273" t="s">
        <v>328</v>
      </c>
      <c r="G140" s="1748" t="s">
        <v>22</v>
      </c>
      <c r="H140" s="828" t="s">
        <v>22</v>
      </c>
      <c r="I140" s="1748">
        <v>46141</v>
      </c>
      <c r="J140" s="828" t="s">
        <v>22</v>
      </c>
      <c r="K140" s="1748" t="s">
        <v>22</v>
      </c>
      <c r="L140" s="828" t="s">
        <v>22</v>
      </c>
      <c r="M140" s="1748" t="s">
        <v>22</v>
      </c>
      <c r="N140" s="828" t="s">
        <v>22</v>
      </c>
      <c r="O140" s="1748">
        <v>46154</v>
      </c>
      <c r="P140" s="828" t="s">
        <v>22</v>
      </c>
      <c r="Q140" s="1535" t="s">
        <v>968</v>
      </c>
      <c r="R140" s="1645"/>
      <c r="S140" s="1645"/>
      <c r="T140" s="1645"/>
      <c r="U140" s="1645"/>
      <c r="V140" s="1645"/>
      <c r="W140" s="1645"/>
      <c r="X140" s="1645"/>
      <c r="Y140" s="1645"/>
      <c r="Z140" s="1645"/>
      <c r="AA140" s="685"/>
      <c r="AB140" s="1645">
        <v>0</v>
      </c>
    </row>
    <row s="1860" customFormat="1" customHeight="1" ht="15">
      <c r="A141" s="1645"/>
      <c r="B141" s="2407"/>
      <c r="C141" s="2408"/>
      <c r="D141" s="699" t="str">
        <f>B139&amp;".3"</f>
        <v>3.35.3</v>
      </c>
      <c r="E141" s="1677" t="s">
        <v>969</v>
      </c>
      <c r="F141" s="2273" t="s">
        <v>328</v>
      </c>
      <c r="G141" s="1748" t="s">
        <v>22</v>
      </c>
      <c r="H141" s="828" t="s">
        <v>22</v>
      </c>
      <c r="I141" s="1748" t="s">
        <v>22</v>
      </c>
      <c r="J141" s="828" t="s">
        <v>22</v>
      </c>
      <c r="K141" s="1748" t="s">
        <v>22</v>
      </c>
      <c r="L141" s="828" t="s">
        <v>22</v>
      </c>
      <c r="M141" s="1748" t="s">
        <v>22</v>
      </c>
      <c r="N141" s="828" t="s">
        <v>22</v>
      </c>
      <c r="O141" s="1748" t="s">
        <v>22</v>
      </c>
      <c r="P141" s="828" t="s">
        <v>22</v>
      </c>
      <c r="Q141" s="1535" t="s">
        <v>970</v>
      </c>
      <c r="R141" s="1645"/>
      <c r="S141" s="1645"/>
      <c r="T141" s="1645"/>
      <c r="U141" s="1645"/>
      <c r="V141" s="1645"/>
      <c r="W141" s="1645"/>
      <c r="X141" s="1645"/>
      <c r="Y141" s="1645"/>
      <c r="Z141" s="1645"/>
      <c r="AA141" s="685"/>
      <c r="AB141" s="1645">
        <v>0</v>
      </c>
    </row>
    <row s="1860" customFormat="1" customHeight="1" ht="22.5">
      <c r="A142" s="1645"/>
      <c r="B142" s="2407" t="s">
        <v>1023</v>
      </c>
      <c r="C142" s="2408" t="s">
        <v>105</v>
      </c>
      <c r="D142" s="699" t="str">
        <f>B142&amp;".1"</f>
        <v>3.36.1</v>
      </c>
      <c r="E142" s="1677" t="s">
        <v>966</v>
      </c>
      <c r="F142" s="2273" t="s">
        <v>328</v>
      </c>
      <c r="G142" s="2363" t="s">
        <v>22</v>
      </c>
      <c r="H142" s="828" t="s">
        <v>22</v>
      </c>
      <c r="I142" s="2363" t="s">
        <v>986</v>
      </c>
      <c r="J142" s="828" t="s">
        <v>22</v>
      </c>
      <c r="K142" s="2363" t="s">
        <v>22</v>
      </c>
      <c r="L142" s="828" t="s">
        <v>22</v>
      </c>
      <c r="M142" s="2363" t="s">
        <v>22</v>
      </c>
      <c r="N142" s="828" t="s">
        <v>22</v>
      </c>
      <c r="O142" s="2363" t="s">
        <v>983</v>
      </c>
      <c r="P142" s="828" t="s">
        <v>22</v>
      </c>
      <c r="Q142" s="1535"/>
      <c r="R142" s="1645"/>
      <c r="S142" s="1645"/>
      <c r="T142" s="1645"/>
      <c r="U142" s="1645"/>
      <c r="V142" s="1645"/>
      <c r="W142" s="1645"/>
      <c r="X142" s="1645"/>
      <c r="Y142" s="1645"/>
      <c r="Z142" s="1645"/>
      <c r="AA142" s="685"/>
      <c r="AB142" s="1645">
        <v>0</v>
      </c>
    </row>
    <row s="1860" customFormat="1" customHeight="1" ht="15">
      <c r="A143" s="1645"/>
      <c r="B143" s="2407"/>
      <c r="C143" s="2408"/>
      <c r="D143" s="699" t="str">
        <f>B142&amp;".2"</f>
        <v>3.36.2</v>
      </c>
      <c r="E143" s="1677" t="s">
        <v>967</v>
      </c>
      <c r="F143" s="2273" t="s">
        <v>328</v>
      </c>
      <c r="G143" s="1748" t="s">
        <v>22</v>
      </c>
      <c r="H143" s="828" t="s">
        <v>22</v>
      </c>
      <c r="I143" s="1748">
        <v>46141</v>
      </c>
      <c r="J143" s="828" t="s">
        <v>22</v>
      </c>
      <c r="K143" s="1748" t="s">
        <v>22</v>
      </c>
      <c r="L143" s="828" t="s">
        <v>22</v>
      </c>
      <c r="M143" s="1748" t="s">
        <v>22</v>
      </c>
      <c r="N143" s="828" t="s">
        <v>22</v>
      </c>
      <c r="O143" s="1748">
        <v>46154</v>
      </c>
      <c r="P143" s="828" t="s">
        <v>22</v>
      </c>
      <c r="Q143" s="1535" t="s">
        <v>968</v>
      </c>
      <c r="R143" s="1645"/>
      <c r="S143" s="1645"/>
      <c r="T143" s="1645"/>
      <c r="U143" s="1645"/>
      <c r="V143" s="1645"/>
      <c r="W143" s="1645"/>
      <c r="X143" s="1645"/>
      <c r="Y143" s="1645"/>
      <c r="Z143" s="1645"/>
      <c r="AA143" s="685"/>
      <c r="AB143" s="1645">
        <v>0</v>
      </c>
    </row>
    <row s="1860" customFormat="1" customHeight="1" ht="15">
      <c r="A144" s="1645"/>
      <c r="B144" s="2407"/>
      <c r="C144" s="2408"/>
      <c r="D144" s="699" t="str">
        <f>B142&amp;".3"</f>
        <v>3.36.3</v>
      </c>
      <c r="E144" s="1677" t="s">
        <v>969</v>
      </c>
      <c r="F144" s="2273" t="s">
        <v>328</v>
      </c>
      <c r="G144" s="1748" t="s">
        <v>22</v>
      </c>
      <c r="H144" s="828" t="s">
        <v>22</v>
      </c>
      <c r="I144" s="1748" t="s">
        <v>22</v>
      </c>
      <c r="J144" s="828" t="s">
        <v>22</v>
      </c>
      <c r="K144" s="1748" t="s">
        <v>22</v>
      </c>
      <c r="L144" s="828" t="s">
        <v>22</v>
      </c>
      <c r="M144" s="1748" t="s">
        <v>22</v>
      </c>
      <c r="N144" s="828" t="s">
        <v>22</v>
      </c>
      <c r="O144" s="1748" t="s">
        <v>22</v>
      </c>
      <c r="P144" s="828" t="s">
        <v>22</v>
      </c>
      <c r="Q144" s="1535" t="s">
        <v>970</v>
      </c>
      <c r="R144" s="1645"/>
      <c r="S144" s="1645"/>
      <c r="T144" s="1645"/>
      <c r="U144" s="1645"/>
      <c r="V144" s="1645"/>
      <c r="W144" s="1645"/>
      <c r="X144" s="1645"/>
      <c r="Y144" s="1645"/>
      <c r="Z144" s="1645"/>
      <c r="AA144" s="685"/>
      <c r="AB144" s="1645">
        <v>0</v>
      </c>
    </row>
    <row s="1860" customFormat="1" customHeight="1" ht="22.5">
      <c r="A145" s="1645"/>
      <c r="B145" s="2407" t="s">
        <v>1024</v>
      </c>
      <c r="C145" s="2408" t="s">
        <v>105</v>
      </c>
      <c r="D145" s="699" t="str">
        <f>B145&amp;".1"</f>
        <v>3.37.1</v>
      </c>
      <c r="E145" s="1677" t="s">
        <v>966</v>
      </c>
      <c r="F145" s="2273" t="s">
        <v>328</v>
      </c>
      <c r="G145" s="2363" t="s">
        <v>22</v>
      </c>
      <c r="H145" s="828" t="s">
        <v>22</v>
      </c>
      <c r="I145" s="2363" t="s">
        <v>1025</v>
      </c>
      <c r="J145" s="828" t="s">
        <v>22</v>
      </c>
      <c r="K145" s="2363" t="s">
        <v>22</v>
      </c>
      <c r="L145" s="828" t="s">
        <v>22</v>
      </c>
      <c r="M145" s="2363" t="s">
        <v>22</v>
      </c>
      <c r="N145" s="828" t="s">
        <v>22</v>
      </c>
      <c r="O145" s="2363" t="s">
        <v>983</v>
      </c>
      <c r="P145" s="828" t="s">
        <v>22</v>
      </c>
      <c r="Q145" s="1535"/>
      <c r="R145" s="1645"/>
      <c r="S145" s="1645"/>
      <c r="T145" s="1645"/>
      <c r="U145" s="1645"/>
      <c r="V145" s="1645"/>
      <c r="W145" s="1645"/>
      <c r="X145" s="1645"/>
      <c r="Y145" s="1645"/>
      <c r="Z145" s="1645"/>
      <c r="AA145" s="685"/>
      <c r="AB145" s="1645">
        <v>0</v>
      </c>
    </row>
    <row s="1860" customFormat="1" customHeight="1" ht="15">
      <c r="A146" s="1645"/>
      <c r="B146" s="2407"/>
      <c r="C146" s="2408"/>
      <c r="D146" s="699" t="str">
        <f>B145&amp;".2"</f>
        <v>3.37.2</v>
      </c>
      <c r="E146" s="1677" t="s">
        <v>967</v>
      </c>
      <c r="F146" s="2273" t="s">
        <v>328</v>
      </c>
      <c r="G146" s="1748" t="s">
        <v>22</v>
      </c>
      <c r="H146" s="828" t="s">
        <v>22</v>
      </c>
      <c r="I146" s="1748">
        <v>46142</v>
      </c>
      <c r="J146" s="828" t="s">
        <v>22</v>
      </c>
      <c r="K146" s="1748" t="s">
        <v>22</v>
      </c>
      <c r="L146" s="828" t="s">
        <v>22</v>
      </c>
      <c r="M146" s="1748" t="s">
        <v>22</v>
      </c>
      <c r="N146" s="828" t="s">
        <v>22</v>
      </c>
      <c r="O146" s="1748">
        <v>46154</v>
      </c>
      <c r="P146" s="828" t="s">
        <v>22</v>
      </c>
      <c r="Q146" s="1535" t="s">
        <v>968</v>
      </c>
      <c r="R146" s="1645"/>
      <c r="S146" s="1645"/>
      <c r="T146" s="1645"/>
      <c r="U146" s="1645"/>
      <c r="V146" s="1645"/>
      <c r="W146" s="1645"/>
      <c r="X146" s="1645"/>
      <c r="Y146" s="1645"/>
      <c r="Z146" s="1645"/>
      <c r="AA146" s="685"/>
      <c r="AB146" s="1645">
        <v>0</v>
      </c>
    </row>
    <row s="1860" customFormat="1" customHeight="1" ht="15">
      <c r="A147" s="1645"/>
      <c r="B147" s="2407"/>
      <c r="C147" s="2408"/>
      <c r="D147" s="699" t="str">
        <f>B145&amp;".3"</f>
        <v>3.37.3</v>
      </c>
      <c r="E147" s="1677" t="s">
        <v>969</v>
      </c>
      <c r="F147" s="2273" t="s">
        <v>328</v>
      </c>
      <c r="G147" s="1748" t="s">
        <v>22</v>
      </c>
      <c r="H147" s="828" t="s">
        <v>22</v>
      </c>
      <c r="I147" s="1748" t="s">
        <v>22</v>
      </c>
      <c r="J147" s="828" t="s">
        <v>22</v>
      </c>
      <c r="K147" s="1748" t="s">
        <v>22</v>
      </c>
      <c r="L147" s="828" t="s">
        <v>22</v>
      </c>
      <c r="M147" s="1748" t="s">
        <v>22</v>
      </c>
      <c r="N147" s="828" t="s">
        <v>22</v>
      </c>
      <c r="O147" s="1748" t="s">
        <v>22</v>
      </c>
      <c r="P147" s="828" t="s">
        <v>22</v>
      </c>
      <c r="Q147" s="1535" t="s">
        <v>970</v>
      </c>
      <c r="R147" s="1645"/>
      <c r="S147" s="1645"/>
      <c r="T147" s="1645"/>
      <c r="U147" s="1645"/>
      <c r="V147" s="1645"/>
      <c r="W147" s="1645"/>
      <c r="X147" s="1645"/>
      <c r="Y147" s="1645"/>
      <c r="Z147" s="1645"/>
      <c r="AA147" s="685"/>
      <c r="AB147" s="1645">
        <v>0</v>
      </c>
    </row>
    <row s="1860" customFormat="1" customHeight="1" ht="22.5">
      <c r="A148" s="1645"/>
      <c r="B148" s="2407" t="s">
        <v>1026</v>
      </c>
      <c r="C148" s="2408" t="s">
        <v>105</v>
      </c>
      <c r="D148" s="699" t="str">
        <f>B148&amp;".1"</f>
        <v>3.38.1</v>
      </c>
      <c r="E148" s="1677" t="s">
        <v>966</v>
      </c>
      <c r="F148" s="2273" t="s">
        <v>328</v>
      </c>
      <c r="G148" s="2363" t="s">
        <v>22</v>
      </c>
      <c r="H148" s="828" t="s">
        <v>22</v>
      </c>
      <c r="I148" s="2363" t="s">
        <v>985</v>
      </c>
      <c r="J148" s="828" t="s">
        <v>22</v>
      </c>
      <c r="K148" s="2363" t="s">
        <v>22</v>
      </c>
      <c r="L148" s="828" t="s">
        <v>22</v>
      </c>
      <c r="M148" s="2363" t="s">
        <v>22</v>
      </c>
      <c r="N148" s="828" t="s">
        <v>22</v>
      </c>
      <c r="O148" s="2363" t="s">
        <v>983</v>
      </c>
      <c r="P148" s="828" t="s">
        <v>22</v>
      </c>
      <c r="Q148" s="1535"/>
      <c r="R148" s="1645"/>
      <c r="S148" s="1645"/>
      <c r="T148" s="1645"/>
      <c r="U148" s="1645"/>
      <c r="V148" s="1645"/>
      <c r="W148" s="1645"/>
      <c r="X148" s="1645"/>
      <c r="Y148" s="1645"/>
      <c r="Z148" s="1645"/>
      <c r="AA148" s="685"/>
      <c r="AB148" s="1645">
        <v>0</v>
      </c>
    </row>
    <row s="1860" customFormat="1" customHeight="1" ht="15">
      <c r="A149" s="1645"/>
      <c r="B149" s="2407"/>
      <c r="C149" s="2408"/>
      <c r="D149" s="699" t="str">
        <f>B148&amp;".2"</f>
        <v>3.38.2</v>
      </c>
      <c r="E149" s="1677" t="s">
        <v>967</v>
      </c>
      <c r="F149" s="2273" t="s">
        <v>328</v>
      </c>
      <c r="G149" s="1748" t="s">
        <v>22</v>
      </c>
      <c r="H149" s="828" t="s">
        <v>22</v>
      </c>
      <c r="I149" s="1748">
        <v>46142</v>
      </c>
      <c r="J149" s="828" t="s">
        <v>22</v>
      </c>
      <c r="K149" s="1748" t="s">
        <v>22</v>
      </c>
      <c r="L149" s="828" t="s">
        <v>22</v>
      </c>
      <c r="M149" s="1748" t="s">
        <v>22</v>
      </c>
      <c r="N149" s="828" t="s">
        <v>22</v>
      </c>
      <c r="O149" s="1748">
        <v>46154</v>
      </c>
      <c r="P149" s="828" t="s">
        <v>22</v>
      </c>
      <c r="Q149" s="1535" t="s">
        <v>968</v>
      </c>
      <c r="R149" s="1645"/>
      <c r="S149" s="1645"/>
      <c r="T149" s="1645"/>
      <c r="U149" s="1645"/>
      <c r="V149" s="1645"/>
      <c r="W149" s="1645"/>
      <c r="X149" s="1645"/>
      <c r="Y149" s="1645"/>
      <c r="Z149" s="1645"/>
      <c r="AA149" s="685"/>
      <c r="AB149" s="1645">
        <v>0</v>
      </c>
    </row>
    <row s="1860" customFormat="1" customHeight="1" ht="15">
      <c r="A150" s="1645"/>
      <c r="B150" s="2407"/>
      <c r="C150" s="2408"/>
      <c r="D150" s="699" t="str">
        <f>B148&amp;".3"</f>
        <v>3.38.3</v>
      </c>
      <c r="E150" s="1677" t="s">
        <v>969</v>
      </c>
      <c r="F150" s="2273" t="s">
        <v>328</v>
      </c>
      <c r="G150" s="1748" t="s">
        <v>22</v>
      </c>
      <c r="H150" s="828" t="s">
        <v>22</v>
      </c>
      <c r="I150" s="1748" t="s">
        <v>22</v>
      </c>
      <c r="J150" s="828" t="s">
        <v>22</v>
      </c>
      <c r="K150" s="1748" t="s">
        <v>22</v>
      </c>
      <c r="L150" s="828" t="s">
        <v>22</v>
      </c>
      <c r="M150" s="1748" t="s">
        <v>22</v>
      </c>
      <c r="N150" s="828" t="s">
        <v>22</v>
      </c>
      <c r="O150" s="1748" t="s">
        <v>22</v>
      </c>
      <c r="P150" s="828" t="s">
        <v>22</v>
      </c>
      <c r="Q150" s="1535" t="s">
        <v>970</v>
      </c>
      <c r="R150" s="1645"/>
      <c r="S150" s="1645"/>
      <c r="T150" s="1645"/>
      <c r="U150" s="1645"/>
      <c r="V150" s="1645"/>
      <c r="W150" s="1645"/>
      <c r="X150" s="1645"/>
      <c r="Y150" s="1645"/>
      <c r="Z150" s="1645"/>
      <c r="AA150" s="685"/>
      <c r="AB150" s="1645">
        <v>0</v>
      </c>
    </row>
    <row s="1860" customFormat="1" customHeight="1" ht="22.5">
      <c r="A151" s="1645"/>
      <c r="B151" s="2407" t="s">
        <v>1027</v>
      </c>
      <c r="C151" s="2408" t="s">
        <v>105</v>
      </c>
      <c r="D151" s="699" t="str">
        <f>B151&amp;".1"</f>
        <v>3.39.1</v>
      </c>
      <c r="E151" s="1677" t="s">
        <v>966</v>
      </c>
      <c r="F151" s="2273" t="s">
        <v>328</v>
      </c>
      <c r="G151" s="2363" t="s">
        <v>22</v>
      </c>
      <c r="H151" s="828" t="s">
        <v>22</v>
      </c>
      <c r="I151" s="2363" t="s">
        <v>983</v>
      </c>
      <c r="J151" s="828" t="s">
        <v>22</v>
      </c>
      <c r="K151" s="2363" t="s">
        <v>22</v>
      </c>
      <c r="L151" s="828" t="s">
        <v>22</v>
      </c>
      <c r="M151" s="2363" t="s">
        <v>22</v>
      </c>
      <c r="N151" s="828" t="s">
        <v>22</v>
      </c>
      <c r="O151" s="2363" t="s">
        <v>983</v>
      </c>
      <c r="P151" s="828" t="s">
        <v>22</v>
      </c>
      <c r="Q151" s="1535"/>
      <c r="R151" s="1645"/>
      <c r="S151" s="1645"/>
      <c r="T151" s="1645"/>
      <c r="U151" s="1645"/>
      <c r="V151" s="1645"/>
      <c r="W151" s="1645"/>
      <c r="X151" s="1645"/>
      <c r="Y151" s="1645"/>
      <c r="Z151" s="1645"/>
      <c r="AA151" s="685"/>
      <c r="AB151" s="1645">
        <v>0</v>
      </c>
    </row>
    <row s="1860" customFormat="1" customHeight="1" ht="15">
      <c r="A152" s="1645"/>
      <c r="B152" s="2407"/>
      <c r="C152" s="2408"/>
      <c r="D152" s="699" t="str">
        <f>B151&amp;".2"</f>
        <v>3.39.2</v>
      </c>
      <c r="E152" s="1677" t="s">
        <v>967</v>
      </c>
      <c r="F152" s="2273" t="s">
        <v>328</v>
      </c>
      <c r="G152" s="1748" t="s">
        <v>22</v>
      </c>
      <c r="H152" s="828" t="s">
        <v>22</v>
      </c>
      <c r="I152" s="1748">
        <v>46142</v>
      </c>
      <c r="J152" s="828" t="s">
        <v>22</v>
      </c>
      <c r="K152" s="1748" t="s">
        <v>22</v>
      </c>
      <c r="L152" s="828" t="s">
        <v>22</v>
      </c>
      <c r="M152" s="1748" t="s">
        <v>22</v>
      </c>
      <c r="N152" s="828" t="s">
        <v>22</v>
      </c>
      <c r="O152" s="1748">
        <v>46155</v>
      </c>
      <c r="P152" s="828" t="s">
        <v>22</v>
      </c>
      <c r="Q152" s="1535" t="s">
        <v>968</v>
      </c>
      <c r="R152" s="1645"/>
      <c r="S152" s="1645"/>
      <c r="T152" s="1645"/>
      <c r="U152" s="1645"/>
      <c r="V152" s="1645"/>
      <c r="W152" s="1645"/>
      <c r="X152" s="1645"/>
      <c r="Y152" s="1645"/>
      <c r="Z152" s="1645"/>
      <c r="AA152" s="685"/>
      <c r="AB152" s="1645">
        <v>0</v>
      </c>
    </row>
    <row s="1860" customFormat="1" customHeight="1" ht="15">
      <c r="A153" s="1645"/>
      <c r="B153" s="2407"/>
      <c r="C153" s="2408"/>
      <c r="D153" s="699" t="str">
        <f>B151&amp;".3"</f>
        <v>3.39.3</v>
      </c>
      <c r="E153" s="1677" t="s">
        <v>969</v>
      </c>
      <c r="F153" s="2273" t="s">
        <v>328</v>
      </c>
      <c r="G153" s="1748" t="s">
        <v>22</v>
      </c>
      <c r="H153" s="828" t="s">
        <v>22</v>
      </c>
      <c r="I153" s="1748" t="s">
        <v>22</v>
      </c>
      <c r="J153" s="828" t="s">
        <v>22</v>
      </c>
      <c r="K153" s="1748" t="s">
        <v>22</v>
      </c>
      <c r="L153" s="828" t="s">
        <v>22</v>
      </c>
      <c r="M153" s="1748" t="s">
        <v>22</v>
      </c>
      <c r="N153" s="828" t="s">
        <v>22</v>
      </c>
      <c r="O153" s="1748" t="s">
        <v>22</v>
      </c>
      <c r="P153" s="828" t="s">
        <v>22</v>
      </c>
      <c r="Q153" s="1535" t="s">
        <v>970</v>
      </c>
      <c r="R153" s="1645"/>
      <c r="S153" s="1645"/>
      <c r="T153" s="1645"/>
      <c r="U153" s="1645"/>
      <c r="V153" s="1645"/>
      <c r="W153" s="1645"/>
      <c r="X153" s="1645"/>
      <c r="Y153" s="1645"/>
      <c r="Z153" s="1645"/>
      <c r="AA153" s="685"/>
      <c r="AB153" s="1645">
        <v>0</v>
      </c>
    </row>
    <row s="1860" customFormat="1" customHeight="1" ht="22.5">
      <c r="A154" s="1645"/>
      <c r="B154" s="2407" t="s">
        <v>1028</v>
      </c>
      <c r="C154" s="2408" t="s">
        <v>105</v>
      </c>
      <c r="D154" s="699" t="str">
        <f>B154&amp;".1"</f>
        <v>3.40.1</v>
      </c>
      <c r="E154" s="1677" t="s">
        <v>966</v>
      </c>
      <c r="F154" s="2273" t="s">
        <v>328</v>
      </c>
      <c r="G154" s="2363" t="s">
        <v>22</v>
      </c>
      <c r="H154" s="828" t="s">
        <v>22</v>
      </c>
      <c r="I154" s="2363" t="s">
        <v>983</v>
      </c>
      <c r="J154" s="828" t="s">
        <v>22</v>
      </c>
      <c r="K154" s="2363" t="s">
        <v>22</v>
      </c>
      <c r="L154" s="828" t="s">
        <v>22</v>
      </c>
      <c r="M154" s="2363" t="s">
        <v>22</v>
      </c>
      <c r="N154" s="828" t="s">
        <v>22</v>
      </c>
      <c r="O154" s="2363" t="s">
        <v>1008</v>
      </c>
      <c r="P154" s="828" t="s">
        <v>22</v>
      </c>
      <c r="Q154" s="1535"/>
      <c r="R154" s="1645"/>
      <c r="S154" s="1645"/>
      <c r="T154" s="1645"/>
      <c r="U154" s="1645"/>
      <c r="V154" s="1645"/>
      <c r="W154" s="1645"/>
      <c r="X154" s="1645"/>
      <c r="Y154" s="1645"/>
      <c r="Z154" s="1645"/>
      <c r="AA154" s="685"/>
      <c r="AB154" s="1645">
        <v>0</v>
      </c>
    </row>
    <row s="1860" customFormat="1" customHeight="1" ht="15">
      <c r="A155" s="1645"/>
      <c r="B155" s="2407"/>
      <c r="C155" s="2408"/>
      <c r="D155" s="699" t="str">
        <f>B154&amp;".2"</f>
        <v>3.40.2</v>
      </c>
      <c r="E155" s="1677" t="s">
        <v>967</v>
      </c>
      <c r="F155" s="2273" t="s">
        <v>328</v>
      </c>
      <c r="G155" s="1748" t="s">
        <v>22</v>
      </c>
      <c r="H155" s="828" t="s">
        <v>22</v>
      </c>
      <c r="I155" s="1748">
        <v>46142</v>
      </c>
      <c r="J155" s="828" t="s">
        <v>22</v>
      </c>
      <c r="K155" s="1748" t="s">
        <v>22</v>
      </c>
      <c r="L155" s="828" t="s">
        <v>22</v>
      </c>
      <c r="M155" s="1748" t="s">
        <v>22</v>
      </c>
      <c r="N155" s="828" t="s">
        <v>22</v>
      </c>
      <c r="O155" s="1748">
        <v>46155</v>
      </c>
      <c r="P155" s="828" t="s">
        <v>22</v>
      </c>
      <c r="Q155" s="1535" t="s">
        <v>968</v>
      </c>
      <c r="R155" s="1645"/>
      <c r="S155" s="1645"/>
      <c r="T155" s="1645"/>
      <c r="U155" s="1645"/>
      <c r="V155" s="1645"/>
      <c r="W155" s="1645"/>
      <c r="X155" s="1645"/>
      <c r="Y155" s="1645"/>
      <c r="Z155" s="1645"/>
      <c r="AA155" s="685"/>
      <c r="AB155" s="1645">
        <v>0</v>
      </c>
    </row>
    <row s="1860" customFormat="1" customHeight="1" ht="15">
      <c r="A156" s="1645"/>
      <c r="B156" s="2407"/>
      <c r="C156" s="2408"/>
      <c r="D156" s="699" t="str">
        <f>B154&amp;".3"</f>
        <v>3.40.3</v>
      </c>
      <c r="E156" s="1677" t="s">
        <v>969</v>
      </c>
      <c r="F156" s="2273" t="s">
        <v>328</v>
      </c>
      <c r="G156" s="1748" t="s">
        <v>22</v>
      </c>
      <c r="H156" s="828" t="s">
        <v>22</v>
      </c>
      <c r="I156" s="1748" t="s">
        <v>22</v>
      </c>
      <c r="J156" s="828" t="s">
        <v>22</v>
      </c>
      <c r="K156" s="1748" t="s">
        <v>22</v>
      </c>
      <c r="L156" s="828" t="s">
        <v>22</v>
      </c>
      <c r="M156" s="1748" t="s">
        <v>22</v>
      </c>
      <c r="N156" s="828" t="s">
        <v>22</v>
      </c>
      <c r="O156" s="1748" t="s">
        <v>22</v>
      </c>
      <c r="P156" s="828" t="s">
        <v>22</v>
      </c>
      <c r="Q156" s="1535" t="s">
        <v>970</v>
      </c>
      <c r="R156" s="1645"/>
      <c r="S156" s="1645"/>
      <c r="T156" s="1645"/>
      <c r="U156" s="1645"/>
      <c r="V156" s="1645"/>
      <c r="W156" s="1645"/>
      <c r="X156" s="1645"/>
      <c r="Y156" s="1645"/>
      <c r="Z156" s="1645"/>
      <c r="AA156" s="685"/>
      <c r="AB156" s="1645">
        <v>0</v>
      </c>
    </row>
    <row s="1860" customFormat="1" customHeight="1" ht="22.5">
      <c r="A157" s="1645"/>
      <c r="B157" s="2407" t="s">
        <v>1029</v>
      </c>
      <c r="C157" s="2408" t="s">
        <v>105</v>
      </c>
      <c r="D157" s="699" t="str">
        <f>B157&amp;".1"</f>
        <v>3.41.1</v>
      </c>
      <c r="E157" s="1677" t="s">
        <v>966</v>
      </c>
      <c r="F157" s="2273" t="s">
        <v>328</v>
      </c>
      <c r="G157" s="2363" t="s">
        <v>22</v>
      </c>
      <c r="H157" s="828" t="s">
        <v>22</v>
      </c>
      <c r="I157" s="2363" t="s">
        <v>983</v>
      </c>
      <c r="J157" s="828" t="s">
        <v>22</v>
      </c>
      <c r="K157" s="2363" t="s">
        <v>22</v>
      </c>
      <c r="L157" s="828" t="s">
        <v>22</v>
      </c>
      <c r="M157" s="2363" t="s">
        <v>22</v>
      </c>
      <c r="N157" s="828" t="s">
        <v>22</v>
      </c>
      <c r="O157" s="2363" t="s">
        <v>983</v>
      </c>
      <c r="P157" s="828" t="s">
        <v>22</v>
      </c>
      <c r="Q157" s="1535"/>
      <c r="R157" s="1645"/>
      <c r="S157" s="1645"/>
      <c r="T157" s="1645"/>
      <c r="U157" s="1645"/>
      <c r="V157" s="1645"/>
      <c r="W157" s="1645"/>
      <c r="X157" s="1645"/>
      <c r="Y157" s="1645"/>
      <c r="Z157" s="1645"/>
      <c r="AA157" s="685"/>
      <c r="AB157" s="1645">
        <v>0</v>
      </c>
    </row>
    <row s="1860" customFormat="1" customHeight="1" ht="15">
      <c r="A158" s="1645"/>
      <c r="B158" s="2407"/>
      <c r="C158" s="2408"/>
      <c r="D158" s="699" t="str">
        <f>B157&amp;".2"</f>
        <v>3.41.2</v>
      </c>
      <c r="E158" s="1677" t="s">
        <v>967</v>
      </c>
      <c r="F158" s="2273" t="s">
        <v>328</v>
      </c>
      <c r="G158" s="1748" t="s">
        <v>22</v>
      </c>
      <c r="H158" s="828" t="s">
        <v>22</v>
      </c>
      <c r="I158" s="1748">
        <v>46142</v>
      </c>
      <c r="J158" s="828" t="s">
        <v>22</v>
      </c>
      <c r="K158" s="1748" t="s">
        <v>22</v>
      </c>
      <c r="L158" s="828" t="s">
        <v>22</v>
      </c>
      <c r="M158" s="1748" t="s">
        <v>22</v>
      </c>
      <c r="N158" s="828" t="s">
        <v>22</v>
      </c>
      <c r="O158" s="1748">
        <v>46156</v>
      </c>
      <c r="P158" s="828" t="s">
        <v>22</v>
      </c>
      <c r="Q158" s="1535" t="s">
        <v>968</v>
      </c>
      <c r="R158" s="1645"/>
      <c r="S158" s="1645"/>
      <c r="T158" s="1645"/>
      <c r="U158" s="1645"/>
      <c r="V158" s="1645"/>
      <c r="W158" s="1645"/>
      <c r="X158" s="1645"/>
      <c r="Y158" s="1645"/>
      <c r="Z158" s="1645"/>
      <c r="AA158" s="685"/>
      <c r="AB158" s="1645">
        <v>0</v>
      </c>
    </row>
    <row s="1860" customFormat="1" customHeight="1" ht="15">
      <c r="A159" s="1645"/>
      <c r="B159" s="2407"/>
      <c r="C159" s="2408"/>
      <c r="D159" s="699" t="str">
        <f>B157&amp;".3"</f>
        <v>3.41.3</v>
      </c>
      <c r="E159" s="1677" t="s">
        <v>969</v>
      </c>
      <c r="F159" s="2273" t="s">
        <v>328</v>
      </c>
      <c r="G159" s="1748" t="s">
        <v>22</v>
      </c>
      <c r="H159" s="828" t="s">
        <v>22</v>
      </c>
      <c r="I159" s="1748" t="s">
        <v>22</v>
      </c>
      <c r="J159" s="828" t="s">
        <v>22</v>
      </c>
      <c r="K159" s="1748" t="s">
        <v>22</v>
      </c>
      <c r="L159" s="828" t="s">
        <v>22</v>
      </c>
      <c r="M159" s="1748" t="s">
        <v>22</v>
      </c>
      <c r="N159" s="828" t="s">
        <v>22</v>
      </c>
      <c r="O159" s="1748" t="s">
        <v>22</v>
      </c>
      <c r="P159" s="828" t="s">
        <v>22</v>
      </c>
      <c r="Q159" s="1535" t="s">
        <v>970</v>
      </c>
      <c r="R159" s="1645"/>
      <c r="S159" s="1645"/>
      <c r="T159" s="1645"/>
      <c r="U159" s="1645"/>
      <c r="V159" s="1645"/>
      <c r="W159" s="1645"/>
      <c r="X159" s="1645"/>
      <c r="Y159" s="1645"/>
      <c r="Z159" s="1645"/>
      <c r="AA159" s="685"/>
      <c r="AB159" s="1645">
        <v>0</v>
      </c>
    </row>
    <row s="1860" customFormat="1" customHeight="1" ht="22.5">
      <c r="A160" s="1645"/>
      <c r="B160" s="2407" t="s">
        <v>1030</v>
      </c>
      <c r="C160" s="2408" t="s">
        <v>105</v>
      </c>
      <c r="D160" s="699" t="str">
        <f>B160&amp;".1"</f>
        <v>3.42.1</v>
      </c>
      <c r="E160" s="1677" t="s">
        <v>966</v>
      </c>
      <c r="F160" s="2273" t="s">
        <v>328</v>
      </c>
      <c r="G160" s="2363" t="s">
        <v>22</v>
      </c>
      <c r="H160" s="828" t="s">
        <v>22</v>
      </c>
      <c r="I160" s="2363" t="s">
        <v>983</v>
      </c>
      <c r="J160" s="828" t="s">
        <v>22</v>
      </c>
      <c r="K160" s="2363" t="s">
        <v>22</v>
      </c>
      <c r="L160" s="828" t="s">
        <v>22</v>
      </c>
      <c r="M160" s="2363" t="s">
        <v>22</v>
      </c>
      <c r="N160" s="828" t="s">
        <v>22</v>
      </c>
      <c r="O160" s="2363" t="s">
        <v>983</v>
      </c>
      <c r="P160" s="828" t="s">
        <v>22</v>
      </c>
      <c r="Q160" s="1535"/>
      <c r="R160" s="1645"/>
      <c r="S160" s="1645"/>
      <c r="T160" s="1645"/>
      <c r="U160" s="1645"/>
      <c r="V160" s="1645"/>
      <c r="W160" s="1645"/>
      <c r="X160" s="1645"/>
      <c r="Y160" s="1645"/>
      <c r="Z160" s="1645"/>
      <c r="AA160" s="685"/>
      <c r="AB160" s="1645">
        <v>0</v>
      </c>
    </row>
    <row s="1860" customFormat="1" customHeight="1" ht="15">
      <c r="A161" s="1645"/>
      <c r="B161" s="2407"/>
      <c r="C161" s="2408"/>
      <c r="D161" s="699" t="str">
        <f>B160&amp;".2"</f>
        <v>3.42.2</v>
      </c>
      <c r="E161" s="1677" t="s">
        <v>967</v>
      </c>
      <c r="F161" s="2273" t="s">
        <v>328</v>
      </c>
      <c r="G161" s="1748" t="s">
        <v>22</v>
      </c>
      <c r="H161" s="828" t="s">
        <v>22</v>
      </c>
      <c r="I161" s="1748">
        <v>46142</v>
      </c>
      <c r="J161" s="828" t="s">
        <v>22</v>
      </c>
      <c r="K161" s="1748" t="s">
        <v>22</v>
      </c>
      <c r="L161" s="828" t="s">
        <v>22</v>
      </c>
      <c r="M161" s="1748" t="s">
        <v>22</v>
      </c>
      <c r="N161" s="828" t="s">
        <v>22</v>
      </c>
      <c r="O161" s="1748">
        <v>46156</v>
      </c>
      <c r="P161" s="828" t="s">
        <v>22</v>
      </c>
      <c r="Q161" s="1535" t="s">
        <v>968</v>
      </c>
      <c r="R161" s="1645"/>
      <c r="S161" s="1645"/>
      <c r="T161" s="1645"/>
      <c r="U161" s="1645"/>
      <c r="V161" s="1645"/>
      <c r="W161" s="1645"/>
      <c r="X161" s="1645"/>
      <c r="Y161" s="1645"/>
      <c r="Z161" s="1645"/>
      <c r="AA161" s="685"/>
      <c r="AB161" s="1645">
        <v>0</v>
      </c>
    </row>
    <row s="1860" customFormat="1" customHeight="1" ht="15">
      <c r="A162" s="1645"/>
      <c r="B162" s="2407"/>
      <c r="C162" s="2408"/>
      <c r="D162" s="699" t="str">
        <f>B160&amp;".3"</f>
        <v>3.42.3</v>
      </c>
      <c r="E162" s="1677" t="s">
        <v>969</v>
      </c>
      <c r="F162" s="2273" t="s">
        <v>328</v>
      </c>
      <c r="G162" s="1748" t="s">
        <v>22</v>
      </c>
      <c r="H162" s="828" t="s">
        <v>22</v>
      </c>
      <c r="I162" s="1748" t="s">
        <v>22</v>
      </c>
      <c r="J162" s="828" t="s">
        <v>22</v>
      </c>
      <c r="K162" s="1748" t="s">
        <v>22</v>
      </c>
      <c r="L162" s="828" t="s">
        <v>22</v>
      </c>
      <c r="M162" s="1748" t="s">
        <v>22</v>
      </c>
      <c r="N162" s="828" t="s">
        <v>22</v>
      </c>
      <c r="O162" s="1748" t="s">
        <v>22</v>
      </c>
      <c r="P162" s="828" t="s">
        <v>22</v>
      </c>
      <c r="Q162" s="1535" t="s">
        <v>970</v>
      </c>
      <c r="R162" s="1645"/>
      <c r="S162" s="1645"/>
      <c r="T162" s="1645"/>
      <c r="U162" s="1645"/>
      <c r="V162" s="1645"/>
      <c r="W162" s="1645"/>
      <c r="X162" s="1645"/>
      <c r="Y162" s="1645"/>
      <c r="Z162" s="1645"/>
      <c r="AA162" s="685"/>
      <c r="AB162" s="1645">
        <v>0</v>
      </c>
    </row>
    <row s="1860" customFormat="1" customHeight="1" ht="22.5">
      <c r="A163" s="1645"/>
      <c r="B163" s="2407" t="s">
        <v>1031</v>
      </c>
      <c r="C163" s="2408" t="s">
        <v>105</v>
      </c>
      <c r="D163" s="699" t="str">
        <f>B163&amp;".1"</f>
        <v>3.43.1</v>
      </c>
      <c r="E163" s="1677" t="s">
        <v>966</v>
      </c>
      <c r="F163" s="2273" t="s">
        <v>328</v>
      </c>
      <c r="G163" s="2363" t="s">
        <v>22</v>
      </c>
      <c r="H163" s="828" t="s">
        <v>22</v>
      </c>
      <c r="I163" s="2363" t="s">
        <v>983</v>
      </c>
      <c r="J163" s="828" t="s">
        <v>22</v>
      </c>
      <c r="K163" s="2363" t="s">
        <v>22</v>
      </c>
      <c r="L163" s="828" t="s">
        <v>22</v>
      </c>
      <c r="M163" s="2363" t="s">
        <v>22</v>
      </c>
      <c r="N163" s="828" t="s">
        <v>22</v>
      </c>
      <c r="O163" s="2363" t="s">
        <v>983</v>
      </c>
      <c r="P163" s="828" t="s">
        <v>22</v>
      </c>
      <c r="Q163" s="1535"/>
      <c r="R163" s="1645"/>
      <c r="S163" s="1645"/>
      <c r="T163" s="1645"/>
      <c r="U163" s="1645"/>
      <c r="V163" s="1645"/>
      <c r="W163" s="1645"/>
      <c r="X163" s="1645"/>
      <c r="Y163" s="1645"/>
      <c r="Z163" s="1645"/>
      <c r="AA163" s="685"/>
      <c r="AB163" s="1645">
        <v>0</v>
      </c>
    </row>
    <row s="1860" customFormat="1" customHeight="1" ht="15">
      <c r="A164" s="1645"/>
      <c r="B164" s="2407"/>
      <c r="C164" s="2408"/>
      <c r="D164" s="699" t="str">
        <f>B163&amp;".2"</f>
        <v>3.43.2</v>
      </c>
      <c r="E164" s="1677" t="s">
        <v>967</v>
      </c>
      <c r="F164" s="2273" t="s">
        <v>328</v>
      </c>
      <c r="G164" s="1748" t="s">
        <v>22</v>
      </c>
      <c r="H164" s="828" t="s">
        <v>22</v>
      </c>
      <c r="I164" s="1748">
        <v>46142</v>
      </c>
      <c r="J164" s="828" t="s">
        <v>22</v>
      </c>
      <c r="K164" s="1748" t="s">
        <v>22</v>
      </c>
      <c r="L164" s="828" t="s">
        <v>22</v>
      </c>
      <c r="M164" s="1748" t="s">
        <v>22</v>
      </c>
      <c r="N164" s="828" t="s">
        <v>22</v>
      </c>
      <c r="O164" s="1748">
        <v>46157</v>
      </c>
      <c r="P164" s="828" t="s">
        <v>22</v>
      </c>
      <c r="Q164" s="1535" t="s">
        <v>968</v>
      </c>
      <c r="R164" s="1645"/>
      <c r="S164" s="1645"/>
      <c r="T164" s="1645"/>
      <c r="U164" s="1645"/>
      <c r="V164" s="1645"/>
      <c r="W164" s="1645"/>
      <c r="X164" s="1645"/>
      <c r="Y164" s="1645"/>
      <c r="Z164" s="1645"/>
      <c r="AA164" s="685"/>
      <c r="AB164" s="1645">
        <v>0</v>
      </c>
    </row>
    <row s="1860" customFormat="1" customHeight="1" ht="15">
      <c r="A165" s="1645"/>
      <c r="B165" s="2407"/>
      <c r="C165" s="2408"/>
      <c r="D165" s="699" t="str">
        <f>B163&amp;".3"</f>
        <v>3.43.3</v>
      </c>
      <c r="E165" s="1677" t="s">
        <v>969</v>
      </c>
      <c r="F165" s="2273" t="s">
        <v>328</v>
      </c>
      <c r="G165" s="1748" t="s">
        <v>22</v>
      </c>
      <c r="H165" s="828" t="s">
        <v>22</v>
      </c>
      <c r="I165" s="1748" t="s">
        <v>22</v>
      </c>
      <c r="J165" s="828" t="s">
        <v>22</v>
      </c>
      <c r="K165" s="1748" t="s">
        <v>22</v>
      </c>
      <c r="L165" s="828" t="s">
        <v>22</v>
      </c>
      <c r="M165" s="1748" t="s">
        <v>22</v>
      </c>
      <c r="N165" s="828" t="s">
        <v>22</v>
      </c>
      <c r="O165" s="1748" t="s">
        <v>22</v>
      </c>
      <c r="P165" s="828" t="s">
        <v>22</v>
      </c>
      <c r="Q165" s="1535" t="s">
        <v>970</v>
      </c>
      <c r="R165" s="1645"/>
      <c r="S165" s="1645"/>
      <c r="T165" s="1645"/>
      <c r="U165" s="1645"/>
      <c r="V165" s="1645"/>
      <c r="W165" s="1645"/>
      <c r="X165" s="1645"/>
      <c r="Y165" s="1645"/>
      <c r="Z165" s="1645"/>
      <c r="AA165" s="685"/>
      <c r="AB165" s="1645">
        <v>0</v>
      </c>
    </row>
    <row s="1860" customFormat="1" customHeight="1" ht="22.5">
      <c r="A166" s="1645"/>
      <c r="B166" s="2407" t="s">
        <v>1032</v>
      </c>
      <c r="C166" s="2408" t="s">
        <v>105</v>
      </c>
      <c r="D166" s="699" t="str">
        <f>B166&amp;".1"</f>
        <v>3.44.1</v>
      </c>
      <c r="E166" s="1677" t="s">
        <v>966</v>
      </c>
      <c r="F166" s="2273" t="s">
        <v>328</v>
      </c>
      <c r="G166" s="2363" t="s">
        <v>22</v>
      </c>
      <c r="H166" s="828" t="s">
        <v>22</v>
      </c>
      <c r="I166" s="2363" t="s">
        <v>983</v>
      </c>
      <c r="J166" s="828" t="s">
        <v>22</v>
      </c>
      <c r="K166" s="2363" t="s">
        <v>22</v>
      </c>
      <c r="L166" s="828" t="s">
        <v>22</v>
      </c>
      <c r="M166" s="2363" t="s">
        <v>22</v>
      </c>
      <c r="N166" s="828" t="s">
        <v>22</v>
      </c>
      <c r="O166" s="2363" t="s">
        <v>983</v>
      </c>
      <c r="P166" s="828" t="s">
        <v>22</v>
      </c>
      <c r="Q166" s="1535"/>
      <c r="R166" s="1645"/>
      <c r="S166" s="1645"/>
      <c r="T166" s="1645"/>
      <c r="U166" s="1645"/>
      <c r="V166" s="1645"/>
      <c r="W166" s="1645"/>
      <c r="X166" s="1645"/>
      <c r="Y166" s="1645"/>
      <c r="Z166" s="1645"/>
      <c r="AA166" s="685"/>
      <c r="AB166" s="1645">
        <v>0</v>
      </c>
    </row>
    <row s="1860" customFormat="1" customHeight="1" ht="15">
      <c r="A167" s="1645"/>
      <c r="B167" s="2407"/>
      <c r="C167" s="2408"/>
      <c r="D167" s="699" t="str">
        <f>B166&amp;".2"</f>
        <v>3.44.2</v>
      </c>
      <c r="E167" s="1677" t="s">
        <v>967</v>
      </c>
      <c r="F167" s="2273" t="s">
        <v>328</v>
      </c>
      <c r="G167" s="1748" t="s">
        <v>22</v>
      </c>
      <c r="H167" s="828" t="s">
        <v>22</v>
      </c>
      <c r="I167" s="1748">
        <v>46146</v>
      </c>
      <c r="J167" s="828" t="s">
        <v>22</v>
      </c>
      <c r="K167" s="1748" t="s">
        <v>22</v>
      </c>
      <c r="L167" s="828" t="s">
        <v>22</v>
      </c>
      <c r="M167" s="1748" t="s">
        <v>22</v>
      </c>
      <c r="N167" s="828" t="s">
        <v>22</v>
      </c>
      <c r="O167" s="1748">
        <v>46157</v>
      </c>
      <c r="P167" s="828" t="s">
        <v>22</v>
      </c>
      <c r="Q167" s="1535" t="s">
        <v>968</v>
      </c>
      <c r="R167" s="1645"/>
      <c r="S167" s="1645"/>
      <c r="T167" s="1645"/>
      <c r="U167" s="1645"/>
      <c r="V167" s="1645"/>
      <c r="W167" s="1645"/>
      <c r="X167" s="1645"/>
      <c r="Y167" s="1645"/>
      <c r="Z167" s="1645"/>
      <c r="AA167" s="685"/>
      <c r="AB167" s="1645">
        <v>0</v>
      </c>
    </row>
    <row s="1860" customFormat="1" customHeight="1" ht="15">
      <c r="A168" s="1645"/>
      <c r="B168" s="2407"/>
      <c r="C168" s="2408"/>
      <c r="D168" s="699" t="str">
        <f>B166&amp;".3"</f>
        <v>3.44.3</v>
      </c>
      <c r="E168" s="1677" t="s">
        <v>969</v>
      </c>
      <c r="F168" s="2273" t="s">
        <v>328</v>
      </c>
      <c r="G168" s="1748" t="s">
        <v>22</v>
      </c>
      <c r="H168" s="828" t="s">
        <v>22</v>
      </c>
      <c r="I168" s="1748" t="s">
        <v>22</v>
      </c>
      <c r="J168" s="828" t="s">
        <v>22</v>
      </c>
      <c r="K168" s="1748" t="s">
        <v>22</v>
      </c>
      <c r="L168" s="828" t="s">
        <v>22</v>
      </c>
      <c r="M168" s="1748" t="s">
        <v>22</v>
      </c>
      <c r="N168" s="828" t="s">
        <v>22</v>
      </c>
      <c r="O168" s="1748" t="s">
        <v>22</v>
      </c>
      <c r="P168" s="828" t="s">
        <v>22</v>
      </c>
      <c r="Q168" s="1535" t="s">
        <v>970</v>
      </c>
      <c r="R168" s="1645"/>
      <c r="S168" s="1645"/>
      <c r="T168" s="1645"/>
      <c r="U168" s="1645"/>
      <c r="V168" s="1645"/>
      <c r="W168" s="1645"/>
      <c r="X168" s="1645"/>
      <c r="Y168" s="1645"/>
      <c r="Z168" s="1645"/>
      <c r="AA168" s="685"/>
      <c r="AB168" s="1645">
        <v>0</v>
      </c>
    </row>
    <row s="1860" customFormat="1" customHeight="1" ht="22.5">
      <c r="A169" s="1645"/>
      <c r="B169" s="2407" t="s">
        <v>1033</v>
      </c>
      <c r="C169" s="2408" t="s">
        <v>105</v>
      </c>
      <c r="D169" s="699" t="str">
        <f>B169&amp;".1"</f>
        <v>3.45.1</v>
      </c>
      <c r="E169" s="1677" t="s">
        <v>966</v>
      </c>
      <c r="F169" s="2273" t="s">
        <v>328</v>
      </c>
      <c r="G169" s="2363" t="s">
        <v>22</v>
      </c>
      <c r="H169" s="828" t="s">
        <v>22</v>
      </c>
      <c r="I169" s="2363" t="s">
        <v>983</v>
      </c>
      <c r="J169" s="828" t="s">
        <v>22</v>
      </c>
      <c r="K169" s="2363" t="s">
        <v>22</v>
      </c>
      <c r="L169" s="828" t="s">
        <v>22</v>
      </c>
      <c r="M169" s="2363" t="s">
        <v>22</v>
      </c>
      <c r="N169" s="828" t="s">
        <v>22</v>
      </c>
      <c r="O169" s="2363" t="s">
        <v>986</v>
      </c>
      <c r="P169" s="828" t="s">
        <v>22</v>
      </c>
      <c r="Q169" s="1535"/>
      <c r="R169" s="1645"/>
      <c r="S169" s="1645"/>
      <c r="T169" s="1645"/>
      <c r="U169" s="1645"/>
      <c r="V169" s="1645"/>
      <c r="W169" s="1645"/>
      <c r="X169" s="1645"/>
      <c r="Y169" s="1645"/>
      <c r="Z169" s="1645"/>
      <c r="AA169" s="685"/>
      <c r="AB169" s="1645">
        <v>0</v>
      </c>
    </row>
    <row s="1860" customFormat="1" customHeight="1" ht="15">
      <c r="A170" s="1645"/>
      <c r="B170" s="2407"/>
      <c r="C170" s="2408"/>
      <c r="D170" s="699" t="str">
        <f>B169&amp;".2"</f>
        <v>3.45.2</v>
      </c>
      <c r="E170" s="1677" t="s">
        <v>967</v>
      </c>
      <c r="F170" s="2273" t="s">
        <v>328</v>
      </c>
      <c r="G170" s="1748" t="s">
        <v>22</v>
      </c>
      <c r="H170" s="828" t="s">
        <v>22</v>
      </c>
      <c r="I170" s="1748">
        <v>46146</v>
      </c>
      <c r="J170" s="828" t="s">
        <v>22</v>
      </c>
      <c r="K170" s="1748" t="s">
        <v>22</v>
      </c>
      <c r="L170" s="828" t="s">
        <v>22</v>
      </c>
      <c r="M170" s="1748" t="s">
        <v>22</v>
      </c>
      <c r="N170" s="828" t="s">
        <v>22</v>
      </c>
      <c r="O170" s="1748">
        <v>46157</v>
      </c>
      <c r="P170" s="828" t="s">
        <v>22</v>
      </c>
      <c r="Q170" s="1535" t="s">
        <v>968</v>
      </c>
      <c r="R170" s="1645"/>
      <c r="S170" s="1645"/>
      <c r="T170" s="1645"/>
      <c r="U170" s="1645"/>
      <c r="V170" s="1645"/>
      <c r="W170" s="1645"/>
      <c r="X170" s="1645"/>
      <c r="Y170" s="1645"/>
      <c r="Z170" s="1645"/>
      <c r="AA170" s="685"/>
      <c r="AB170" s="1645">
        <v>0</v>
      </c>
    </row>
    <row s="1860" customFormat="1" customHeight="1" ht="15">
      <c r="A171" s="1645"/>
      <c r="B171" s="2407"/>
      <c r="C171" s="2408"/>
      <c r="D171" s="699" t="str">
        <f>B169&amp;".3"</f>
        <v>3.45.3</v>
      </c>
      <c r="E171" s="1677" t="s">
        <v>969</v>
      </c>
      <c r="F171" s="2273" t="s">
        <v>328</v>
      </c>
      <c r="G171" s="1748" t="s">
        <v>22</v>
      </c>
      <c r="H171" s="828" t="s">
        <v>22</v>
      </c>
      <c r="I171" s="1748" t="s">
        <v>22</v>
      </c>
      <c r="J171" s="828" t="s">
        <v>22</v>
      </c>
      <c r="K171" s="1748" t="s">
        <v>22</v>
      </c>
      <c r="L171" s="828" t="s">
        <v>22</v>
      </c>
      <c r="M171" s="1748" t="s">
        <v>22</v>
      </c>
      <c r="N171" s="828" t="s">
        <v>22</v>
      </c>
      <c r="O171" s="1748" t="s">
        <v>22</v>
      </c>
      <c r="P171" s="828" t="s">
        <v>22</v>
      </c>
      <c r="Q171" s="1535" t="s">
        <v>970</v>
      </c>
      <c r="R171" s="1645"/>
      <c r="S171" s="1645"/>
      <c r="T171" s="1645"/>
      <c r="U171" s="1645"/>
      <c r="V171" s="1645"/>
      <c r="W171" s="1645"/>
      <c r="X171" s="1645"/>
      <c r="Y171" s="1645"/>
      <c r="Z171" s="1645"/>
      <c r="AA171" s="685"/>
      <c r="AB171" s="1645">
        <v>0</v>
      </c>
    </row>
    <row s="1860" customFormat="1" customHeight="1" ht="22.5">
      <c r="A172" s="1645"/>
      <c r="B172" s="2407" t="s">
        <v>1034</v>
      </c>
      <c r="C172" s="2408" t="s">
        <v>105</v>
      </c>
      <c r="D172" s="699" t="str">
        <f>B172&amp;".1"</f>
        <v>3.46.1</v>
      </c>
      <c r="E172" s="1677" t="s">
        <v>966</v>
      </c>
      <c r="F172" s="2273" t="s">
        <v>328</v>
      </c>
      <c r="G172" s="2363" t="s">
        <v>22</v>
      </c>
      <c r="H172" s="828" t="s">
        <v>22</v>
      </c>
      <c r="I172" s="2363" t="s">
        <v>983</v>
      </c>
      <c r="J172" s="828" t="s">
        <v>22</v>
      </c>
      <c r="K172" s="2363" t="s">
        <v>22</v>
      </c>
      <c r="L172" s="828" t="s">
        <v>22</v>
      </c>
      <c r="M172" s="2363" t="s">
        <v>22</v>
      </c>
      <c r="N172" s="828" t="s">
        <v>22</v>
      </c>
      <c r="O172" s="2363" t="s">
        <v>986</v>
      </c>
      <c r="P172" s="828" t="s">
        <v>22</v>
      </c>
      <c r="Q172" s="1535"/>
      <c r="R172" s="1645"/>
      <c r="S172" s="1645"/>
      <c r="T172" s="1645"/>
      <c r="U172" s="1645"/>
      <c r="V172" s="1645"/>
      <c r="W172" s="1645"/>
      <c r="X172" s="1645"/>
      <c r="Y172" s="1645"/>
      <c r="Z172" s="1645"/>
      <c r="AA172" s="685"/>
      <c r="AB172" s="1645">
        <v>0</v>
      </c>
    </row>
    <row s="1860" customFormat="1" customHeight="1" ht="15">
      <c r="A173" s="1645"/>
      <c r="B173" s="2407"/>
      <c r="C173" s="2408"/>
      <c r="D173" s="699" t="str">
        <f>B172&amp;".2"</f>
        <v>3.46.2</v>
      </c>
      <c r="E173" s="1677" t="s">
        <v>967</v>
      </c>
      <c r="F173" s="2273" t="s">
        <v>328</v>
      </c>
      <c r="G173" s="1748" t="s">
        <v>22</v>
      </c>
      <c r="H173" s="828" t="s">
        <v>22</v>
      </c>
      <c r="I173" s="1748">
        <v>46146</v>
      </c>
      <c r="J173" s="828" t="s">
        <v>22</v>
      </c>
      <c r="K173" s="1748" t="s">
        <v>22</v>
      </c>
      <c r="L173" s="828" t="s">
        <v>22</v>
      </c>
      <c r="M173" s="1748" t="s">
        <v>22</v>
      </c>
      <c r="N173" s="828" t="s">
        <v>22</v>
      </c>
      <c r="O173" s="1748">
        <v>46160</v>
      </c>
      <c r="P173" s="828" t="s">
        <v>22</v>
      </c>
      <c r="Q173" s="1535" t="s">
        <v>968</v>
      </c>
      <c r="R173" s="1645"/>
      <c r="S173" s="1645"/>
      <c r="T173" s="1645"/>
      <c r="U173" s="1645"/>
      <c r="V173" s="1645"/>
      <c r="W173" s="1645"/>
      <c r="X173" s="1645"/>
      <c r="Y173" s="1645"/>
      <c r="Z173" s="1645"/>
      <c r="AA173" s="685"/>
      <c r="AB173" s="1645">
        <v>0</v>
      </c>
    </row>
    <row s="1860" customFormat="1" customHeight="1" ht="15">
      <c r="A174" s="1645"/>
      <c r="B174" s="2407"/>
      <c r="C174" s="2408"/>
      <c r="D174" s="699" t="str">
        <f>B172&amp;".3"</f>
        <v>3.46.3</v>
      </c>
      <c r="E174" s="1677" t="s">
        <v>969</v>
      </c>
      <c r="F174" s="2273" t="s">
        <v>328</v>
      </c>
      <c r="G174" s="1748" t="s">
        <v>22</v>
      </c>
      <c r="H174" s="828" t="s">
        <v>22</v>
      </c>
      <c r="I174" s="1748" t="s">
        <v>22</v>
      </c>
      <c r="J174" s="828" t="s">
        <v>22</v>
      </c>
      <c r="K174" s="1748" t="s">
        <v>22</v>
      </c>
      <c r="L174" s="828" t="s">
        <v>22</v>
      </c>
      <c r="M174" s="1748" t="s">
        <v>22</v>
      </c>
      <c r="N174" s="828" t="s">
        <v>22</v>
      </c>
      <c r="O174" s="1748" t="s">
        <v>22</v>
      </c>
      <c r="P174" s="828" t="s">
        <v>22</v>
      </c>
      <c r="Q174" s="1535" t="s">
        <v>970</v>
      </c>
      <c r="R174" s="1645"/>
      <c r="S174" s="1645"/>
      <c r="T174" s="1645"/>
      <c r="U174" s="1645"/>
      <c r="V174" s="1645"/>
      <c r="W174" s="1645"/>
      <c r="X174" s="1645"/>
      <c r="Y174" s="1645"/>
      <c r="Z174" s="1645"/>
      <c r="AA174" s="685"/>
      <c r="AB174" s="1645">
        <v>0</v>
      </c>
    </row>
    <row s="1860" customFormat="1" customHeight="1" ht="22.5">
      <c r="A175" s="1645"/>
      <c r="B175" s="2407" t="s">
        <v>1035</v>
      </c>
      <c r="C175" s="2408" t="s">
        <v>105</v>
      </c>
      <c r="D175" s="699" t="str">
        <f>B175&amp;".1"</f>
        <v>3.47.1</v>
      </c>
      <c r="E175" s="1677" t="s">
        <v>966</v>
      </c>
      <c r="F175" s="2273" t="s">
        <v>328</v>
      </c>
      <c r="G175" s="2363" t="s">
        <v>22</v>
      </c>
      <c r="H175" s="828" t="s">
        <v>22</v>
      </c>
      <c r="I175" s="2363" t="s">
        <v>983</v>
      </c>
      <c r="J175" s="828" t="s">
        <v>22</v>
      </c>
      <c r="K175" s="2363" t="s">
        <v>22</v>
      </c>
      <c r="L175" s="828" t="s">
        <v>22</v>
      </c>
      <c r="M175" s="2363" t="s">
        <v>22</v>
      </c>
      <c r="N175" s="828" t="s">
        <v>22</v>
      </c>
      <c r="O175" s="2363" t="s">
        <v>983</v>
      </c>
      <c r="P175" s="828" t="s">
        <v>22</v>
      </c>
      <c r="Q175" s="1535"/>
      <c r="R175" s="1645"/>
      <c r="S175" s="1645"/>
      <c r="T175" s="1645"/>
      <c r="U175" s="1645"/>
      <c r="V175" s="1645"/>
      <c r="W175" s="1645"/>
      <c r="X175" s="1645"/>
      <c r="Y175" s="1645"/>
      <c r="Z175" s="1645"/>
      <c r="AA175" s="685"/>
      <c r="AB175" s="1645">
        <v>0</v>
      </c>
    </row>
    <row s="1860" customFormat="1" customHeight="1" ht="15">
      <c r="A176" s="1645"/>
      <c r="B176" s="2407"/>
      <c r="C176" s="2408"/>
      <c r="D176" s="699" t="str">
        <f>B175&amp;".2"</f>
        <v>3.47.2</v>
      </c>
      <c r="E176" s="1677" t="s">
        <v>967</v>
      </c>
      <c r="F176" s="2273" t="s">
        <v>328</v>
      </c>
      <c r="G176" s="1748" t="s">
        <v>22</v>
      </c>
      <c r="H176" s="828" t="s">
        <v>22</v>
      </c>
      <c r="I176" s="1748">
        <v>46146</v>
      </c>
      <c r="J176" s="828" t="s">
        <v>22</v>
      </c>
      <c r="K176" s="1748" t="s">
        <v>22</v>
      </c>
      <c r="L176" s="828" t="s">
        <v>22</v>
      </c>
      <c r="M176" s="1748" t="s">
        <v>22</v>
      </c>
      <c r="N176" s="828" t="s">
        <v>22</v>
      </c>
      <c r="O176" s="1748">
        <v>46160</v>
      </c>
      <c r="P176" s="828" t="s">
        <v>22</v>
      </c>
      <c r="Q176" s="1535" t="s">
        <v>968</v>
      </c>
      <c r="R176" s="1645"/>
      <c r="S176" s="1645"/>
      <c r="T176" s="1645"/>
      <c r="U176" s="1645"/>
      <c r="V176" s="1645"/>
      <c r="W176" s="1645"/>
      <c r="X176" s="1645"/>
      <c r="Y176" s="1645"/>
      <c r="Z176" s="1645"/>
      <c r="AA176" s="685"/>
      <c r="AB176" s="1645">
        <v>0</v>
      </c>
    </row>
    <row s="1860" customFormat="1" customHeight="1" ht="15">
      <c r="A177" s="1645"/>
      <c r="B177" s="2407"/>
      <c r="C177" s="2408"/>
      <c r="D177" s="699" t="str">
        <f>B175&amp;".3"</f>
        <v>3.47.3</v>
      </c>
      <c r="E177" s="1677" t="s">
        <v>969</v>
      </c>
      <c r="F177" s="2273" t="s">
        <v>328</v>
      </c>
      <c r="G177" s="1748" t="s">
        <v>22</v>
      </c>
      <c r="H177" s="828" t="s">
        <v>22</v>
      </c>
      <c r="I177" s="1748" t="s">
        <v>22</v>
      </c>
      <c r="J177" s="828" t="s">
        <v>22</v>
      </c>
      <c r="K177" s="1748" t="s">
        <v>22</v>
      </c>
      <c r="L177" s="828" t="s">
        <v>22</v>
      </c>
      <c r="M177" s="1748" t="s">
        <v>22</v>
      </c>
      <c r="N177" s="828" t="s">
        <v>22</v>
      </c>
      <c r="O177" s="1748" t="s">
        <v>22</v>
      </c>
      <c r="P177" s="828" t="s">
        <v>22</v>
      </c>
      <c r="Q177" s="1535" t="s">
        <v>970</v>
      </c>
      <c r="R177" s="1645"/>
      <c r="S177" s="1645"/>
      <c r="T177" s="1645"/>
      <c r="U177" s="1645"/>
      <c r="V177" s="1645"/>
      <c r="W177" s="1645"/>
      <c r="X177" s="1645"/>
      <c r="Y177" s="1645"/>
      <c r="Z177" s="1645"/>
      <c r="AA177" s="685"/>
      <c r="AB177" s="1645">
        <v>0</v>
      </c>
    </row>
    <row s="1860" customFormat="1" customHeight="1" ht="22.5">
      <c r="A178" s="1645"/>
      <c r="B178" s="2407" t="s">
        <v>1036</v>
      </c>
      <c r="C178" s="2408" t="s">
        <v>105</v>
      </c>
      <c r="D178" s="699" t="str">
        <f>B178&amp;".1"</f>
        <v>3.48.1</v>
      </c>
      <c r="E178" s="1677" t="s">
        <v>966</v>
      </c>
      <c r="F178" s="2273" t="s">
        <v>328</v>
      </c>
      <c r="G178" s="2363" t="s">
        <v>22</v>
      </c>
      <c r="H178" s="828" t="s">
        <v>22</v>
      </c>
      <c r="I178" s="2363" t="s">
        <v>983</v>
      </c>
      <c r="J178" s="828" t="s">
        <v>22</v>
      </c>
      <c r="K178" s="2363" t="s">
        <v>22</v>
      </c>
      <c r="L178" s="828" t="s">
        <v>22</v>
      </c>
      <c r="M178" s="2363" t="s">
        <v>22</v>
      </c>
      <c r="N178" s="828" t="s">
        <v>22</v>
      </c>
      <c r="O178" s="2363" t="s">
        <v>983</v>
      </c>
      <c r="P178" s="828" t="s">
        <v>22</v>
      </c>
      <c r="Q178" s="1535"/>
      <c r="R178" s="1645"/>
      <c r="S178" s="1645"/>
      <c r="T178" s="1645"/>
      <c r="U178" s="1645"/>
      <c r="V178" s="1645"/>
      <c r="W178" s="1645"/>
      <c r="X178" s="1645"/>
      <c r="Y178" s="1645"/>
      <c r="Z178" s="1645"/>
      <c r="AA178" s="685"/>
      <c r="AB178" s="1645">
        <v>0</v>
      </c>
    </row>
    <row s="1860" customFormat="1" customHeight="1" ht="15">
      <c r="A179" s="1645"/>
      <c r="B179" s="2407"/>
      <c r="C179" s="2408"/>
      <c r="D179" s="699" t="str">
        <f>B178&amp;".2"</f>
        <v>3.48.2</v>
      </c>
      <c r="E179" s="1677" t="s">
        <v>967</v>
      </c>
      <c r="F179" s="2273" t="s">
        <v>328</v>
      </c>
      <c r="G179" s="1748" t="s">
        <v>22</v>
      </c>
      <c r="H179" s="828" t="s">
        <v>22</v>
      </c>
      <c r="I179" s="1748">
        <v>46146</v>
      </c>
      <c r="J179" s="828" t="s">
        <v>22</v>
      </c>
      <c r="K179" s="1748" t="s">
        <v>22</v>
      </c>
      <c r="L179" s="828" t="s">
        <v>22</v>
      </c>
      <c r="M179" s="1748" t="s">
        <v>22</v>
      </c>
      <c r="N179" s="828" t="s">
        <v>22</v>
      </c>
      <c r="O179" s="1748">
        <v>46160</v>
      </c>
      <c r="P179" s="828" t="s">
        <v>22</v>
      </c>
      <c r="Q179" s="1535" t="s">
        <v>968</v>
      </c>
      <c r="R179" s="1645"/>
      <c r="S179" s="1645"/>
      <c r="T179" s="1645"/>
      <c r="U179" s="1645"/>
      <c r="V179" s="1645"/>
      <c r="W179" s="1645"/>
      <c r="X179" s="1645"/>
      <c r="Y179" s="1645"/>
      <c r="Z179" s="1645"/>
      <c r="AA179" s="685"/>
      <c r="AB179" s="1645">
        <v>0</v>
      </c>
    </row>
    <row s="1860" customFormat="1" customHeight="1" ht="15">
      <c r="A180" s="1645"/>
      <c r="B180" s="2407"/>
      <c r="C180" s="2408"/>
      <c r="D180" s="699" t="str">
        <f>B178&amp;".3"</f>
        <v>3.48.3</v>
      </c>
      <c r="E180" s="1677" t="s">
        <v>969</v>
      </c>
      <c r="F180" s="2273" t="s">
        <v>328</v>
      </c>
      <c r="G180" s="1748" t="s">
        <v>22</v>
      </c>
      <c r="H180" s="828" t="s">
        <v>22</v>
      </c>
      <c r="I180" s="1748" t="s">
        <v>22</v>
      </c>
      <c r="J180" s="828" t="s">
        <v>22</v>
      </c>
      <c r="K180" s="1748" t="s">
        <v>22</v>
      </c>
      <c r="L180" s="828" t="s">
        <v>22</v>
      </c>
      <c r="M180" s="1748" t="s">
        <v>22</v>
      </c>
      <c r="N180" s="828" t="s">
        <v>22</v>
      </c>
      <c r="O180" s="1748" t="s">
        <v>22</v>
      </c>
      <c r="P180" s="828" t="s">
        <v>22</v>
      </c>
      <c r="Q180" s="1535" t="s">
        <v>970</v>
      </c>
      <c r="R180" s="1645"/>
      <c r="S180" s="1645"/>
      <c r="T180" s="1645"/>
      <c r="U180" s="1645"/>
      <c r="V180" s="1645"/>
      <c r="W180" s="1645"/>
      <c r="X180" s="1645"/>
      <c r="Y180" s="1645"/>
      <c r="Z180" s="1645"/>
      <c r="AA180" s="685"/>
      <c r="AB180" s="1645">
        <v>0</v>
      </c>
    </row>
    <row s="1860" customFormat="1" customHeight="1" ht="22.5">
      <c r="A181" s="1645"/>
      <c r="B181" s="2407" t="s">
        <v>1037</v>
      </c>
      <c r="C181" s="2408" t="s">
        <v>105</v>
      </c>
      <c r="D181" s="699" t="str">
        <f>B181&amp;".1"</f>
        <v>3.49.1</v>
      </c>
      <c r="E181" s="1677" t="s">
        <v>966</v>
      </c>
      <c r="F181" s="2273" t="s">
        <v>328</v>
      </c>
      <c r="G181" s="2363" t="s">
        <v>22</v>
      </c>
      <c r="H181" s="828" t="s">
        <v>22</v>
      </c>
      <c r="I181" s="2363" t="s">
        <v>983</v>
      </c>
      <c r="J181" s="828" t="s">
        <v>22</v>
      </c>
      <c r="K181" s="2363" t="s">
        <v>22</v>
      </c>
      <c r="L181" s="828" t="s">
        <v>22</v>
      </c>
      <c r="M181" s="2363" t="s">
        <v>22</v>
      </c>
      <c r="N181" s="828" t="s">
        <v>22</v>
      </c>
      <c r="O181" s="2363" t="s">
        <v>983</v>
      </c>
      <c r="P181" s="828" t="s">
        <v>22</v>
      </c>
      <c r="Q181" s="1535"/>
      <c r="R181" s="1645"/>
      <c r="S181" s="1645"/>
      <c r="T181" s="1645"/>
      <c r="U181" s="1645"/>
      <c r="V181" s="1645"/>
      <c r="W181" s="1645"/>
      <c r="X181" s="1645"/>
      <c r="Y181" s="1645"/>
      <c r="Z181" s="1645"/>
      <c r="AA181" s="685"/>
      <c r="AB181" s="1645">
        <v>0</v>
      </c>
    </row>
    <row s="1860" customFormat="1" customHeight="1" ht="15">
      <c r="A182" s="1645"/>
      <c r="B182" s="2407"/>
      <c r="C182" s="2408"/>
      <c r="D182" s="699" t="str">
        <f>B181&amp;".2"</f>
        <v>3.49.2</v>
      </c>
      <c r="E182" s="1677" t="s">
        <v>967</v>
      </c>
      <c r="F182" s="2273" t="s">
        <v>328</v>
      </c>
      <c r="G182" s="1748" t="s">
        <v>22</v>
      </c>
      <c r="H182" s="828" t="s">
        <v>22</v>
      </c>
      <c r="I182" s="1748">
        <v>46146</v>
      </c>
      <c r="J182" s="828" t="s">
        <v>22</v>
      </c>
      <c r="K182" s="1748" t="s">
        <v>22</v>
      </c>
      <c r="L182" s="828" t="s">
        <v>22</v>
      </c>
      <c r="M182" s="1748" t="s">
        <v>22</v>
      </c>
      <c r="N182" s="828" t="s">
        <v>22</v>
      </c>
      <c r="O182" s="1748">
        <v>46162</v>
      </c>
      <c r="P182" s="828" t="s">
        <v>22</v>
      </c>
      <c r="Q182" s="1535" t="s">
        <v>968</v>
      </c>
      <c r="R182" s="1645"/>
      <c r="S182" s="1645"/>
      <c r="T182" s="1645"/>
      <c r="U182" s="1645"/>
      <c r="V182" s="1645"/>
      <c r="W182" s="1645"/>
      <c r="X182" s="1645"/>
      <c r="Y182" s="1645"/>
      <c r="Z182" s="1645"/>
      <c r="AA182" s="685"/>
      <c r="AB182" s="1645">
        <v>0</v>
      </c>
    </row>
    <row s="1860" customFormat="1" customHeight="1" ht="15">
      <c r="A183" s="1645"/>
      <c r="B183" s="2407"/>
      <c r="C183" s="2408"/>
      <c r="D183" s="699" t="str">
        <f>B181&amp;".3"</f>
        <v>3.49.3</v>
      </c>
      <c r="E183" s="1677" t="s">
        <v>969</v>
      </c>
      <c r="F183" s="2273" t="s">
        <v>328</v>
      </c>
      <c r="G183" s="1748" t="s">
        <v>22</v>
      </c>
      <c r="H183" s="828" t="s">
        <v>22</v>
      </c>
      <c r="I183" s="1748" t="s">
        <v>22</v>
      </c>
      <c r="J183" s="828" t="s">
        <v>22</v>
      </c>
      <c r="K183" s="1748" t="s">
        <v>22</v>
      </c>
      <c r="L183" s="828" t="s">
        <v>22</v>
      </c>
      <c r="M183" s="1748" t="s">
        <v>22</v>
      </c>
      <c r="N183" s="828" t="s">
        <v>22</v>
      </c>
      <c r="O183" s="1748" t="s">
        <v>22</v>
      </c>
      <c r="P183" s="828" t="s">
        <v>22</v>
      </c>
      <c r="Q183" s="1535" t="s">
        <v>970</v>
      </c>
      <c r="R183" s="1645"/>
      <c r="S183" s="1645"/>
      <c r="T183" s="1645"/>
      <c r="U183" s="1645"/>
      <c r="V183" s="1645"/>
      <c r="W183" s="1645"/>
      <c r="X183" s="1645"/>
      <c r="Y183" s="1645"/>
      <c r="Z183" s="1645"/>
      <c r="AA183" s="685"/>
      <c r="AB183" s="1645">
        <v>0</v>
      </c>
    </row>
    <row s="1860" customFormat="1" customHeight="1" ht="22.5">
      <c r="A184" s="1645"/>
      <c r="B184" s="2407" t="s">
        <v>1038</v>
      </c>
      <c r="C184" s="2408" t="s">
        <v>105</v>
      </c>
      <c r="D184" s="699" t="str">
        <f>B184&amp;".1"</f>
        <v>3.50.1</v>
      </c>
      <c r="E184" s="1677" t="s">
        <v>966</v>
      </c>
      <c r="F184" s="2273" t="s">
        <v>328</v>
      </c>
      <c r="G184" s="2363" t="s">
        <v>22</v>
      </c>
      <c r="H184" s="828" t="s">
        <v>22</v>
      </c>
      <c r="I184" s="2363" t="s">
        <v>983</v>
      </c>
      <c r="J184" s="828" t="s">
        <v>22</v>
      </c>
      <c r="K184" s="2363" t="s">
        <v>22</v>
      </c>
      <c r="L184" s="828" t="s">
        <v>22</v>
      </c>
      <c r="M184" s="2363" t="s">
        <v>22</v>
      </c>
      <c r="N184" s="828" t="s">
        <v>22</v>
      </c>
      <c r="O184" s="2363" t="s">
        <v>983</v>
      </c>
      <c r="P184" s="828" t="s">
        <v>22</v>
      </c>
      <c r="Q184" s="1535"/>
      <c r="R184" s="1645"/>
      <c r="S184" s="1645"/>
      <c r="T184" s="1645"/>
      <c r="U184" s="1645"/>
      <c r="V184" s="1645"/>
      <c r="W184" s="1645"/>
      <c r="X184" s="1645"/>
      <c r="Y184" s="1645"/>
      <c r="Z184" s="1645"/>
      <c r="AA184" s="685"/>
      <c r="AB184" s="1645">
        <v>0</v>
      </c>
    </row>
    <row s="1860" customFormat="1" customHeight="1" ht="15">
      <c r="A185" s="1645"/>
      <c r="B185" s="2407"/>
      <c r="C185" s="2408"/>
      <c r="D185" s="699" t="str">
        <f>B184&amp;".2"</f>
        <v>3.50.2</v>
      </c>
      <c r="E185" s="1677" t="s">
        <v>967</v>
      </c>
      <c r="F185" s="2273" t="s">
        <v>328</v>
      </c>
      <c r="G185" s="1748" t="s">
        <v>22</v>
      </c>
      <c r="H185" s="828" t="s">
        <v>22</v>
      </c>
      <c r="I185" s="1748">
        <v>46146</v>
      </c>
      <c r="J185" s="828" t="s">
        <v>22</v>
      </c>
      <c r="K185" s="1748" t="s">
        <v>22</v>
      </c>
      <c r="L185" s="828" t="s">
        <v>22</v>
      </c>
      <c r="M185" s="1748" t="s">
        <v>22</v>
      </c>
      <c r="N185" s="828" t="s">
        <v>22</v>
      </c>
      <c r="O185" s="1748">
        <v>46162</v>
      </c>
      <c r="P185" s="828" t="s">
        <v>22</v>
      </c>
      <c r="Q185" s="1535" t="s">
        <v>968</v>
      </c>
      <c r="R185" s="1645"/>
      <c r="S185" s="1645"/>
      <c r="T185" s="1645"/>
      <c r="U185" s="1645"/>
      <c r="V185" s="1645"/>
      <c r="W185" s="1645"/>
      <c r="X185" s="1645"/>
      <c r="Y185" s="1645"/>
      <c r="Z185" s="1645"/>
      <c r="AA185" s="685"/>
      <c r="AB185" s="1645">
        <v>0</v>
      </c>
    </row>
    <row s="1860" customFormat="1" customHeight="1" ht="15">
      <c r="A186" s="1645"/>
      <c r="B186" s="2407"/>
      <c r="C186" s="2408"/>
      <c r="D186" s="699" t="str">
        <f>B184&amp;".3"</f>
        <v>3.50.3</v>
      </c>
      <c r="E186" s="1677" t="s">
        <v>969</v>
      </c>
      <c r="F186" s="2273" t="s">
        <v>328</v>
      </c>
      <c r="G186" s="1748" t="s">
        <v>22</v>
      </c>
      <c r="H186" s="828" t="s">
        <v>22</v>
      </c>
      <c r="I186" s="1748" t="s">
        <v>22</v>
      </c>
      <c r="J186" s="828" t="s">
        <v>22</v>
      </c>
      <c r="K186" s="1748" t="s">
        <v>22</v>
      </c>
      <c r="L186" s="828" t="s">
        <v>22</v>
      </c>
      <c r="M186" s="1748" t="s">
        <v>22</v>
      </c>
      <c r="N186" s="828" t="s">
        <v>22</v>
      </c>
      <c r="O186" s="1748" t="s">
        <v>22</v>
      </c>
      <c r="P186" s="828" t="s">
        <v>22</v>
      </c>
      <c r="Q186" s="1535" t="s">
        <v>970</v>
      </c>
      <c r="R186" s="1645"/>
      <c r="S186" s="1645"/>
      <c r="T186" s="1645"/>
      <c r="U186" s="1645"/>
      <c r="V186" s="1645"/>
      <c r="W186" s="1645"/>
      <c r="X186" s="1645"/>
      <c r="Y186" s="1645"/>
      <c r="Z186" s="1645"/>
      <c r="AA186" s="685"/>
      <c r="AB186" s="1645">
        <v>0</v>
      </c>
    </row>
    <row s="1860" customFormat="1" customHeight="1" ht="22.5">
      <c r="A187" s="1645"/>
      <c r="B187" s="2407" t="s">
        <v>1039</v>
      </c>
      <c r="C187" s="2408" t="s">
        <v>105</v>
      </c>
      <c r="D187" s="699" t="str">
        <f>B187&amp;".1"</f>
        <v>3.51.1</v>
      </c>
      <c r="E187" s="1677" t="s">
        <v>966</v>
      </c>
      <c r="F187" s="2273" t="s">
        <v>328</v>
      </c>
      <c r="G187" s="2363" t="s">
        <v>22</v>
      </c>
      <c r="H187" s="828" t="s">
        <v>22</v>
      </c>
      <c r="I187" s="2363" t="s">
        <v>983</v>
      </c>
      <c r="J187" s="828" t="s">
        <v>22</v>
      </c>
      <c r="K187" s="2363" t="s">
        <v>22</v>
      </c>
      <c r="L187" s="828" t="s">
        <v>22</v>
      </c>
      <c r="M187" s="2363" t="s">
        <v>22</v>
      </c>
      <c r="N187" s="828" t="s">
        <v>22</v>
      </c>
      <c r="O187" s="2363" t="s">
        <v>983</v>
      </c>
      <c r="P187" s="828" t="s">
        <v>22</v>
      </c>
      <c r="Q187" s="1535"/>
      <c r="R187" s="1645"/>
      <c r="S187" s="1645"/>
      <c r="T187" s="1645"/>
      <c r="U187" s="1645"/>
      <c r="V187" s="1645"/>
      <c r="W187" s="1645"/>
      <c r="X187" s="1645"/>
      <c r="Y187" s="1645"/>
      <c r="Z187" s="1645"/>
      <c r="AA187" s="685"/>
      <c r="AB187" s="1645">
        <v>0</v>
      </c>
    </row>
    <row s="1860" customFormat="1" customHeight="1" ht="15">
      <c r="A188" s="1645"/>
      <c r="B188" s="2407"/>
      <c r="C188" s="2408"/>
      <c r="D188" s="699" t="str">
        <f>B187&amp;".2"</f>
        <v>3.51.2</v>
      </c>
      <c r="E188" s="1677" t="s">
        <v>967</v>
      </c>
      <c r="F188" s="2273" t="s">
        <v>328</v>
      </c>
      <c r="G188" s="1748" t="s">
        <v>22</v>
      </c>
      <c r="H188" s="828" t="s">
        <v>22</v>
      </c>
      <c r="I188" s="1748">
        <v>46146</v>
      </c>
      <c r="J188" s="828" t="s">
        <v>22</v>
      </c>
      <c r="K188" s="1748" t="s">
        <v>22</v>
      </c>
      <c r="L188" s="828" t="s">
        <v>22</v>
      </c>
      <c r="M188" s="1748" t="s">
        <v>22</v>
      </c>
      <c r="N188" s="828" t="s">
        <v>22</v>
      </c>
      <c r="O188" s="1748">
        <v>46162</v>
      </c>
      <c r="P188" s="828" t="s">
        <v>22</v>
      </c>
      <c r="Q188" s="1535" t="s">
        <v>968</v>
      </c>
      <c r="R188" s="1645"/>
      <c r="S188" s="1645"/>
      <c r="T188" s="1645"/>
      <c r="U188" s="1645"/>
      <c r="V188" s="1645"/>
      <c r="W188" s="1645"/>
      <c r="X188" s="1645"/>
      <c r="Y188" s="1645"/>
      <c r="Z188" s="1645"/>
      <c r="AA188" s="685"/>
      <c r="AB188" s="1645">
        <v>0</v>
      </c>
    </row>
    <row s="1860" customFormat="1" customHeight="1" ht="15">
      <c r="A189" s="1645"/>
      <c r="B189" s="2407"/>
      <c r="C189" s="2408"/>
      <c r="D189" s="699" t="str">
        <f>B187&amp;".3"</f>
        <v>3.51.3</v>
      </c>
      <c r="E189" s="1677" t="s">
        <v>969</v>
      </c>
      <c r="F189" s="2273" t="s">
        <v>328</v>
      </c>
      <c r="G189" s="1748" t="s">
        <v>22</v>
      </c>
      <c r="H189" s="828" t="s">
        <v>22</v>
      </c>
      <c r="I189" s="1748" t="s">
        <v>22</v>
      </c>
      <c r="J189" s="828" t="s">
        <v>22</v>
      </c>
      <c r="K189" s="1748" t="s">
        <v>22</v>
      </c>
      <c r="L189" s="828" t="s">
        <v>22</v>
      </c>
      <c r="M189" s="1748" t="s">
        <v>22</v>
      </c>
      <c r="N189" s="828" t="s">
        <v>22</v>
      </c>
      <c r="O189" s="1748" t="s">
        <v>22</v>
      </c>
      <c r="P189" s="828" t="s">
        <v>22</v>
      </c>
      <c r="Q189" s="1535" t="s">
        <v>970</v>
      </c>
      <c r="R189" s="1645"/>
      <c r="S189" s="1645"/>
      <c r="T189" s="1645"/>
      <c r="U189" s="1645"/>
      <c r="V189" s="1645"/>
      <c r="W189" s="1645"/>
      <c r="X189" s="1645"/>
      <c r="Y189" s="1645"/>
      <c r="Z189" s="1645"/>
      <c r="AA189" s="685"/>
      <c r="AB189" s="1645">
        <v>0</v>
      </c>
    </row>
    <row s="1860" customFormat="1" customHeight="1" ht="22.5">
      <c r="A190" s="1645"/>
      <c r="B190" s="2407" t="s">
        <v>1040</v>
      </c>
      <c r="C190" s="2408" t="s">
        <v>105</v>
      </c>
      <c r="D190" s="699" t="str">
        <f>B190&amp;".1"</f>
        <v>3.52.1</v>
      </c>
      <c r="E190" s="1677" t="s">
        <v>966</v>
      </c>
      <c r="F190" s="2273" t="s">
        <v>328</v>
      </c>
      <c r="G190" s="2363" t="s">
        <v>22</v>
      </c>
      <c r="H190" s="828" t="s">
        <v>22</v>
      </c>
      <c r="I190" s="2363" t="s">
        <v>983</v>
      </c>
      <c r="J190" s="828" t="s">
        <v>22</v>
      </c>
      <c r="K190" s="2363" t="s">
        <v>22</v>
      </c>
      <c r="L190" s="828" t="s">
        <v>22</v>
      </c>
      <c r="M190" s="2363" t="s">
        <v>22</v>
      </c>
      <c r="N190" s="828" t="s">
        <v>22</v>
      </c>
      <c r="O190" s="2363" t="s">
        <v>983</v>
      </c>
      <c r="P190" s="828" t="s">
        <v>22</v>
      </c>
      <c r="Q190" s="1535"/>
      <c r="R190" s="1645"/>
      <c r="S190" s="1645"/>
      <c r="T190" s="1645"/>
      <c r="U190" s="1645"/>
      <c r="V190" s="1645"/>
      <c r="W190" s="1645"/>
      <c r="X190" s="1645"/>
      <c r="Y190" s="1645"/>
      <c r="Z190" s="1645"/>
      <c r="AA190" s="685"/>
      <c r="AB190" s="1645">
        <v>0</v>
      </c>
    </row>
    <row s="1860" customFormat="1" customHeight="1" ht="15">
      <c r="A191" s="1645"/>
      <c r="B191" s="2407"/>
      <c r="C191" s="2408"/>
      <c r="D191" s="699" t="str">
        <f>B190&amp;".2"</f>
        <v>3.52.2</v>
      </c>
      <c r="E191" s="1677" t="s">
        <v>967</v>
      </c>
      <c r="F191" s="2273" t="s">
        <v>328</v>
      </c>
      <c r="G191" s="1748" t="s">
        <v>22</v>
      </c>
      <c r="H191" s="828" t="s">
        <v>22</v>
      </c>
      <c r="I191" s="1748">
        <v>46146</v>
      </c>
      <c r="J191" s="828" t="s">
        <v>22</v>
      </c>
      <c r="K191" s="1748" t="s">
        <v>22</v>
      </c>
      <c r="L191" s="828" t="s">
        <v>22</v>
      </c>
      <c r="M191" s="1748" t="s">
        <v>22</v>
      </c>
      <c r="N191" s="828" t="s">
        <v>22</v>
      </c>
      <c r="O191" s="1748">
        <v>46163</v>
      </c>
      <c r="P191" s="828" t="s">
        <v>22</v>
      </c>
      <c r="Q191" s="1535" t="s">
        <v>968</v>
      </c>
      <c r="R191" s="1645"/>
      <c r="S191" s="1645"/>
      <c r="T191" s="1645"/>
      <c r="U191" s="1645"/>
      <c r="V191" s="1645"/>
      <c r="W191" s="1645"/>
      <c r="X191" s="1645"/>
      <c r="Y191" s="1645"/>
      <c r="Z191" s="1645"/>
      <c r="AA191" s="685"/>
      <c r="AB191" s="1645">
        <v>0</v>
      </c>
    </row>
    <row s="1860" customFormat="1" customHeight="1" ht="15">
      <c r="A192" s="1645"/>
      <c r="B192" s="2407"/>
      <c r="C192" s="2408"/>
      <c r="D192" s="699" t="str">
        <f>B190&amp;".3"</f>
        <v>3.52.3</v>
      </c>
      <c r="E192" s="1677" t="s">
        <v>969</v>
      </c>
      <c r="F192" s="2273" t="s">
        <v>328</v>
      </c>
      <c r="G192" s="1748" t="s">
        <v>22</v>
      </c>
      <c r="H192" s="828" t="s">
        <v>22</v>
      </c>
      <c r="I192" s="1748" t="s">
        <v>22</v>
      </c>
      <c r="J192" s="828" t="s">
        <v>22</v>
      </c>
      <c r="K192" s="1748" t="s">
        <v>22</v>
      </c>
      <c r="L192" s="828" t="s">
        <v>22</v>
      </c>
      <c r="M192" s="1748" t="s">
        <v>22</v>
      </c>
      <c r="N192" s="828" t="s">
        <v>22</v>
      </c>
      <c r="O192" s="1748" t="s">
        <v>22</v>
      </c>
      <c r="P192" s="828" t="s">
        <v>22</v>
      </c>
      <c r="Q192" s="1535" t="s">
        <v>970</v>
      </c>
      <c r="R192" s="1645"/>
      <c r="S192" s="1645"/>
      <c r="T192" s="1645"/>
      <c r="U192" s="1645"/>
      <c r="V192" s="1645"/>
      <c r="W192" s="1645"/>
      <c r="X192" s="1645"/>
      <c r="Y192" s="1645"/>
      <c r="Z192" s="1645"/>
      <c r="AA192" s="685"/>
      <c r="AB192" s="1645">
        <v>0</v>
      </c>
    </row>
    <row s="1860" customFormat="1" customHeight="1" ht="22.5">
      <c r="A193" s="1645"/>
      <c r="B193" s="2407" t="s">
        <v>1041</v>
      </c>
      <c r="C193" s="2408" t="s">
        <v>105</v>
      </c>
      <c r="D193" s="699" t="str">
        <f>B193&amp;".1"</f>
        <v>3.53.1</v>
      </c>
      <c r="E193" s="1677" t="s">
        <v>966</v>
      </c>
      <c r="F193" s="2273" t="s">
        <v>328</v>
      </c>
      <c r="G193" s="2363" t="s">
        <v>22</v>
      </c>
      <c r="H193" s="828" t="s">
        <v>22</v>
      </c>
      <c r="I193" s="2363" t="s">
        <v>983</v>
      </c>
      <c r="J193" s="828" t="s">
        <v>22</v>
      </c>
      <c r="K193" s="2363" t="s">
        <v>22</v>
      </c>
      <c r="L193" s="828" t="s">
        <v>22</v>
      </c>
      <c r="M193" s="2363" t="s">
        <v>22</v>
      </c>
      <c r="N193" s="828" t="s">
        <v>22</v>
      </c>
      <c r="O193" s="2363" t="s">
        <v>1042</v>
      </c>
      <c r="P193" s="828" t="s">
        <v>22</v>
      </c>
      <c r="Q193" s="1535"/>
      <c r="R193" s="1645"/>
      <c r="S193" s="1645"/>
      <c r="T193" s="1645"/>
      <c r="U193" s="1645"/>
      <c r="V193" s="1645"/>
      <c r="W193" s="1645"/>
      <c r="X193" s="1645"/>
      <c r="Y193" s="1645"/>
      <c r="Z193" s="1645"/>
      <c r="AA193" s="685"/>
      <c r="AB193" s="1645">
        <v>0</v>
      </c>
    </row>
    <row s="1860" customFormat="1" customHeight="1" ht="15">
      <c r="A194" s="1645"/>
      <c r="B194" s="2407"/>
      <c r="C194" s="2408"/>
      <c r="D194" s="699" t="str">
        <f>B193&amp;".2"</f>
        <v>3.53.2</v>
      </c>
      <c r="E194" s="1677" t="s">
        <v>967</v>
      </c>
      <c r="F194" s="2273" t="s">
        <v>328</v>
      </c>
      <c r="G194" s="1748" t="s">
        <v>22</v>
      </c>
      <c r="H194" s="828" t="s">
        <v>22</v>
      </c>
      <c r="I194" s="1748">
        <v>46146</v>
      </c>
      <c r="J194" s="828" t="s">
        <v>22</v>
      </c>
      <c r="K194" s="1748" t="s">
        <v>22</v>
      </c>
      <c r="L194" s="828" t="s">
        <v>22</v>
      </c>
      <c r="M194" s="1748" t="s">
        <v>22</v>
      </c>
      <c r="N194" s="828" t="s">
        <v>22</v>
      </c>
      <c r="O194" s="1748">
        <v>46164</v>
      </c>
      <c r="P194" s="828" t="s">
        <v>22</v>
      </c>
      <c r="Q194" s="1535" t="s">
        <v>968</v>
      </c>
      <c r="R194" s="1645"/>
      <c r="S194" s="1645"/>
      <c r="T194" s="1645"/>
      <c r="U194" s="1645"/>
      <c r="V194" s="1645"/>
      <c r="W194" s="1645"/>
      <c r="X194" s="1645"/>
      <c r="Y194" s="1645"/>
      <c r="Z194" s="1645"/>
      <c r="AA194" s="685"/>
      <c r="AB194" s="1645">
        <v>0</v>
      </c>
    </row>
    <row s="1860" customFormat="1" customHeight="1" ht="15">
      <c r="A195" s="1645"/>
      <c r="B195" s="2407"/>
      <c r="C195" s="2408"/>
      <c r="D195" s="699" t="str">
        <f>B193&amp;".3"</f>
        <v>3.53.3</v>
      </c>
      <c r="E195" s="1677" t="s">
        <v>969</v>
      </c>
      <c r="F195" s="2273" t="s">
        <v>328</v>
      </c>
      <c r="G195" s="1748" t="s">
        <v>22</v>
      </c>
      <c r="H195" s="828" t="s">
        <v>22</v>
      </c>
      <c r="I195" s="1748" t="s">
        <v>22</v>
      </c>
      <c r="J195" s="828" t="s">
        <v>22</v>
      </c>
      <c r="K195" s="1748" t="s">
        <v>22</v>
      </c>
      <c r="L195" s="828" t="s">
        <v>22</v>
      </c>
      <c r="M195" s="1748" t="s">
        <v>22</v>
      </c>
      <c r="N195" s="828" t="s">
        <v>22</v>
      </c>
      <c r="O195" s="1748" t="s">
        <v>22</v>
      </c>
      <c r="P195" s="828" t="s">
        <v>22</v>
      </c>
      <c r="Q195" s="1535" t="s">
        <v>970</v>
      </c>
      <c r="R195" s="1645"/>
      <c r="S195" s="1645"/>
      <c r="T195" s="1645"/>
      <c r="U195" s="1645"/>
      <c r="V195" s="1645"/>
      <c r="W195" s="1645"/>
      <c r="X195" s="1645"/>
      <c r="Y195" s="1645"/>
      <c r="Z195" s="1645"/>
      <c r="AA195" s="685"/>
      <c r="AB195" s="1645">
        <v>0</v>
      </c>
    </row>
    <row s="1860" customFormat="1" customHeight="1" ht="22.5">
      <c r="A196" s="1645"/>
      <c r="B196" s="2407" t="s">
        <v>1043</v>
      </c>
      <c r="C196" s="2408" t="s">
        <v>105</v>
      </c>
      <c r="D196" s="699" t="str">
        <f>B196&amp;".1"</f>
        <v>3.54.1</v>
      </c>
      <c r="E196" s="1677" t="s">
        <v>966</v>
      </c>
      <c r="F196" s="2273" t="s">
        <v>328</v>
      </c>
      <c r="G196" s="2363" t="s">
        <v>22</v>
      </c>
      <c r="H196" s="828" t="s">
        <v>22</v>
      </c>
      <c r="I196" s="2363" t="s">
        <v>983</v>
      </c>
      <c r="J196" s="828" t="s">
        <v>22</v>
      </c>
      <c r="K196" s="2363" t="s">
        <v>22</v>
      </c>
      <c r="L196" s="828" t="s">
        <v>22</v>
      </c>
      <c r="M196" s="2363" t="s">
        <v>22</v>
      </c>
      <c r="N196" s="828" t="s">
        <v>22</v>
      </c>
      <c r="O196" s="2363" t="s">
        <v>983</v>
      </c>
      <c r="P196" s="828" t="s">
        <v>22</v>
      </c>
      <c r="Q196" s="1535"/>
      <c r="R196" s="1645"/>
      <c r="S196" s="1645"/>
      <c r="T196" s="1645"/>
      <c r="U196" s="1645"/>
      <c r="V196" s="1645"/>
      <c r="W196" s="1645"/>
      <c r="X196" s="1645"/>
      <c r="Y196" s="1645"/>
      <c r="Z196" s="1645"/>
      <c r="AA196" s="685"/>
      <c r="AB196" s="1645">
        <v>0</v>
      </c>
    </row>
    <row s="1860" customFormat="1" customHeight="1" ht="15">
      <c r="A197" s="1645"/>
      <c r="B197" s="2407"/>
      <c r="C197" s="2408"/>
      <c r="D197" s="699" t="str">
        <f>B196&amp;".2"</f>
        <v>3.54.2</v>
      </c>
      <c r="E197" s="1677" t="s">
        <v>967</v>
      </c>
      <c r="F197" s="2273" t="s">
        <v>328</v>
      </c>
      <c r="G197" s="1748" t="s">
        <v>22</v>
      </c>
      <c r="H197" s="828" t="s">
        <v>22</v>
      </c>
      <c r="I197" s="1748">
        <v>46146</v>
      </c>
      <c r="J197" s="828" t="s">
        <v>22</v>
      </c>
      <c r="K197" s="1748" t="s">
        <v>22</v>
      </c>
      <c r="L197" s="828" t="s">
        <v>22</v>
      </c>
      <c r="M197" s="1748" t="s">
        <v>22</v>
      </c>
      <c r="N197" s="828" t="s">
        <v>22</v>
      </c>
      <c r="O197" s="1748">
        <v>46164</v>
      </c>
      <c r="P197" s="828" t="s">
        <v>22</v>
      </c>
      <c r="Q197" s="1535" t="s">
        <v>968</v>
      </c>
      <c r="R197" s="1645"/>
      <c r="S197" s="1645"/>
      <c r="T197" s="1645"/>
      <c r="U197" s="1645"/>
      <c r="V197" s="1645"/>
      <c r="W197" s="1645"/>
      <c r="X197" s="1645"/>
      <c r="Y197" s="1645"/>
      <c r="Z197" s="1645"/>
      <c r="AA197" s="685"/>
      <c r="AB197" s="1645">
        <v>0</v>
      </c>
    </row>
    <row s="1860" customFormat="1" customHeight="1" ht="15">
      <c r="A198" s="1645"/>
      <c r="B198" s="2407"/>
      <c r="C198" s="2408"/>
      <c r="D198" s="699" t="str">
        <f>B196&amp;".3"</f>
        <v>3.54.3</v>
      </c>
      <c r="E198" s="1677" t="s">
        <v>969</v>
      </c>
      <c r="F198" s="2273" t="s">
        <v>328</v>
      </c>
      <c r="G198" s="1748" t="s">
        <v>22</v>
      </c>
      <c r="H198" s="828" t="s">
        <v>22</v>
      </c>
      <c r="I198" s="1748" t="s">
        <v>22</v>
      </c>
      <c r="J198" s="828" t="s">
        <v>22</v>
      </c>
      <c r="K198" s="1748" t="s">
        <v>22</v>
      </c>
      <c r="L198" s="828" t="s">
        <v>22</v>
      </c>
      <c r="M198" s="1748" t="s">
        <v>22</v>
      </c>
      <c r="N198" s="828" t="s">
        <v>22</v>
      </c>
      <c r="O198" s="1748" t="s">
        <v>22</v>
      </c>
      <c r="P198" s="828" t="s">
        <v>22</v>
      </c>
      <c r="Q198" s="1535" t="s">
        <v>970</v>
      </c>
      <c r="R198" s="1645"/>
      <c r="S198" s="1645"/>
      <c r="T198" s="1645"/>
      <c r="U198" s="1645"/>
      <c r="V198" s="1645"/>
      <c r="W198" s="1645"/>
      <c r="X198" s="1645"/>
      <c r="Y198" s="1645"/>
      <c r="Z198" s="1645"/>
      <c r="AA198" s="685"/>
      <c r="AB198" s="1645">
        <v>0</v>
      </c>
    </row>
    <row s="1860" customFormat="1" customHeight="1" ht="22.5">
      <c r="A199" s="1645"/>
      <c r="B199" s="2407" t="s">
        <v>1044</v>
      </c>
      <c r="C199" s="2408" t="s">
        <v>105</v>
      </c>
      <c r="D199" s="699" t="str">
        <f>B199&amp;".1"</f>
        <v>3.55.1</v>
      </c>
      <c r="E199" s="1677" t="s">
        <v>966</v>
      </c>
      <c r="F199" s="2273" t="s">
        <v>328</v>
      </c>
      <c r="G199" s="2363" t="s">
        <v>22</v>
      </c>
      <c r="H199" s="828" t="s">
        <v>22</v>
      </c>
      <c r="I199" s="2363" t="s">
        <v>983</v>
      </c>
      <c r="J199" s="828" t="s">
        <v>22</v>
      </c>
      <c r="K199" s="2363" t="s">
        <v>22</v>
      </c>
      <c r="L199" s="828" t="s">
        <v>22</v>
      </c>
      <c r="M199" s="2363" t="s">
        <v>22</v>
      </c>
      <c r="N199" s="828" t="s">
        <v>22</v>
      </c>
      <c r="O199" s="2363" t="s">
        <v>983</v>
      </c>
      <c r="P199" s="828" t="s">
        <v>22</v>
      </c>
      <c r="Q199" s="1535"/>
      <c r="R199" s="1645"/>
      <c r="S199" s="1645"/>
      <c r="T199" s="1645"/>
      <c r="U199" s="1645"/>
      <c r="V199" s="1645"/>
      <c r="W199" s="1645"/>
      <c r="X199" s="1645"/>
      <c r="Y199" s="1645"/>
      <c r="Z199" s="1645"/>
      <c r="AA199" s="685"/>
      <c r="AB199" s="1645">
        <v>0</v>
      </c>
    </row>
    <row s="1860" customFormat="1" customHeight="1" ht="15">
      <c r="A200" s="1645"/>
      <c r="B200" s="2407"/>
      <c r="C200" s="2408"/>
      <c r="D200" s="699" t="str">
        <f>B199&amp;".2"</f>
        <v>3.55.2</v>
      </c>
      <c r="E200" s="1677" t="s">
        <v>967</v>
      </c>
      <c r="F200" s="2273" t="s">
        <v>328</v>
      </c>
      <c r="G200" s="1748" t="s">
        <v>22</v>
      </c>
      <c r="H200" s="828" t="s">
        <v>22</v>
      </c>
      <c r="I200" s="1748">
        <v>46146</v>
      </c>
      <c r="J200" s="828" t="s">
        <v>22</v>
      </c>
      <c r="K200" s="1748" t="s">
        <v>22</v>
      </c>
      <c r="L200" s="828" t="s">
        <v>22</v>
      </c>
      <c r="M200" s="1748" t="s">
        <v>22</v>
      </c>
      <c r="N200" s="828" t="s">
        <v>22</v>
      </c>
      <c r="O200" s="1748">
        <v>46164</v>
      </c>
      <c r="P200" s="828" t="s">
        <v>22</v>
      </c>
      <c r="Q200" s="1535" t="s">
        <v>968</v>
      </c>
      <c r="R200" s="1645"/>
      <c r="S200" s="1645"/>
      <c r="T200" s="1645"/>
      <c r="U200" s="1645"/>
      <c r="V200" s="1645"/>
      <c r="W200" s="1645"/>
      <c r="X200" s="1645"/>
      <c r="Y200" s="1645"/>
      <c r="Z200" s="1645"/>
      <c r="AA200" s="685"/>
      <c r="AB200" s="1645">
        <v>0</v>
      </c>
    </row>
    <row s="1860" customFormat="1" customHeight="1" ht="15">
      <c r="A201" s="1645"/>
      <c r="B201" s="2407"/>
      <c r="C201" s="2408"/>
      <c r="D201" s="699" t="str">
        <f>B199&amp;".3"</f>
        <v>3.55.3</v>
      </c>
      <c r="E201" s="1677" t="s">
        <v>969</v>
      </c>
      <c r="F201" s="2273" t="s">
        <v>328</v>
      </c>
      <c r="G201" s="1748" t="s">
        <v>22</v>
      </c>
      <c r="H201" s="828" t="s">
        <v>22</v>
      </c>
      <c r="I201" s="1748" t="s">
        <v>22</v>
      </c>
      <c r="J201" s="828" t="s">
        <v>22</v>
      </c>
      <c r="K201" s="1748" t="s">
        <v>22</v>
      </c>
      <c r="L201" s="828" t="s">
        <v>22</v>
      </c>
      <c r="M201" s="1748" t="s">
        <v>22</v>
      </c>
      <c r="N201" s="828" t="s">
        <v>22</v>
      </c>
      <c r="O201" s="1748" t="s">
        <v>22</v>
      </c>
      <c r="P201" s="828" t="s">
        <v>22</v>
      </c>
      <c r="Q201" s="1535" t="s">
        <v>970</v>
      </c>
      <c r="R201" s="1645"/>
      <c r="S201" s="1645"/>
      <c r="T201" s="1645"/>
      <c r="U201" s="1645"/>
      <c r="V201" s="1645"/>
      <c r="W201" s="1645"/>
      <c r="X201" s="1645"/>
      <c r="Y201" s="1645"/>
      <c r="Z201" s="1645"/>
      <c r="AA201" s="685"/>
      <c r="AB201" s="1645">
        <v>0</v>
      </c>
    </row>
    <row s="1860" customFormat="1" customHeight="1" ht="22.5">
      <c r="A202" s="1645"/>
      <c r="B202" s="2407" t="s">
        <v>1045</v>
      </c>
      <c r="C202" s="2408" t="s">
        <v>105</v>
      </c>
      <c r="D202" s="699" t="str">
        <f>B202&amp;".1"</f>
        <v>3.56.1</v>
      </c>
      <c r="E202" s="1677" t="s">
        <v>966</v>
      </c>
      <c r="F202" s="2273" t="s">
        <v>328</v>
      </c>
      <c r="G202" s="2363" t="s">
        <v>22</v>
      </c>
      <c r="H202" s="828" t="s">
        <v>22</v>
      </c>
      <c r="I202" s="2363" t="s">
        <v>983</v>
      </c>
      <c r="J202" s="828" t="s">
        <v>22</v>
      </c>
      <c r="K202" s="2363" t="s">
        <v>22</v>
      </c>
      <c r="L202" s="828" t="s">
        <v>22</v>
      </c>
      <c r="M202" s="2363" t="s">
        <v>22</v>
      </c>
      <c r="N202" s="828" t="s">
        <v>22</v>
      </c>
      <c r="O202" s="2363" t="s">
        <v>983</v>
      </c>
      <c r="P202" s="828" t="s">
        <v>22</v>
      </c>
      <c r="Q202" s="1535"/>
      <c r="R202" s="1645"/>
      <c r="S202" s="1645"/>
      <c r="T202" s="1645"/>
      <c r="U202" s="1645"/>
      <c r="V202" s="1645"/>
      <c r="W202" s="1645"/>
      <c r="X202" s="1645"/>
      <c r="Y202" s="1645"/>
      <c r="Z202" s="1645"/>
      <c r="AA202" s="685"/>
      <c r="AB202" s="1645">
        <v>0</v>
      </c>
    </row>
    <row s="1860" customFormat="1" customHeight="1" ht="15">
      <c r="A203" s="1645"/>
      <c r="B203" s="2407"/>
      <c r="C203" s="2408"/>
      <c r="D203" s="699" t="str">
        <f>B202&amp;".2"</f>
        <v>3.56.2</v>
      </c>
      <c r="E203" s="1677" t="s">
        <v>967</v>
      </c>
      <c r="F203" s="2273" t="s">
        <v>328</v>
      </c>
      <c r="G203" s="1748" t="s">
        <v>22</v>
      </c>
      <c r="H203" s="828" t="s">
        <v>22</v>
      </c>
      <c r="I203" s="1748">
        <v>46146</v>
      </c>
      <c r="J203" s="828" t="s">
        <v>22</v>
      </c>
      <c r="K203" s="1748" t="s">
        <v>22</v>
      </c>
      <c r="L203" s="828" t="s">
        <v>22</v>
      </c>
      <c r="M203" s="1748" t="s">
        <v>22</v>
      </c>
      <c r="N203" s="828" t="s">
        <v>22</v>
      </c>
      <c r="O203" s="1748">
        <v>46167</v>
      </c>
      <c r="P203" s="828" t="s">
        <v>22</v>
      </c>
      <c r="Q203" s="1535" t="s">
        <v>968</v>
      </c>
      <c r="R203" s="1645"/>
      <c r="S203" s="1645"/>
      <c r="T203" s="1645"/>
      <c r="U203" s="1645"/>
      <c r="V203" s="1645"/>
      <c r="W203" s="1645"/>
      <c r="X203" s="1645"/>
      <c r="Y203" s="1645"/>
      <c r="Z203" s="1645"/>
      <c r="AA203" s="685"/>
      <c r="AB203" s="1645">
        <v>0</v>
      </c>
    </row>
    <row s="1860" customFormat="1" customHeight="1" ht="15">
      <c r="A204" s="1645"/>
      <c r="B204" s="2407"/>
      <c r="C204" s="2408"/>
      <c r="D204" s="699" t="str">
        <f>B202&amp;".3"</f>
        <v>3.56.3</v>
      </c>
      <c r="E204" s="1677" t="s">
        <v>969</v>
      </c>
      <c r="F204" s="2273" t="s">
        <v>328</v>
      </c>
      <c r="G204" s="1748" t="s">
        <v>22</v>
      </c>
      <c r="H204" s="828" t="s">
        <v>22</v>
      </c>
      <c r="I204" s="1748" t="s">
        <v>22</v>
      </c>
      <c r="J204" s="828" t="s">
        <v>22</v>
      </c>
      <c r="K204" s="1748" t="s">
        <v>22</v>
      </c>
      <c r="L204" s="828" t="s">
        <v>22</v>
      </c>
      <c r="M204" s="1748" t="s">
        <v>22</v>
      </c>
      <c r="N204" s="828" t="s">
        <v>22</v>
      </c>
      <c r="O204" s="1748" t="s">
        <v>22</v>
      </c>
      <c r="P204" s="828" t="s">
        <v>22</v>
      </c>
      <c r="Q204" s="1535" t="s">
        <v>970</v>
      </c>
      <c r="R204" s="1645"/>
      <c r="S204" s="1645"/>
      <c r="T204" s="1645"/>
      <c r="U204" s="1645"/>
      <c r="V204" s="1645"/>
      <c r="W204" s="1645"/>
      <c r="X204" s="1645"/>
      <c r="Y204" s="1645"/>
      <c r="Z204" s="1645"/>
      <c r="AA204" s="685"/>
      <c r="AB204" s="1645">
        <v>0</v>
      </c>
    </row>
    <row s="1860" customFormat="1" customHeight="1" ht="22.5">
      <c r="A205" s="1645"/>
      <c r="B205" s="2407" t="s">
        <v>1046</v>
      </c>
      <c r="C205" s="2408" t="s">
        <v>105</v>
      </c>
      <c r="D205" s="699" t="str">
        <f>B205&amp;".1"</f>
        <v>3.57.1</v>
      </c>
      <c r="E205" s="1677" t="s">
        <v>966</v>
      </c>
      <c r="F205" s="2273" t="s">
        <v>328</v>
      </c>
      <c r="G205" s="2363" t="s">
        <v>22</v>
      </c>
      <c r="H205" s="828" t="s">
        <v>22</v>
      </c>
      <c r="I205" s="2363" t="s">
        <v>983</v>
      </c>
      <c r="J205" s="828" t="s">
        <v>22</v>
      </c>
      <c r="K205" s="2363" t="s">
        <v>22</v>
      </c>
      <c r="L205" s="828" t="s">
        <v>22</v>
      </c>
      <c r="M205" s="2363" t="s">
        <v>22</v>
      </c>
      <c r="N205" s="828" t="s">
        <v>22</v>
      </c>
      <c r="O205" s="2363" t="s">
        <v>983</v>
      </c>
      <c r="P205" s="828" t="s">
        <v>22</v>
      </c>
      <c r="Q205" s="1535"/>
      <c r="R205" s="1645"/>
      <c r="S205" s="1645"/>
      <c r="T205" s="1645"/>
      <c r="U205" s="1645"/>
      <c r="V205" s="1645"/>
      <c r="W205" s="1645"/>
      <c r="X205" s="1645"/>
      <c r="Y205" s="1645"/>
      <c r="Z205" s="1645"/>
      <c r="AA205" s="685"/>
      <c r="AB205" s="1645">
        <v>0</v>
      </c>
    </row>
    <row s="1860" customFormat="1" customHeight="1" ht="15">
      <c r="A206" s="1645"/>
      <c r="B206" s="2407"/>
      <c r="C206" s="2408"/>
      <c r="D206" s="699" t="str">
        <f>B205&amp;".2"</f>
        <v>3.57.2</v>
      </c>
      <c r="E206" s="1677" t="s">
        <v>967</v>
      </c>
      <c r="F206" s="2273" t="s">
        <v>328</v>
      </c>
      <c r="G206" s="1748" t="s">
        <v>22</v>
      </c>
      <c r="H206" s="828" t="s">
        <v>22</v>
      </c>
      <c r="I206" s="1748">
        <v>46146</v>
      </c>
      <c r="J206" s="828" t="s">
        <v>22</v>
      </c>
      <c r="K206" s="1748" t="s">
        <v>22</v>
      </c>
      <c r="L206" s="828" t="s">
        <v>22</v>
      </c>
      <c r="M206" s="1748" t="s">
        <v>22</v>
      </c>
      <c r="N206" s="828" t="s">
        <v>22</v>
      </c>
      <c r="O206" s="1748">
        <v>46167</v>
      </c>
      <c r="P206" s="828" t="s">
        <v>22</v>
      </c>
      <c r="Q206" s="1535" t="s">
        <v>968</v>
      </c>
      <c r="R206" s="1645"/>
      <c r="S206" s="1645"/>
      <c r="T206" s="1645"/>
      <c r="U206" s="1645"/>
      <c r="V206" s="1645"/>
      <c r="W206" s="1645"/>
      <c r="X206" s="1645"/>
      <c r="Y206" s="1645"/>
      <c r="Z206" s="1645"/>
      <c r="AA206" s="685"/>
      <c r="AB206" s="1645">
        <v>0</v>
      </c>
    </row>
    <row s="1860" customFormat="1" customHeight="1" ht="15">
      <c r="A207" s="1645"/>
      <c r="B207" s="2407"/>
      <c r="C207" s="2408"/>
      <c r="D207" s="699" t="str">
        <f>B205&amp;".3"</f>
        <v>3.57.3</v>
      </c>
      <c r="E207" s="1677" t="s">
        <v>969</v>
      </c>
      <c r="F207" s="2273" t="s">
        <v>328</v>
      </c>
      <c r="G207" s="1748" t="s">
        <v>22</v>
      </c>
      <c r="H207" s="828" t="s">
        <v>22</v>
      </c>
      <c r="I207" s="1748" t="s">
        <v>22</v>
      </c>
      <c r="J207" s="828" t="s">
        <v>22</v>
      </c>
      <c r="K207" s="1748" t="s">
        <v>22</v>
      </c>
      <c r="L207" s="828" t="s">
        <v>22</v>
      </c>
      <c r="M207" s="1748" t="s">
        <v>22</v>
      </c>
      <c r="N207" s="828" t="s">
        <v>22</v>
      </c>
      <c r="O207" s="1748" t="s">
        <v>22</v>
      </c>
      <c r="P207" s="828" t="s">
        <v>22</v>
      </c>
      <c r="Q207" s="1535" t="s">
        <v>970</v>
      </c>
      <c r="R207" s="1645"/>
      <c r="S207" s="1645"/>
      <c r="T207" s="1645"/>
      <c r="U207" s="1645"/>
      <c r="V207" s="1645"/>
      <c r="W207" s="1645"/>
      <c r="X207" s="1645"/>
      <c r="Y207" s="1645"/>
      <c r="Z207" s="1645"/>
      <c r="AA207" s="685"/>
      <c r="AB207" s="1645">
        <v>0</v>
      </c>
    </row>
    <row s="1860" customFormat="1" customHeight="1" ht="22.5">
      <c r="A208" s="1645"/>
      <c r="B208" s="2407" t="s">
        <v>1047</v>
      </c>
      <c r="C208" s="2408" t="s">
        <v>105</v>
      </c>
      <c r="D208" s="699" t="str">
        <f>B208&amp;".1"</f>
        <v>3.58.1</v>
      </c>
      <c r="E208" s="1677" t="s">
        <v>966</v>
      </c>
      <c r="F208" s="2273" t="s">
        <v>328</v>
      </c>
      <c r="G208" s="2363" t="s">
        <v>22</v>
      </c>
      <c r="H208" s="828" t="s">
        <v>22</v>
      </c>
      <c r="I208" s="2363" t="s">
        <v>983</v>
      </c>
      <c r="J208" s="828" t="s">
        <v>22</v>
      </c>
      <c r="K208" s="2363" t="s">
        <v>22</v>
      </c>
      <c r="L208" s="828" t="s">
        <v>22</v>
      </c>
      <c r="M208" s="2363" t="s">
        <v>22</v>
      </c>
      <c r="N208" s="828" t="s">
        <v>22</v>
      </c>
      <c r="O208" s="2363" t="s">
        <v>983</v>
      </c>
      <c r="P208" s="828" t="s">
        <v>22</v>
      </c>
      <c r="Q208" s="1535"/>
      <c r="R208" s="1645"/>
      <c r="S208" s="1645"/>
      <c r="T208" s="1645"/>
      <c r="U208" s="1645"/>
      <c r="V208" s="1645"/>
      <c r="W208" s="1645"/>
      <c r="X208" s="1645"/>
      <c r="Y208" s="1645"/>
      <c r="Z208" s="1645"/>
      <c r="AA208" s="685"/>
      <c r="AB208" s="1645">
        <v>0</v>
      </c>
    </row>
    <row s="1860" customFormat="1" customHeight="1" ht="15">
      <c r="A209" s="1645"/>
      <c r="B209" s="2407"/>
      <c r="C209" s="2408"/>
      <c r="D209" s="699" t="str">
        <f>B208&amp;".2"</f>
        <v>3.58.2</v>
      </c>
      <c r="E209" s="1677" t="s">
        <v>967</v>
      </c>
      <c r="F209" s="2273" t="s">
        <v>328</v>
      </c>
      <c r="G209" s="1748" t="s">
        <v>22</v>
      </c>
      <c r="H209" s="828" t="s">
        <v>22</v>
      </c>
      <c r="I209" s="1748">
        <v>46146</v>
      </c>
      <c r="J209" s="828" t="s">
        <v>22</v>
      </c>
      <c r="K209" s="1748" t="s">
        <v>22</v>
      </c>
      <c r="L209" s="828" t="s">
        <v>22</v>
      </c>
      <c r="M209" s="1748" t="s">
        <v>22</v>
      </c>
      <c r="N209" s="828" t="s">
        <v>22</v>
      </c>
      <c r="O209" s="1748">
        <v>46167</v>
      </c>
      <c r="P209" s="828" t="s">
        <v>22</v>
      </c>
      <c r="Q209" s="1535" t="s">
        <v>968</v>
      </c>
      <c r="R209" s="1645"/>
      <c r="S209" s="1645"/>
      <c r="T209" s="1645"/>
      <c r="U209" s="1645"/>
      <c r="V209" s="1645"/>
      <c r="W209" s="1645"/>
      <c r="X209" s="1645"/>
      <c r="Y209" s="1645"/>
      <c r="Z209" s="1645"/>
      <c r="AA209" s="685"/>
      <c r="AB209" s="1645">
        <v>0</v>
      </c>
    </row>
    <row s="1860" customFormat="1" customHeight="1" ht="15">
      <c r="A210" s="1645"/>
      <c r="B210" s="2407"/>
      <c r="C210" s="2408"/>
      <c r="D210" s="699" t="str">
        <f>B208&amp;".3"</f>
        <v>3.58.3</v>
      </c>
      <c r="E210" s="1677" t="s">
        <v>969</v>
      </c>
      <c r="F210" s="2273" t="s">
        <v>328</v>
      </c>
      <c r="G210" s="1748" t="s">
        <v>22</v>
      </c>
      <c r="H210" s="828" t="s">
        <v>22</v>
      </c>
      <c r="I210" s="1748" t="s">
        <v>22</v>
      </c>
      <c r="J210" s="828" t="s">
        <v>22</v>
      </c>
      <c r="K210" s="1748" t="s">
        <v>22</v>
      </c>
      <c r="L210" s="828" t="s">
        <v>22</v>
      </c>
      <c r="M210" s="1748" t="s">
        <v>22</v>
      </c>
      <c r="N210" s="828" t="s">
        <v>22</v>
      </c>
      <c r="O210" s="1748" t="s">
        <v>22</v>
      </c>
      <c r="P210" s="828" t="s">
        <v>22</v>
      </c>
      <c r="Q210" s="1535" t="s">
        <v>970</v>
      </c>
      <c r="R210" s="1645"/>
      <c r="S210" s="1645"/>
      <c r="T210" s="1645"/>
      <c r="U210" s="1645"/>
      <c r="V210" s="1645"/>
      <c r="W210" s="1645"/>
      <c r="X210" s="1645"/>
      <c r="Y210" s="1645"/>
      <c r="Z210" s="1645"/>
      <c r="AA210" s="685"/>
      <c r="AB210" s="1645">
        <v>0</v>
      </c>
    </row>
    <row s="1860" customFormat="1" customHeight="1" ht="22.5">
      <c r="A211" s="1645"/>
      <c r="B211" s="2407" t="s">
        <v>1048</v>
      </c>
      <c r="C211" s="2408" t="s">
        <v>105</v>
      </c>
      <c r="D211" s="699" t="str">
        <f>B211&amp;".1"</f>
        <v>3.59.1</v>
      </c>
      <c r="E211" s="1677" t="s">
        <v>966</v>
      </c>
      <c r="F211" s="2273" t="s">
        <v>328</v>
      </c>
      <c r="G211" s="2363" t="s">
        <v>22</v>
      </c>
      <c r="H211" s="828" t="s">
        <v>22</v>
      </c>
      <c r="I211" s="2363" t="s">
        <v>983</v>
      </c>
      <c r="J211" s="828" t="s">
        <v>22</v>
      </c>
      <c r="K211" s="2363" t="s">
        <v>22</v>
      </c>
      <c r="L211" s="828" t="s">
        <v>22</v>
      </c>
      <c r="M211" s="2363" t="s">
        <v>22</v>
      </c>
      <c r="N211" s="828" t="s">
        <v>22</v>
      </c>
      <c r="O211" s="2363" t="s">
        <v>983</v>
      </c>
      <c r="P211" s="828" t="s">
        <v>22</v>
      </c>
      <c r="Q211" s="1535"/>
      <c r="R211" s="1645"/>
      <c r="S211" s="1645"/>
      <c r="T211" s="1645"/>
      <c r="U211" s="1645"/>
      <c r="V211" s="1645"/>
      <c r="W211" s="1645"/>
      <c r="X211" s="1645"/>
      <c r="Y211" s="1645"/>
      <c r="Z211" s="1645"/>
      <c r="AA211" s="685"/>
      <c r="AB211" s="1645">
        <v>0</v>
      </c>
    </row>
    <row s="1860" customFormat="1" customHeight="1" ht="15">
      <c r="A212" s="1645"/>
      <c r="B212" s="2407"/>
      <c r="C212" s="2408"/>
      <c r="D212" s="699" t="str">
        <f>B211&amp;".2"</f>
        <v>3.59.2</v>
      </c>
      <c r="E212" s="1677" t="s">
        <v>967</v>
      </c>
      <c r="F212" s="2273" t="s">
        <v>328</v>
      </c>
      <c r="G212" s="1748" t="s">
        <v>22</v>
      </c>
      <c r="H212" s="828" t="s">
        <v>22</v>
      </c>
      <c r="I212" s="1748">
        <v>46146</v>
      </c>
      <c r="J212" s="828" t="s">
        <v>22</v>
      </c>
      <c r="K212" s="1748" t="s">
        <v>22</v>
      </c>
      <c r="L212" s="828" t="s">
        <v>22</v>
      </c>
      <c r="M212" s="1748" t="s">
        <v>22</v>
      </c>
      <c r="N212" s="828" t="s">
        <v>22</v>
      </c>
      <c r="O212" s="1748">
        <v>46169</v>
      </c>
      <c r="P212" s="828" t="s">
        <v>22</v>
      </c>
      <c r="Q212" s="1535" t="s">
        <v>968</v>
      </c>
      <c r="R212" s="1645"/>
      <c r="S212" s="1645"/>
      <c r="T212" s="1645"/>
      <c r="U212" s="1645"/>
      <c r="V212" s="1645"/>
      <c r="W212" s="1645"/>
      <c r="X212" s="1645"/>
      <c r="Y212" s="1645"/>
      <c r="Z212" s="1645"/>
      <c r="AA212" s="685"/>
      <c r="AB212" s="1645">
        <v>0</v>
      </c>
    </row>
    <row s="1860" customFormat="1" customHeight="1" ht="15">
      <c r="A213" s="1645"/>
      <c r="B213" s="2407"/>
      <c r="C213" s="2408"/>
      <c r="D213" s="699" t="str">
        <f>B211&amp;".3"</f>
        <v>3.59.3</v>
      </c>
      <c r="E213" s="1677" t="s">
        <v>969</v>
      </c>
      <c r="F213" s="2273" t="s">
        <v>328</v>
      </c>
      <c r="G213" s="1748" t="s">
        <v>22</v>
      </c>
      <c r="H213" s="828" t="s">
        <v>22</v>
      </c>
      <c r="I213" s="1748" t="s">
        <v>22</v>
      </c>
      <c r="J213" s="828" t="s">
        <v>22</v>
      </c>
      <c r="K213" s="1748" t="s">
        <v>22</v>
      </c>
      <c r="L213" s="828" t="s">
        <v>22</v>
      </c>
      <c r="M213" s="1748" t="s">
        <v>22</v>
      </c>
      <c r="N213" s="828" t="s">
        <v>22</v>
      </c>
      <c r="O213" s="1748" t="s">
        <v>22</v>
      </c>
      <c r="P213" s="828" t="s">
        <v>22</v>
      </c>
      <c r="Q213" s="1535" t="s">
        <v>970</v>
      </c>
      <c r="R213" s="1645"/>
      <c r="S213" s="1645"/>
      <c r="T213" s="1645"/>
      <c r="U213" s="1645"/>
      <c r="V213" s="1645"/>
      <c r="W213" s="1645"/>
      <c r="X213" s="1645"/>
      <c r="Y213" s="1645"/>
      <c r="Z213" s="1645"/>
      <c r="AA213" s="685"/>
      <c r="AB213" s="1645">
        <v>0</v>
      </c>
    </row>
    <row s="1860" customFormat="1" customHeight="1" ht="22.5">
      <c r="A214" s="1645"/>
      <c r="B214" s="2407" t="s">
        <v>1049</v>
      </c>
      <c r="C214" s="2408" t="s">
        <v>105</v>
      </c>
      <c r="D214" s="699" t="str">
        <f>B214&amp;".1"</f>
        <v>3.60.1</v>
      </c>
      <c r="E214" s="1677" t="s">
        <v>966</v>
      </c>
      <c r="F214" s="2273" t="s">
        <v>328</v>
      </c>
      <c r="G214" s="2363" t="s">
        <v>22</v>
      </c>
      <c r="H214" s="828" t="s">
        <v>22</v>
      </c>
      <c r="I214" s="2363" t="s">
        <v>983</v>
      </c>
      <c r="J214" s="828" t="s">
        <v>22</v>
      </c>
      <c r="K214" s="2363" t="s">
        <v>22</v>
      </c>
      <c r="L214" s="828" t="s">
        <v>22</v>
      </c>
      <c r="M214" s="2363" t="s">
        <v>22</v>
      </c>
      <c r="N214" s="828" t="s">
        <v>22</v>
      </c>
      <c r="O214" s="2363" t="s">
        <v>983</v>
      </c>
      <c r="P214" s="828" t="s">
        <v>22</v>
      </c>
      <c r="Q214" s="1535"/>
      <c r="R214" s="1645"/>
      <c r="S214" s="1645"/>
      <c r="T214" s="1645"/>
      <c r="U214" s="1645"/>
      <c r="V214" s="1645"/>
      <c r="W214" s="1645"/>
      <c r="X214" s="1645"/>
      <c r="Y214" s="1645"/>
      <c r="Z214" s="1645"/>
      <c r="AA214" s="685"/>
      <c r="AB214" s="1645">
        <v>0</v>
      </c>
    </row>
    <row s="1860" customFormat="1" customHeight="1" ht="15">
      <c r="A215" s="1645"/>
      <c r="B215" s="2407"/>
      <c r="C215" s="2408"/>
      <c r="D215" s="699" t="str">
        <f>B214&amp;".2"</f>
        <v>3.60.2</v>
      </c>
      <c r="E215" s="1677" t="s">
        <v>967</v>
      </c>
      <c r="F215" s="2273" t="s">
        <v>328</v>
      </c>
      <c r="G215" s="1748" t="s">
        <v>22</v>
      </c>
      <c r="H215" s="828" t="s">
        <v>22</v>
      </c>
      <c r="I215" s="1748">
        <v>46146</v>
      </c>
      <c r="J215" s="828" t="s">
        <v>22</v>
      </c>
      <c r="K215" s="1748" t="s">
        <v>22</v>
      </c>
      <c r="L215" s="828" t="s">
        <v>22</v>
      </c>
      <c r="M215" s="1748" t="s">
        <v>22</v>
      </c>
      <c r="N215" s="828" t="s">
        <v>22</v>
      </c>
      <c r="O215" s="1748">
        <v>46169</v>
      </c>
      <c r="P215" s="828" t="s">
        <v>22</v>
      </c>
      <c r="Q215" s="1535" t="s">
        <v>968</v>
      </c>
      <c r="R215" s="1645"/>
      <c r="S215" s="1645"/>
      <c r="T215" s="1645"/>
      <c r="U215" s="1645"/>
      <c r="V215" s="1645"/>
      <c r="W215" s="1645"/>
      <c r="X215" s="1645"/>
      <c r="Y215" s="1645"/>
      <c r="Z215" s="1645"/>
      <c r="AA215" s="685"/>
      <c r="AB215" s="1645">
        <v>0</v>
      </c>
    </row>
    <row s="1860" customFormat="1" customHeight="1" ht="15">
      <c r="A216" s="1645"/>
      <c r="B216" s="2407"/>
      <c r="C216" s="2408"/>
      <c r="D216" s="699" t="str">
        <f>B214&amp;".3"</f>
        <v>3.60.3</v>
      </c>
      <c r="E216" s="1677" t="s">
        <v>969</v>
      </c>
      <c r="F216" s="2273" t="s">
        <v>328</v>
      </c>
      <c r="G216" s="1748" t="s">
        <v>22</v>
      </c>
      <c r="H216" s="828" t="s">
        <v>22</v>
      </c>
      <c r="I216" s="1748" t="s">
        <v>22</v>
      </c>
      <c r="J216" s="828" t="s">
        <v>22</v>
      </c>
      <c r="K216" s="1748" t="s">
        <v>22</v>
      </c>
      <c r="L216" s="828" t="s">
        <v>22</v>
      </c>
      <c r="M216" s="1748" t="s">
        <v>22</v>
      </c>
      <c r="N216" s="828" t="s">
        <v>22</v>
      </c>
      <c r="O216" s="1748" t="s">
        <v>22</v>
      </c>
      <c r="P216" s="828" t="s">
        <v>22</v>
      </c>
      <c r="Q216" s="1535" t="s">
        <v>970</v>
      </c>
      <c r="R216" s="1645"/>
      <c r="S216" s="1645"/>
      <c r="T216" s="1645"/>
      <c r="U216" s="1645"/>
      <c r="V216" s="1645"/>
      <c r="W216" s="1645"/>
      <c r="X216" s="1645"/>
      <c r="Y216" s="1645"/>
      <c r="Z216" s="1645"/>
      <c r="AA216" s="685"/>
      <c r="AB216" s="1645">
        <v>0</v>
      </c>
    </row>
    <row s="1860" customFormat="1" customHeight="1" ht="22.5">
      <c r="A217" s="1645"/>
      <c r="B217" s="2407" t="s">
        <v>1050</v>
      </c>
      <c r="C217" s="2408" t="s">
        <v>105</v>
      </c>
      <c r="D217" s="699" t="str">
        <f>B217&amp;".1"</f>
        <v>3.61.1</v>
      </c>
      <c r="E217" s="1677" t="s">
        <v>966</v>
      </c>
      <c r="F217" s="2273" t="s">
        <v>328</v>
      </c>
      <c r="G217" s="2363" t="s">
        <v>22</v>
      </c>
      <c r="H217" s="828" t="s">
        <v>22</v>
      </c>
      <c r="I217" s="2363" t="s">
        <v>983</v>
      </c>
      <c r="J217" s="828" t="s">
        <v>22</v>
      </c>
      <c r="K217" s="2363" t="s">
        <v>22</v>
      </c>
      <c r="L217" s="828" t="s">
        <v>22</v>
      </c>
      <c r="M217" s="2363" t="s">
        <v>22</v>
      </c>
      <c r="N217" s="828" t="s">
        <v>22</v>
      </c>
      <c r="O217" s="2363" t="s">
        <v>983</v>
      </c>
      <c r="P217" s="828" t="s">
        <v>22</v>
      </c>
      <c r="Q217" s="1535"/>
      <c r="R217" s="1645"/>
      <c r="S217" s="1645"/>
      <c r="T217" s="1645"/>
      <c r="U217" s="1645"/>
      <c r="V217" s="1645"/>
      <c r="W217" s="1645"/>
      <c r="X217" s="1645"/>
      <c r="Y217" s="1645"/>
      <c r="Z217" s="1645"/>
      <c r="AA217" s="685"/>
      <c r="AB217" s="1645">
        <v>0</v>
      </c>
    </row>
    <row s="1860" customFormat="1" customHeight="1" ht="15">
      <c r="A218" s="1645"/>
      <c r="B218" s="2407"/>
      <c r="C218" s="2408"/>
      <c r="D218" s="699" t="str">
        <f>B217&amp;".2"</f>
        <v>3.61.2</v>
      </c>
      <c r="E218" s="1677" t="s">
        <v>967</v>
      </c>
      <c r="F218" s="2273" t="s">
        <v>328</v>
      </c>
      <c r="G218" s="1748" t="s">
        <v>22</v>
      </c>
      <c r="H218" s="828" t="s">
        <v>22</v>
      </c>
      <c r="I218" s="1748">
        <v>46146</v>
      </c>
      <c r="J218" s="828" t="s">
        <v>22</v>
      </c>
      <c r="K218" s="1748" t="s">
        <v>22</v>
      </c>
      <c r="L218" s="828" t="s">
        <v>22</v>
      </c>
      <c r="M218" s="1748" t="s">
        <v>22</v>
      </c>
      <c r="N218" s="828" t="s">
        <v>22</v>
      </c>
      <c r="O218" s="1748">
        <v>46170</v>
      </c>
      <c r="P218" s="828" t="s">
        <v>22</v>
      </c>
      <c r="Q218" s="1535" t="s">
        <v>968</v>
      </c>
      <c r="R218" s="1645"/>
      <c r="S218" s="1645"/>
      <c r="T218" s="1645"/>
      <c r="U218" s="1645"/>
      <c r="V218" s="1645"/>
      <c r="W218" s="1645"/>
      <c r="X218" s="1645"/>
      <c r="Y218" s="1645"/>
      <c r="Z218" s="1645"/>
      <c r="AA218" s="685"/>
      <c r="AB218" s="1645">
        <v>0</v>
      </c>
    </row>
    <row s="1860" customFormat="1" customHeight="1" ht="15">
      <c r="A219" s="1645"/>
      <c r="B219" s="2407"/>
      <c r="C219" s="2408"/>
      <c r="D219" s="699" t="str">
        <f>B217&amp;".3"</f>
        <v>3.61.3</v>
      </c>
      <c r="E219" s="1677" t="s">
        <v>969</v>
      </c>
      <c r="F219" s="2273" t="s">
        <v>328</v>
      </c>
      <c r="G219" s="1748" t="s">
        <v>22</v>
      </c>
      <c r="H219" s="828" t="s">
        <v>22</v>
      </c>
      <c r="I219" s="1748" t="s">
        <v>22</v>
      </c>
      <c r="J219" s="828" t="s">
        <v>22</v>
      </c>
      <c r="K219" s="1748" t="s">
        <v>22</v>
      </c>
      <c r="L219" s="828" t="s">
        <v>22</v>
      </c>
      <c r="M219" s="1748" t="s">
        <v>22</v>
      </c>
      <c r="N219" s="828" t="s">
        <v>22</v>
      </c>
      <c r="O219" s="1748" t="s">
        <v>22</v>
      </c>
      <c r="P219" s="828" t="s">
        <v>22</v>
      </c>
      <c r="Q219" s="1535" t="s">
        <v>970</v>
      </c>
      <c r="R219" s="1645"/>
      <c r="S219" s="1645"/>
      <c r="T219" s="1645"/>
      <c r="U219" s="1645"/>
      <c r="V219" s="1645"/>
      <c r="W219" s="1645"/>
      <c r="X219" s="1645"/>
      <c r="Y219" s="1645"/>
      <c r="Z219" s="1645"/>
      <c r="AA219" s="685"/>
      <c r="AB219" s="1645">
        <v>0</v>
      </c>
    </row>
    <row s="1860" customFormat="1" customHeight="1" ht="22.5">
      <c r="A220" s="1645"/>
      <c r="B220" s="2407" t="s">
        <v>1051</v>
      </c>
      <c r="C220" s="2408" t="s">
        <v>105</v>
      </c>
      <c r="D220" s="699" t="str">
        <f>B220&amp;".1"</f>
        <v>3.62.1</v>
      </c>
      <c r="E220" s="1677" t="s">
        <v>966</v>
      </c>
      <c r="F220" s="2273" t="s">
        <v>328</v>
      </c>
      <c r="G220" s="2363" t="s">
        <v>22</v>
      </c>
      <c r="H220" s="828" t="s">
        <v>22</v>
      </c>
      <c r="I220" s="2363" t="s">
        <v>983</v>
      </c>
      <c r="J220" s="828" t="s">
        <v>22</v>
      </c>
      <c r="K220" s="2363" t="s">
        <v>22</v>
      </c>
      <c r="L220" s="828" t="s">
        <v>22</v>
      </c>
      <c r="M220" s="2363" t="s">
        <v>22</v>
      </c>
      <c r="N220" s="828" t="s">
        <v>22</v>
      </c>
      <c r="O220" s="2363" t="s">
        <v>983</v>
      </c>
      <c r="P220" s="828" t="s">
        <v>22</v>
      </c>
      <c r="Q220" s="1535"/>
      <c r="R220" s="1645"/>
      <c r="S220" s="1645"/>
      <c r="T220" s="1645"/>
      <c r="U220" s="1645"/>
      <c r="V220" s="1645"/>
      <c r="W220" s="1645"/>
      <c r="X220" s="1645"/>
      <c r="Y220" s="1645"/>
      <c r="Z220" s="1645"/>
      <c r="AA220" s="685"/>
      <c r="AB220" s="1645">
        <v>0</v>
      </c>
    </row>
    <row s="1860" customFormat="1" customHeight="1" ht="15">
      <c r="A221" s="1645"/>
      <c r="B221" s="2407"/>
      <c r="C221" s="2408"/>
      <c r="D221" s="699" t="str">
        <f>B220&amp;".2"</f>
        <v>3.62.2</v>
      </c>
      <c r="E221" s="1677" t="s">
        <v>967</v>
      </c>
      <c r="F221" s="2273" t="s">
        <v>328</v>
      </c>
      <c r="G221" s="1748" t="s">
        <v>22</v>
      </c>
      <c r="H221" s="828" t="s">
        <v>22</v>
      </c>
      <c r="I221" s="1748">
        <v>46147</v>
      </c>
      <c r="J221" s="828" t="s">
        <v>22</v>
      </c>
      <c r="K221" s="1748" t="s">
        <v>22</v>
      </c>
      <c r="L221" s="828" t="s">
        <v>22</v>
      </c>
      <c r="M221" s="1748" t="s">
        <v>22</v>
      </c>
      <c r="N221" s="828" t="s">
        <v>22</v>
      </c>
      <c r="O221" s="1748">
        <v>46170</v>
      </c>
      <c r="P221" s="828" t="s">
        <v>22</v>
      </c>
      <c r="Q221" s="1535" t="s">
        <v>968</v>
      </c>
      <c r="R221" s="1645"/>
      <c r="S221" s="1645"/>
      <c r="T221" s="1645"/>
      <c r="U221" s="1645"/>
      <c r="V221" s="1645"/>
      <c r="W221" s="1645"/>
      <c r="X221" s="1645"/>
      <c r="Y221" s="1645"/>
      <c r="Z221" s="1645"/>
      <c r="AA221" s="685"/>
      <c r="AB221" s="1645">
        <v>0</v>
      </c>
    </row>
    <row s="1860" customFormat="1" customHeight="1" ht="15">
      <c r="A222" s="1645"/>
      <c r="B222" s="2407"/>
      <c r="C222" s="2408"/>
      <c r="D222" s="699" t="str">
        <f>B220&amp;".3"</f>
        <v>3.62.3</v>
      </c>
      <c r="E222" s="1677" t="s">
        <v>969</v>
      </c>
      <c r="F222" s="2273" t="s">
        <v>328</v>
      </c>
      <c r="G222" s="1748" t="s">
        <v>22</v>
      </c>
      <c r="H222" s="828" t="s">
        <v>22</v>
      </c>
      <c r="I222" s="1748" t="s">
        <v>22</v>
      </c>
      <c r="J222" s="828" t="s">
        <v>22</v>
      </c>
      <c r="K222" s="1748" t="s">
        <v>22</v>
      </c>
      <c r="L222" s="828" t="s">
        <v>22</v>
      </c>
      <c r="M222" s="1748" t="s">
        <v>22</v>
      </c>
      <c r="N222" s="828" t="s">
        <v>22</v>
      </c>
      <c r="O222" s="1748" t="s">
        <v>22</v>
      </c>
      <c r="P222" s="828" t="s">
        <v>22</v>
      </c>
      <c r="Q222" s="1535" t="s">
        <v>970</v>
      </c>
      <c r="R222" s="1645"/>
      <c r="S222" s="1645"/>
      <c r="T222" s="1645"/>
      <c r="U222" s="1645"/>
      <c r="V222" s="1645"/>
      <c r="W222" s="1645"/>
      <c r="X222" s="1645"/>
      <c r="Y222" s="1645"/>
      <c r="Z222" s="1645"/>
      <c r="AA222" s="685"/>
      <c r="AB222" s="1645">
        <v>0</v>
      </c>
    </row>
    <row s="1860" customFormat="1" customHeight="1" ht="22.5">
      <c r="A223" s="1645"/>
      <c r="B223" s="2407" t="s">
        <v>1052</v>
      </c>
      <c r="C223" s="2408" t="s">
        <v>105</v>
      </c>
      <c r="D223" s="699" t="str">
        <f>B223&amp;".1"</f>
        <v>3.63.1</v>
      </c>
      <c r="E223" s="1677" t="s">
        <v>966</v>
      </c>
      <c r="F223" s="2273" t="s">
        <v>328</v>
      </c>
      <c r="G223" s="2363" t="s">
        <v>22</v>
      </c>
      <c r="H223" s="828" t="s">
        <v>22</v>
      </c>
      <c r="I223" s="2363" t="s">
        <v>983</v>
      </c>
      <c r="J223" s="828" t="s">
        <v>22</v>
      </c>
      <c r="K223" s="2363" t="s">
        <v>22</v>
      </c>
      <c r="L223" s="828" t="s">
        <v>22</v>
      </c>
      <c r="M223" s="2363" t="s">
        <v>22</v>
      </c>
      <c r="N223" s="828" t="s">
        <v>22</v>
      </c>
      <c r="O223" s="2363" t="s">
        <v>983</v>
      </c>
      <c r="P223" s="828" t="s">
        <v>22</v>
      </c>
      <c r="Q223" s="1535"/>
      <c r="R223" s="1645"/>
      <c r="S223" s="1645"/>
      <c r="T223" s="1645"/>
      <c r="U223" s="1645"/>
      <c r="V223" s="1645"/>
      <c r="W223" s="1645"/>
      <c r="X223" s="1645"/>
      <c r="Y223" s="1645"/>
      <c r="Z223" s="1645"/>
      <c r="AA223" s="685"/>
      <c r="AB223" s="1645">
        <v>0</v>
      </c>
    </row>
    <row s="1860" customFormat="1" customHeight="1" ht="15">
      <c r="A224" s="1645"/>
      <c r="B224" s="2407"/>
      <c r="C224" s="2408"/>
      <c r="D224" s="699" t="str">
        <f>B223&amp;".2"</f>
        <v>3.63.2</v>
      </c>
      <c r="E224" s="1677" t="s">
        <v>967</v>
      </c>
      <c r="F224" s="2273" t="s">
        <v>328</v>
      </c>
      <c r="G224" s="1748" t="s">
        <v>22</v>
      </c>
      <c r="H224" s="828" t="s">
        <v>22</v>
      </c>
      <c r="I224" s="1748">
        <v>46147</v>
      </c>
      <c r="J224" s="828" t="s">
        <v>22</v>
      </c>
      <c r="K224" s="1748" t="s">
        <v>22</v>
      </c>
      <c r="L224" s="828" t="s">
        <v>22</v>
      </c>
      <c r="M224" s="1748" t="s">
        <v>22</v>
      </c>
      <c r="N224" s="828" t="s">
        <v>22</v>
      </c>
      <c r="O224" s="1748">
        <v>46174</v>
      </c>
      <c r="P224" s="828" t="s">
        <v>22</v>
      </c>
      <c r="Q224" s="1535" t="s">
        <v>968</v>
      </c>
      <c r="R224" s="1645"/>
      <c r="S224" s="1645"/>
      <c r="T224" s="1645"/>
      <c r="U224" s="1645"/>
      <c r="V224" s="1645"/>
      <c r="W224" s="1645"/>
      <c r="X224" s="1645"/>
      <c r="Y224" s="1645"/>
      <c r="Z224" s="1645"/>
      <c r="AA224" s="685"/>
      <c r="AB224" s="1645">
        <v>0</v>
      </c>
    </row>
    <row s="1860" customFormat="1" customHeight="1" ht="15">
      <c r="A225" s="1645"/>
      <c r="B225" s="2407"/>
      <c r="C225" s="2408"/>
      <c r="D225" s="699" t="str">
        <f>B223&amp;".3"</f>
        <v>3.63.3</v>
      </c>
      <c r="E225" s="1677" t="s">
        <v>969</v>
      </c>
      <c r="F225" s="2273" t="s">
        <v>328</v>
      </c>
      <c r="G225" s="1748" t="s">
        <v>22</v>
      </c>
      <c r="H225" s="828" t="s">
        <v>22</v>
      </c>
      <c r="I225" s="1748" t="s">
        <v>22</v>
      </c>
      <c r="J225" s="828" t="s">
        <v>22</v>
      </c>
      <c r="K225" s="1748" t="s">
        <v>22</v>
      </c>
      <c r="L225" s="828" t="s">
        <v>22</v>
      </c>
      <c r="M225" s="1748" t="s">
        <v>22</v>
      </c>
      <c r="N225" s="828" t="s">
        <v>22</v>
      </c>
      <c r="O225" s="1748" t="s">
        <v>22</v>
      </c>
      <c r="P225" s="828" t="s">
        <v>22</v>
      </c>
      <c r="Q225" s="1535" t="s">
        <v>970</v>
      </c>
      <c r="R225" s="1645"/>
      <c r="S225" s="1645"/>
      <c r="T225" s="1645"/>
      <c r="U225" s="1645"/>
      <c r="V225" s="1645"/>
      <c r="W225" s="1645"/>
      <c r="X225" s="1645"/>
      <c r="Y225" s="1645"/>
      <c r="Z225" s="1645"/>
      <c r="AA225" s="685"/>
      <c r="AB225" s="1645">
        <v>0</v>
      </c>
    </row>
    <row s="1860" customFormat="1" customHeight="1" ht="22.5">
      <c r="A226" s="1645"/>
      <c r="B226" s="2407" t="s">
        <v>1053</v>
      </c>
      <c r="C226" s="2408" t="s">
        <v>105</v>
      </c>
      <c r="D226" s="699" t="str">
        <f>B226&amp;".1"</f>
        <v>3.64.1</v>
      </c>
      <c r="E226" s="1677" t="s">
        <v>966</v>
      </c>
      <c r="F226" s="2273" t="s">
        <v>328</v>
      </c>
      <c r="G226" s="2363" t="s">
        <v>22</v>
      </c>
      <c r="H226" s="828" t="s">
        <v>22</v>
      </c>
      <c r="I226" s="2363" t="s">
        <v>983</v>
      </c>
      <c r="J226" s="828" t="s">
        <v>22</v>
      </c>
      <c r="K226" s="2363" t="s">
        <v>22</v>
      </c>
      <c r="L226" s="828" t="s">
        <v>22</v>
      </c>
      <c r="M226" s="2363" t="s">
        <v>22</v>
      </c>
      <c r="N226" s="828" t="s">
        <v>22</v>
      </c>
      <c r="O226" s="2363" t="s">
        <v>983</v>
      </c>
      <c r="P226" s="828" t="s">
        <v>22</v>
      </c>
      <c r="Q226" s="1535"/>
      <c r="R226" s="1645"/>
      <c r="S226" s="1645"/>
      <c r="T226" s="1645"/>
      <c r="U226" s="1645"/>
      <c r="V226" s="1645"/>
      <c r="W226" s="1645"/>
      <c r="X226" s="1645"/>
      <c r="Y226" s="1645"/>
      <c r="Z226" s="1645"/>
      <c r="AA226" s="685"/>
      <c r="AB226" s="1645">
        <v>0</v>
      </c>
    </row>
    <row s="1860" customFormat="1" customHeight="1" ht="15">
      <c r="A227" s="1645"/>
      <c r="B227" s="2407"/>
      <c r="C227" s="2408"/>
      <c r="D227" s="699" t="str">
        <f>B226&amp;".2"</f>
        <v>3.64.2</v>
      </c>
      <c r="E227" s="1677" t="s">
        <v>967</v>
      </c>
      <c r="F227" s="2273" t="s">
        <v>328</v>
      </c>
      <c r="G227" s="1748" t="s">
        <v>22</v>
      </c>
      <c r="H227" s="828" t="s">
        <v>22</v>
      </c>
      <c r="I227" s="1748">
        <v>46147</v>
      </c>
      <c r="J227" s="828" t="s">
        <v>22</v>
      </c>
      <c r="K227" s="1748" t="s">
        <v>22</v>
      </c>
      <c r="L227" s="828" t="s">
        <v>22</v>
      </c>
      <c r="M227" s="1748" t="s">
        <v>22</v>
      </c>
      <c r="N227" s="828" t="s">
        <v>22</v>
      </c>
      <c r="O227" s="1748">
        <v>46174</v>
      </c>
      <c r="P227" s="828" t="s">
        <v>22</v>
      </c>
      <c r="Q227" s="1535" t="s">
        <v>968</v>
      </c>
      <c r="R227" s="1645"/>
      <c r="S227" s="1645"/>
      <c r="T227" s="1645"/>
      <c r="U227" s="1645"/>
      <c r="V227" s="1645"/>
      <c r="W227" s="1645"/>
      <c r="X227" s="1645"/>
      <c r="Y227" s="1645"/>
      <c r="Z227" s="1645"/>
      <c r="AA227" s="685"/>
      <c r="AB227" s="1645">
        <v>0</v>
      </c>
    </row>
    <row s="1860" customFormat="1" customHeight="1" ht="15">
      <c r="A228" s="1645"/>
      <c r="B228" s="2407"/>
      <c r="C228" s="2408"/>
      <c r="D228" s="699" t="str">
        <f>B226&amp;".3"</f>
        <v>3.64.3</v>
      </c>
      <c r="E228" s="1677" t="s">
        <v>969</v>
      </c>
      <c r="F228" s="2273" t="s">
        <v>328</v>
      </c>
      <c r="G228" s="1748" t="s">
        <v>22</v>
      </c>
      <c r="H228" s="828" t="s">
        <v>22</v>
      </c>
      <c r="I228" s="1748" t="s">
        <v>22</v>
      </c>
      <c r="J228" s="828" t="s">
        <v>22</v>
      </c>
      <c r="K228" s="1748" t="s">
        <v>22</v>
      </c>
      <c r="L228" s="828" t="s">
        <v>22</v>
      </c>
      <c r="M228" s="1748" t="s">
        <v>22</v>
      </c>
      <c r="N228" s="828" t="s">
        <v>22</v>
      </c>
      <c r="O228" s="1748" t="s">
        <v>22</v>
      </c>
      <c r="P228" s="828" t="s">
        <v>22</v>
      </c>
      <c r="Q228" s="1535" t="s">
        <v>970</v>
      </c>
      <c r="R228" s="1645"/>
      <c r="S228" s="1645"/>
      <c r="T228" s="1645"/>
      <c r="U228" s="1645"/>
      <c r="V228" s="1645"/>
      <c r="W228" s="1645"/>
      <c r="X228" s="1645"/>
      <c r="Y228" s="1645"/>
      <c r="Z228" s="1645"/>
      <c r="AA228" s="685"/>
      <c r="AB228" s="1645">
        <v>0</v>
      </c>
    </row>
    <row s="1860" customFormat="1" customHeight="1" ht="22.5">
      <c r="A229" s="1645"/>
      <c r="B229" s="2407" t="s">
        <v>1054</v>
      </c>
      <c r="C229" s="2408" t="s">
        <v>105</v>
      </c>
      <c r="D229" s="699" t="str">
        <f>B229&amp;".1"</f>
        <v>3.65.1</v>
      </c>
      <c r="E229" s="1677" t="s">
        <v>966</v>
      </c>
      <c r="F229" s="2273" t="s">
        <v>328</v>
      </c>
      <c r="G229" s="2363" t="s">
        <v>22</v>
      </c>
      <c r="H229" s="828" t="s">
        <v>22</v>
      </c>
      <c r="I229" s="2363" t="s">
        <v>983</v>
      </c>
      <c r="J229" s="828" t="s">
        <v>22</v>
      </c>
      <c r="K229" s="2363" t="s">
        <v>22</v>
      </c>
      <c r="L229" s="828" t="s">
        <v>22</v>
      </c>
      <c r="M229" s="2363" t="s">
        <v>22</v>
      </c>
      <c r="N229" s="828" t="s">
        <v>22</v>
      </c>
      <c r="O229" s="2363" t="s">
        <v>983</v>
      </c>
      <c r="P229" s="828" t="s">
        <v>22</v>
      </c>
      <c r="Q229" s="1535"/>
      <c r="R229" s="1645"/>
      <c r="S229" s="1645"/>
      <c r="T229" s="1645"/>
      <c r="U229" s="1645"/>
      <c r="V229" s="1645"/>
      <c r="W229" s="1645"/>
      <c r="X229" s="1645"/>
      <c r="Y229" s="1645"/>
      <c r="Z229" s="1645"/>
      <c r="AA229" s="685"/>
      <c r="AB229" s="1645">
        <v>0</v>
      </c>
    </row>
    <row s="1860" customFormat="1" customHeight="1" ht="15">
      <c r="A230" s="1645"/>
      <c r="B230" s="2407"/>
      <c r="C230" s="2408"/>
      <c r="D230" s="699" t="str">
        <f>B229&amp;".2"</f>
        <v>3.65.2</v>
      </c>
      <c r="E230" s="1677" t="s">
        <v>967</v>
      </c>
      <c r="F230" s="2273" t="s">
        <v>328</v>
      </c>
      <c r="G230" s="1748" t="s">
        <v>22</v>
      </c>
      <c r="H230" s="828" t="s">
        <v>22</v>
      </c>
      <c r="I230" s="1748">
        <v>46147</v>
      </c>
      <c r="J230" s="828" t="s">
        <v>22</v>
      </c>
      <c r="K230" s="1748" t="s">
        <v>22</v>
      </c>
      <c r="L230" s="828" t="s">
        <v>22</v>
      </c>
      <c r="M230" s="1748" t="s">
        <v>22</v>
      </c>
      <c r="N230" s="828" t="s">
        <v>22</v>
      </c>
      <c r="O230" s="1748">
        <v>46174</v>
      </c>
      <c r="P230" s="828" t="s">
        <v>22</v>
      </c>
      <c r="Q230" s="1535" t="s">
        <v>968</v>
      </c>
      <c r="R230" s="1645"/>
      <c r="S230" s="1645"/>
      <c r="T230" s="1645"/>
      <c r="U230" s="1645"/>
      <c r="V230" s="1645"/>
      <c r="W230" s="1645"/>
      <c r="X230" s="1645"/>
      <c r="Y230" s="1645"/>
      <c r="Z230" s="1645"/>
      <c r="AA230" s="685"/>
      <c r="AB230" s="1645">
        <v>0</v>
      </c>
    </row>
    <row s="1860" customFormat="1" customHeight="1" ht="15">
      <c r="A231" s="1645"/>
      <c r="B231" s="2407"/>
      <c r="C231" s="2408"/>
      <c r="D231" s="699" t="str">
        <f>B229&amp;".3"</f>
        <v>3.65.3</v>
      </c>
      <c r="E231" s="1677" t="s">
        <v>969</v>
      </c>
      <c r="F231" s="2273" t="s">
        <v>328</v>
      </c>
      <c r="G231" s="1748" t="s">
        <v>22</v>
      </c>
      <c r="H231" s="828" t="s">
        <v>22</v>
      </c>
      <c r="I231" s="1748" t="s">
        <v>22</v>
      </c>
      <c r="J231" s="828" t="s">
        <v>22</v>
      </c>
      <c r="K231" s="1748" t="s">
        <v>22</v>
      </c>
      <c r="L231" s="828" t="s">
        <v>22</v>
      </c>
      <c r="M231" s="1748" t="s">
        <v>22</v>
      </c>
      <c r="N231" s="828" t="s">
        <v>22</v>
      </c>
      <c r="O231" s="1748" t="s">
        <v>22</v>
      </c>
      <c r="P231" s="828" t="s">
        <v>22</v>
      </c>
      <c r="Q231" s="1535" t="s">
        <v>970</v>
      </c>
      <c r="R231" s="1645"/>
      <c r="S231" s="1645"/>
      <c r="T231" s="1645"/>
      <c r="U231" s="1645"/>
      <c r="V231" s="1645"/>
      <c r="W231" s="1645"/>
      <c r="X231" s="1645"/>
      <c r="Y231" s="1645"/>
      <c r="Z231" s="1645"/>
      <c r="AA231" s="685"/>
      <c r="AB231" s="1645">
        <v>0</v>
      </c>
    </row>
    <row s="1860" customFormat="1" customHeight="1" ht="22.5">
      <c r="A232" s="1645"/>
      <c r="B232" s="2407" t="s">
        <v>1055</v>
      </c>
      <c r="C232" s="2408" t="s">
        <v>105</v>
      </c>
      <c r="D232" s="699" t="str">
        <f>B232&amp;".1"</f>
        <v>3.66.1</v>
      </c>
      <c r="E232" s="1677" t="s">
        <v>966</v>
      </c>
      <c r="F232" s="2273" t="s">
        <v>328</v>
      </c>
      <c r="G232" s="2363" t="s">
        <v>22</v>
      </c>
      <c r="H232" s="828" t="s">
        <v>22</v>
      </c>
      <c r="I232" s="2363" t="s">
        <v>983</v>
      </c>
      <c r="J232" s="828" t="s">
        <v>22</v>
      </c>
      <c r="K232" s="2363" t="s">
        <v>22</v>
      </c>
      <c r="L232" s="828" t="s">
        <v>22</v>
      </c>
      <c r="M232" s="2363" t="s">
        <v>22</v>
      </c>
      <c r="N232" s="828" t="s">
        <v>22</v>
      </c>
      <c r="O232" s="2363" t="s">
        <v>983</v>
      </c>
      <c r="P232" s="828" t="s">
        <v>22</v>
      </c>
      <c r="Q232" s="1535"/>
      <c r="R232" s="1645"/>
      <c r="S232" s="1645"/>
      <c r="T232" s="1645"/>
      <c r="U232" s="1645"/>
      <c r="V232" s="1645"/>
      <c r="W232" s="1645"/>
      <c r="X232" s="1645"/>
      <c r="Y232" s="1645"/>
      <c r="Z232" s="1645"/>
      <c r="AA232" s="685"/>
      <c r="AB232" s="1645">
        <v>0</v>
      </c>
    </row>
    <row s="1860" customFormat="1" customHeight="1" ht="15">
      <c r="A233" s="1645"/>
      <c r="B233" s="2407"/>
      <c r="C233" s="2408"/>
      <c r="D233" s="699" t="str">
        <f>B232&amp;".2"</f>
        <v>3.66.2</v>
      </c>
      <c r="E233" s="1677" t="s">
        <v>967</v>
      </c>
      <c r="F233" s="2273" t="s">
        <v>328</v>
      </c>
      <c r="G233" s="1748" t="s">
        <v>22</v>
      </c>
      <c r="H233" s="828" t="s">
        <v>22</v>
      </c>
      <c r="I233" s="1748">
        <v>46147</v>
      </c>
      <c r="J233" s="828" t="s">
        <v>22</v>
      </c>
      <c r="K233" s="1748" t="s">
        <v>22</v>
      </c>
      <c r="L233" s="828" t="s">
        <v>22</v>
      </c>
      <c r="M233" s="1748" t="s">
        <v>22</v>
      </c>
      <c r="N233" s="828" t="s">
        <v>22</v>
      </c>
      <c r="O233" s="1748">
        <v>46175</v>
      </c>
      <c r="P233" s="828" t="s">
        <v>22</v>
      </c>
      <c r="Q233" s="1535" t="s">
        <v>968</v>
      </c>
      <c r="R233" s="1645"/>
      <c r="S233" s="1645"/>
      <c r="T233" s="1645"/>
      <c r="U233" s="1645"/>
      <c r="V233" s="1645"/>
      <c r="W233" s="1645"/>
      <c r="X233" s="1645"/>
      <c r="Y233" s="1645"/>
      <c r="Z233" s="1645"/>
      <c r="AA233" s="685"/>
      <c r="AB233" s="1645">
        <v>0</v>
      </c>
    </row>
    <row s="1860" customFormat="1" customHeight="1" ht="15">
      <c r="A234" s="1645"/>
      <c r="B234" s="2407"/>
      <c r="C234" s="2408"/>
      <c r="D234" s="699" t="str">
        <f>B232&amp;".3"</f>
        <v>3.66.3</v>
      </c>
      <c r="E234" s="1677" t="s">
        <v>969</v>
      </c>
      <c r="F234" s="2273" t="s">
        <v>328</v>
      </c>
      <c r="G234" s="1748" t="s">
        <v>22</v>
      </c>
      <c r="H234" s="828" t="s">
        <v>22</v>
      </c>
      <c r="I234" s="1748" t="s">
        <v>22</v>
      </c>
      <c r="J234" s="828" t="s">
        <v>22</v>
      </c>
      <c r="K234" s="1748" t="s">
        <v>22</v>
      </c>
      <c r="L234" s="828" t="s">
        <v>22</v>
      </c>
      <c r="M234" s="1748" t="s">
        <v>22</v>
      </c>
      <c r="N234" s="828" t="s">
        <v>22</v>
      </c>
      <c r="O234" s="1748" t="s">
        <v>22</v>
      </c>
      <c r="P234" s="828" t="s">
        <v>22</v>
      </c>
      <c r="Q234" s="1535" t="s">
        <v>970</v>
      </c>
      <c r="R234" s="1645"/>
      <c r="S234" s="1645"/>
      <c r="T234" s="1645"/>
      <c r="U234" s="1645"/>
      <c r="V234" s="1645"/>
      <c r="W234" s="1645"/>
      <c r="X234" s="1645"/>
      <c r="Y234" s="1645"/>
      <c r="Z234" s="1645"/>
      <c r="AA234" s="685"/>
      <c r="AB234" s="1645">
        <v>0</v>
      </c>
    </row>
    <row s="1860" customFormat="1" customHeight="1" ht="22.5">
      <c r="A235" s="1645"/>
      <c r="B235" s="2407" t="s">
        <v>1056</v>
      </c>
      <c r="C235" s="2408" t="s">
        <v>105</v>
      </c>
      <c r="D235" s="699" t="str">
        <f>B235&amp;".1"</f>
        <v>3.67.1</v>
      </c>
      <c r="E235" s="1677" t="s">
        <v>966</v>
      </c>
      <c r="F235" s="2273" t="s">
        <v>328</v>
      </c>
      <c r="G235" s="2363" t="s">
        <v>22</v>
      </c>
      <c r="H235" s="828" t="s">
        <v>22</v>
      </c>
      <c r="I235" s="2363" t="s">
        <v>983</v>
      </c>
      <c r="J235" s="828" t="s">
        <v>22</v>
      </c>
      <c r="K235" s="2363" t="s">
        <v>22</v>
      </c>
      <c r="L235" s="828" t="s">
        <v>22</v>
      </c>
      <c r="M235" s="2363" t="s">
        <v>22</v>
      </c>
      <c r="N235" s="828" t="s">
        <v>22</v>
      </c>
      <c r="O235" s="2363" t="s">
        <v>983</v>
      </c>
      <c r="P235" s="828" t="s">
        <v>22</v>
      </c>
      <c r="Q235" s="1535"/>
      <c r="R235" s="1645"/>
      <c r="S235" s="1645"/>
      <c r="T235" s="1645"/>
      <c r="U235" s="1645"/>
      <c r="V235" s="1645"/>
      <c r="W235" s="1645"/>
      <c r="X235" s="1645"/>
      <c r="Y235" s="1645"/>
      <c r="Z235" s="1645"/>
      <c r="AA235" s="685"/>
      <c r="AB235" s="1645">
        <v>0</v>
      </c>
    </row>
    <row s="1860" customFormat="1" customHeight="1" ht="15">
      <c r="A236" s="1645"/>
      <c r="B236" s="2407"/>
      <c r="C236" s="2408"/>
      <c r="D236" s="699" t="str">
        <f>B235&amp;".2"</f>
        <v>3.67.2</v>
      </c>
      <c r="E236" s="1677" t="s">
        <v>967</v>
      </c>
      <c r="F236" s="2273" t="s">
        <v>328</v>
      </c>
      <c r="G236" s="1748" t="s">
        <v>22</v>
      </c>
      <c r="H236" s="828" t="s">
        <v>22</v>
      </c>
      <c r="I236" s="1748">
        <v>46147</v>
      </c>
      <c r="J236" s="828" t="s">
        <v>22</v>
      </c>
      <c r="K236" s="1748" t="s">
        <v>22</v>
      </c>
      <c r="L236" s="828" t="s">
        <v>22</v>
      </c>
      <c r="M236" s="1748" t="s">
        <v>22</v>
      </c>
      <c r="N236" s="828" t="s">
        <v>22</v>
      </c>
      <c r="O236" s="1748">
        <v>46178</v>
      </c>
      <c r="P236" s="828" t="s">
        <v>22</v>
      </c>
      <c r="Q236" s="1535" t="s">
        <v>968</v>
      </c>
      <c r="R236" s="1645"/>
      <c r="S236" s="1645"/>
      <c r="T236" s="1645"/>
      <c r="U236" s="1645"/>
      <c r="V236" s="1645"/>
      <c r="W236" s="1645"/>
      <c r="X236" s="1645"/>
      <c r="Y236" s="1645"/>
      <c r="Z236" s="1645"/>
      <c r="AA236" s="685"/>
      <c r="AB236" s="1645">
        <v>0</v>
      </c>
    </row>
    <row s="1860" customFormat="1" customHeight="1" ht="15">
      <c r="A237" s="1645"/>
      <c r="B237" s="2407"/>
      <c r="C237" s="2408"/>
      <c r="D237" s="699" t="str">
        <f>B235&amp;".3"</f>
        <v>3.67.3</v>
      </c>
      <c r="E237" s="1677" t="s">
        <v>969</v>
      </c>
      <c r="F237" s="2273" t="s">
        <v>328</v>
      </c>
      <c r="G237" s="1748" t="s">
        <v>22</v>
      </c>
      <c r="H237" s="828" t="s">
        <v>22</v>
      </c>
      <c r="I237" s="1748" t="s">
        <v>22</v>
      </c>
      <c r="J237" s="828" t="s">
        <v>22</v>
      </c>
      <c r="K237" s="1748" t="s">
        <v>22</v>
      </c>
      <c r="L237" s="828" t="s">
        <v>22</v>
      </c>
      <c r="M237" s="1748" t="s">
        <v>22</v>
      </c>
      <c r="N237" s="828" t="s">
        <v>22</v>
      </c>
      <c r="O237" s="1748" t="s">
        <v>22</v>
      </c>
      <c r="P237" s="828" t="s">
        <v>22</v>
      </c>
      <c r="Q237" s="1535" t="s">
        <v>970</v>
      </c>
      <c r="R237" s="1645"/>
      <c r="S237" s="1645"/>
      <c r="T237" s="1645"/>
      <c r="U237" s="1645"/>
      <c r="V237" s="1645"/>
      <c r="W237" s="1645"/>
      <c r="X237" s="1645"/>
      <c r="Y237" s="1645"/>
      <c r="Z237" s="1645"/>
      <c r="AA237" s="685"/>
      <c r="AB237" s="1645">
        <v>0</v>
      </c>
    </row>
    <row s="1860" customFormat="1" customHeight="1" ht="22.5">
      <c r="A238" s="1645"/>
      <c r="B238" s="2407" t="s">
        <v>1057</v>
      </c>
      <c r="C238" s="2408" t="s">
        <v>105</v>
      </c>
      <c r="D238" s="699" t="str">
        <f>B238&amp;".1"</f>
        <v>3.68.1</v>
      </c>
      <c r="E238" s="1677" t="s">
        <v>966</v>
      </c>
      <c r="F238" s="2273" t="s">
        <v>328</v>
      </c>
      <c r="G238" s="2363" t="s">
        <v>22</v>
      </c>
      <c r="H238" s="828" t="s">
        <v>22</v>
      </c>
      <c r="I238" s="2363" t="s">
        <v>983</v>
      </c>
      <c r="J238" s="828" t="s">
        <v>22</v>
      </c>
      <c r="K238" s="2363" t="s">
        <v>22</v>
      </c>
      <c r="L238" s="828" t="s">
        <v>22</v>
      </c>
      <c r="M238" s="2363" t="s">
        <v>22</v>
      </c>
      <c r="N238" s="828" t="s">
        <v>22</v>
      </c>
      <c r="O238" s="2363" t="s">
        <v>983</v>
      </c>
      <c r="P238" s="828" t="s">
        <v>22</v>
      </c>
      <c r="Q238" s="1535"/>
      <c r="R238" s="1645"/>
      <c r="S238" s="1645"/>
      <c r="T238" s="1645"/>
      <c r="U238" s="1645"/>
      <c r="V238" s="1645"/>
      <c r="W238" s="1645"/>
      <c r="X238" s="1645"/>
      <c r="Y238" s="1645"/>
      <c r="Z238" s="1645"/>
      <c r="AA238" s="685"/>
      <c r="AB238" s="1645">
        <v>0</v>
      </c>
    </row>
    <row s="1860" customFormat="1" customHeight="1" ht="15">
      <c r="A239" s="1645"/>
      <c r="B239" s="2407"/>
      <c r="C239" s="2408"/>
      <c r="D239" s="699" t="str">
        <f>B238&amp;".2"</f>
        <v>3.68.2</v>
      </c>
      <c r="E239" s="1677" t="s">
        <v>967</v>
      </c>
      <c r="F239" s="2273" t="s">
        <v>328</v>
      </c>
      <c r="G239" s="1748" t="s">
        <v>22</v>
      </c>
      <c r="H239" s="828" t="s">
        <v>22</v>
      </c>
      <c r="I239" s="1748">
        <v>46147</v>
      </c>
      <c r="J239" s="828" t="s">
        <v>22</v>
      </c>
      <c r="K239" s="1748" t="s">
        <v>22</v>
      </c>
      <c r="L239" s="828" t="s">
        <v>22</v>
      </c>
      <c r="M239" s="1748" t="s">
        <v>22</v>
      </c>
      <c r="N239" s="828" t="s">
        <v>22</v>
      </c>
      <c r="O239" s="1748">
        <v>46181</v>
      </c>
      <c r="P239" s="828" t="s">
        <v>22</v>
      </c>
      <c r="Q239" s="1535" t="s">
        <v>968</v>
      </c>
      <c r="R239" s="1645"/>
      <c r="S239" s="1645"/>
      <c r="T239" s="1645"/>
      <c r="U239" s="1645"/>
      <c r="V239" s="1645"/>
      <c r="W239" s="1645"/>
      <c r="X239" s="1645"/>
      <c r="Y239" s="1645"/>
      <c r="Z239" s="1645"/>
      <c r="AA239" s="685"/>
      <c r="AB239" s="1645">
        <v>0</v>
      </c>
    </row>
    <row s="1860" customFormat="1" customHeight="1" ht="15">
      <c r="A240" s="1645"/>
      <c r="B240" s="2407"/>
      <c r="C240" s="2408"/>
      <c r="D240" s="699" t="str">
        <f>B238&amp;".3"</f>
        <v>3.68.3</v>
      </c>
      <c r="E240" s="1677" t="s">
        <v>969</v>
      </c>
      <c r="F240" s="2273" t="s">
        <v>328</v>
      </c>
      <c r="G240" s="1748" t="s">
        <v>22</v>
      </c>
      <c r="H240" s="828" t="s">
        <v>22</v>
      </c>
      <c r="I240" s="1748" t="s">
        <v>22</v>
      </c>
      <c r="J240" s="828" t="s">
        <v>22</v>
      </c>
      <c r="K240" s="1748" t="s">
        <v>22</v>
      </c>
      <c r="L240" s="828" t="s">
        <v>22</v>
      </c>
      <c r="M240" s="1748" t="s">
        <v>22</v>
      </c>
      <c r="N240" s="828" t="s">
        <v>22</v>
      </c>
      <c r="O240" s="1748" t="s">
        <v>22</v>
      </c>
      <c r="P240" s="828" t="s">
        <v>22</v>
      </c>
      <c r="Q240" s="1535" t="s">
        <v>970</v>
      </c>
      <c r="R240" s="1645"/>
      <c r="S240" s="1645"/>
      <c r="T240" s="1645"/>
      <c r="U240" s="1645"/>
      <c r="V240" s="1645"/>
      <c r="W240" s="1645"/>
      <c r="X240" s="1645"/>
      <c r="Y240" s="1645"/>
      <c r="Z240" s="1645"/>
      <c r="AA240" s="685"/>
      <c r="AB240" s="1645">
        <v>0</v>
      </c>
    </row>
    <row s="1860" customFormat="1" customHeight="1" ht="22.5">
      <c r="A241" s="1645"/>
      <c r="B241" s="2407" t="s">
        <v>1058</v>
      </c>
      <c r="C241" s="2408" t="s">
        <v>105</v>
      </c>
      <c r="D241" s="699" t="str">
        <f>B241&amp;".1"</f>
        <v>3.69.1</v>
      </c>
      <c r="E241" s="1677" t="s">
        <v>966</v>
      </c>
      <c r="F241" s="2273" t="s">
        <v>328</v>
      </c>
      <c r="G241" s="2363" t="s">
        <v>22</v>
      </c>
      <c r="H241" s="828" t="s">
        <v>22</v>
      </c>
      <c r="I241" s="2363" t="s">
        <v>983</v>
      </c>
      <c r="J241" s="828" t="s">
        <v>22</v>
      </c>
      <c r="K241" s="2363" t="s">
        <v>22</v>
      </c>
      <c r="L241" s="828" t="s">
        <v>22</v>
      </c>
      <c r="M241" s="2363" t="s">
        <v>22</v>
      </c>
      <c r="N241" s="828" t="s">
        <v>22</v>
      </c>
      <c r="O241" s="2363" t="s">
        <v>983</v>
      </c>
      <c r="P241" s="828" t="s">
        <v>22</v>
      </c>
      <c r="Q241" s="1535"/>
      <c r="R241" s="1645"/>
      <c r="S241" s="1645"/>
      <c r="T241" s="1645"/>
      <c r="U241" s="1645"/>
      <c r="V241" s="1645"/>
      <c r="W241" s="1645"/>
      <c r="X241" s="1645"/>
      <c r="Y241" s="1645"/>
      <c r="Z241" s="1645"/>
      <c r="AA241" s="685"/>
      <c r="AB241" s="1645">
        <v>0</v>
      </c>
    </row>
    <row s="1860" customFormat="1" customHeight="1" ht="15">
      <c r="A242" s="1645"/>
      <c r="B242" s="2407"/>
      <c r="C242" s="2408"/>
      <c r="D242" s="699" t="str">
        <f>B241&amp;".2"</f>
        <v>3.69.2</v>
      </c>
      <c r="E242" s="1677" t="s">
        <v>967</v>
      </c>
      <c r="F242" s="2273" t="s">
        <v>328</v>
      </c>
      <c r="G242" s="1748" t="s">
        <v>22</v>
      </c>
      <c r="H242" s="828" t="s">
        <v>22</v>
      </c>
      <c r="I242" s="1748">
        <v>46147</v>
      </c>
      <c r="J242" s="828" t="s">
        <v>22</v>
      </c>
      <c r="K242" s="1748" t="s">
        <v>22</v>
      </c>
      <c r="L242" s="828" t="s">
        <v>22</v>
      </c>
      <c r="M242" s="1748" t="s">
        <v>22</v>
      </c>
      <c r="N242" s="828" t="s">
        <v>22</v>
      </c>
      <c r="O242" s="1748">
        <v>46181</v>
      </c>
      <c r="P242" s="828" t="s">
        <v>22</v>
      </c>
      <c r="Q242" s="1535" t="s">
        <v>968</v>
      </c>
      <c r="R242" s="1645"/>
      <c r="S242" s="1645"/>
      <c r="T242" s="1645"/>
      <c r="U242" s="1645"/>
      <c r="V242" s="1645"/>
      <c r="W242" s="1645"/>
      <c r="X242" s="1645"/>
      <c r="Y242" s="1645"/>
      <c r="Z242" s="1645"/>
      <c r="AA242" s="685"/>
      <c r="AB242" s="1645">
        <v>0</v>
      </c>
    </row>
    <row s="1860" customFormat="1" customHeight="1" ht="15">
      <c r="A243" s="1645"/>
      <c r="B243" s="2407"/>
      <c r="C243" s="2408"/>
      <c r="D243" s="699" t="str">
        <f>B241&amp;".3"</f>
        <v>3.69.3</v>
      </c>
      <c r="E243" s="1677" t="s">
        <v>969</v>
      </c>
      <c r="F243" s="2273" t="s">
        <v>328</v>
      </c>
      <c r="G243" s="1748" t="s">
        <v>22</v>
      </c>
      <c r="H243" s="828" t="s">
        <v>22</v>
      </c>
      <c r="I243" s="1748" t="s">
        <v>22</v>
      </c>
      <c r="J243" s="828" t="s">
        <v>22</v>
      </c>
      <c r="K243" s="1748" t="s">
        <v>22</v>
      </c>
      <c r="L243" s="828" t="s">
        <v>22</v>
      </c>
      <c r="M243" s="1748" t="s">
        <v>22</v>
      </c>
      <c r="N243" s="828" t="s">
        <v>22</v>
      </c>
      <c r="O243" s="1748" t="s">
        <v>22</v>
      </c>
      <c r="P243" s="828" t="s">
        <v>22</v>
      </c>
      <c r="Q243" s="1535" t="s">
        <v>970</v>
      </c>
      <c r="R243" s="1645"/>
      <c r="S243" s="1645"/>
      <c r="T243" s="1645"/>
      <c r="U243" s="1645"/>
      <c r="V243" s="1645"/>
      <c r="W243" s="1645"/>
      <c r="X243" s="1645"/>
      <c r="Y243" s="1645"/>
      <c r="Z243" s="1645"/>
      <c r="AA243" s="685"/>
      <c r="AB243" s="1645">
        <v>0</v>
      </c>
    </row>
    <row s="1860" customFormat="1" customHeight="1" ht="22.5">
      <c r="A244" s="1645"/>
      <c r="B244" s="2407" t="s">
        <v>1059</v>
      </c>
      <c r="C244" s="2408" t="s">
        <v>105</v>
      </c>
      <c r="D244" s="699" t="str">
        <f>B244&amp;".1"</f>
        <v>3.70.1</v>
      </c>
      <c r="E244" s="1677" t="s">
        <v>966</v>
      </c>
      <c r="F244" s="2273" t="s">
        <v>328</v>
      </c>
      <c r="G244" s="2363" t="s">
        <v>22</v>
      </c>
      <c r="H244" s="828" t="s">
        <v>22</v>
      </c>
      <c r="I244" s="2363" t="s">
        <v>983</v>
      </c>
      <c r="J244" s="828" t="s">
        <v>22</v>
      </c>
      <c r="K244" s="2363" t="s">
        <v>22</v>
      </c>
      <c r="L244" s="828" t="s">
        <v>22</v>
      </c>
      <c r="M244" s="2363" t="s">
        <v>22</v>
      </c>
      <c r="N244" s="828" t="s">
        <v>22</v>
      </c>
      <c r="O244" s="2363" t="s">
        <v>983</v>
      </c>
      <c r="P244" s="828" t="s">
        <v>22</v>
      </c>
      <c r="Q244" s="1535"/>
      <c r="R244" s="1645"/>
      <c r="S244" s="1645"/>
      <c r="T244" s="1645"/>
      <c r="U244" s="1645"/>
      <c r="V244" s="1645"/>
      <c r="W244" s="1645"/>
      <c r="X244" s="1645"/>
      <c r="Y244" s="1645"/>
      <c r="Z244" s="1645"/>
      <c r="AA244" s="685"/>
      <c r="AB244" s="1645">
        <v>0</v>
      </c>
    </row>
    <row s="1860" customFormat="1" customHeight="1" ht="15">
      <c r="A245" s="1645"/>
      <c r="B245" s="2407"/>
      <c r="C245" s="2408"/>
      <c r="D245" s="699" t="str">
        <f>B244&amp;".2"</f>
        <v>3.70.2</v>
      </c>
      <c r="E245" s="1677" t="s">
        <v>967</v>
      </c>
      <c r="F245" s="2273" t="s">
        <v>328</v>
      </c>
      <c r="G245" s="1748" t="s">
        <v>22</v>
      </c>
      <c r="H245" s="828" t="s">
        <v>22</v>
      </c>
      <c r="I245" s="1748">
        <v>46147</v>
      </c>
      <c r="J245" s="828" t="s">
        <v>22</v>
      </c>
      <c r="K245" s="1748" t="s">
        <v>22</v>
      </c>
      <c r="L245" s="828" t="s">
        <v>22</v>
      </c>
      <c r="M245" s="1748" t="s">
        <v>22</v>
      </c>
      <c r="N245" s="828" t="s">
        <v>22</v>
      </c>
      <c r="O245" s="1748">
        <v>46181</v>
      </c>
      <c r="P245" s="828" t="s">
        <v>22</v>
      </c>
      <c r="Q245" s="1535" t="s">
        <v>968</v>
      </c>
      <c r="R245" s="1645"/>
      <c r="S245" s="1645"/>
      <c r="T245" s="1645"/>
      <c r="U245" s="1645"/>
      <c r="V245" s="1645"/>
      <c r="W245" s="1645"/>
      <c r="X245" s="1645"/>
      <c r="Y245" s="1645"/>
      <c r="Z245" s="1645"/>
      <c r="AA245" s="685"/>
      <c r="AB245" s="1645">
        <v>0</v>
      </c>
    </row>
    <row s="1860" customFormat="1" customHeight="1" ht="15">
      <c r="A246" s="1645"/>
      <c r="B246" s="2407"/>
      <c r="C246" s="2408"/>
      <c r="D246" s="699" t="str">
        <f>B244&amp;".3"</f>
        <v>3.70.3</v>
      </c>
      <c r="E246" s="1677" t="s">
        <v>969</v>
      </c>
      <c r="F246" s="2273" t="s">
        <v>328</v>
      </c>
      <c r="G246" s="1748" t="s">
        <v>22</v>
      </c>
      <c r="H246" s="828" t="s">
        <v>22</v>
      </c>
      <c r="I246" s="1748" t="s">
        <v>22</v>
      </c>
      <c r="J246" s="828" t="s">
        <v>22</v>
      </c>
      <c r="K246" s="1748" t="s">
        <v>22</v>
      </c>
      <c r="L246" s="828" t="s">
        <v>22</v>
      </c>
      <c r="M246" s="1748" t="s">
        <v>22</v>
      </c>
      <c r="N246" s="828" t="s">
        <v>22</v>
      </c>
      <c r="O246" s="1748" t="s">
        <v>22</v>
      </c>
      <c r="P246" s="828" t="s">
        <v>22</v>
      </c>
      <c r="Q246" s="1535" t="s">
        <v>970</v>
      </c>
      <c r="R246" s="1645"/>
      <c r="S246" s="1645"/>
      <c r="T246" s="1645"/>
      <c r="U246" s="1645"/>
      <c r="V246" s="1645"/>
      <c r="W246" s="1645"/>
      <c r="X246" s="1645"/>
      <c r="Y246" s="1645"/>
      <c r="Z246" s="1645"/>
      <c r="AA246" s="685"/>
      <c r="AB246" s="1645">
        <v>0</v>
      </c>
    </row>
    <row s="1860" customFormat="1" customHeight="1" ht="22.5">
      <c r="A247" s="1645"/>
      <c r="B247" s="2407" t="s">
        <v>1060</v>
      </c>
      <c r="C247" s="2408" t="s">
        <v>105</v>
      </c>
      <c r="D247" s="699" t="str">
        <f>B247&amp;".1"</f>
        <v>3.71.1</v>
      </c>
      <c r="E247" s="1677" t="s">
        <v>966</v>
      </c>
      <c r="F247" s="2273" t="s">
        <v>328</v>
      </c>
      <c r="G247" s="2363" t="s">
        <v>22</v>
      </c>
      <c r="H247" s="828" t="s">
        <v>22</v>
      </c>
      <c r="I247" s="2363" t="s">
        <v>983</v>
      </c>
      <c r="J247" s="828" t="s">
        <v>22</v>
      </c>
      <c r="K247" s="2363" t="s">
        <v>22</v>
      </c>
      <c r="L247" s="828" t="s">
        <v>22</v>
      </c>
      <c r="M247" s="2363" t="s">
        <v>22</v>
      </c>
      <c r="N247" s="828" t="s">
        <v>22</v>
      </c>
      <c r="O247" s="2363" t="s">
        <v>983</v>
      </c>
      <c r="P247" s="828" t="s">
        <v>22</v>
      </c>
      <c r="Q247" s="1535"/>
      <c r="R247" s="1645"/>
      <c r="S247" s="1645"/>
      <c r="T247" s="1645"/>
      <c r="U247" s="1645"/>
      <c r="V247" s="1645"/>
      <c r="W247" s="1645"/>
      <c r="X247" s="1645"/>
      <c r="Y247" s="1645"/>
      <c r="Z247" s="1645"/>
      <c r="AA247" s="685"/>
      <c r="AB247" s="1645">
        <v>0</v>
      </c>
    </row>
    <row s="1860" customFormat="1" customHeight="1" ht="15">
      <c r="A248" s="1645"/>
      <c r="B248" s="2407"/>
      <c r="C248" s="2408"/>
      <c r="D248" s="699" t="str">
        <f>B247&amp;".2"</f>
        <v>3.71.2</v>
      </c>
      <c r="E248" s="1677" t="s">
        <v>967</v>
      </c>
      <c r="F248" s="2273" t="s">
        <v>328</v>
      </c>
      <c r="G248" s="1748" t="s">
        <v>22</v>
      </c>
      <c r="H248" s="828" t="s">
        <v>22</v>
      </c>
      <c r="I248" s="1748">
        <v>46147</v>
      </c>
      <c r="J248" s="828" t="s">
        <v>22</v>
      </c>
      <c r="K248" s="1748" t="s">
        <v>22</v>
      </c>
      <c r="L248" s="828" t="s">
        <v>22</v>
      </c>
      <c r="M248" s="1748" t="s">
        <v>22</v>
      </c>
      <c r="N248" s="828" t="s">
        <v>22</v>
      </c>
      <c r="O248" s="1748">
        <v>46181</v>
      </c>
      <c r="P248" s="828" t="s">
        <v>22</v>
      </c>
      <c r="Q248" s="1535" t="s">
        <v>968</v>
      </c>
      <c r="R248" s="1645"/>
      <c r="S248" s="1645"/>
      <c r="T248" s="1645"/>
      <c r="U248" s="1645"/>
      <c r="V248" s="1645"/>
      <c r="W248" s="1645"/>
      <c r="X248" s="1645"/>
      <c r="Y248" s="1645"/>
      <c r="Z248" s="1645"/>
      <c r="AA248" s="685"/>
      <c r="AB248" s="1645">
        <v>0</v>
      </c>
    </row>
    <row s="1860" customFormat="1" customHeight="1" ht="15">
      <c r="A249" s="1645"/>
      <c r="B249" s="2407"/>
      <c r="C249" s="2408"/>
      <c r="D249" s="699" t="str">
        <f>B247&amp;".3"</f>
        <v>3.71.3</v>
      </c>
      <c r="E249" s="1677" t="s">
        <v>969</v>
      </c>
      <c r="F249" s="2273" t="s">
        <v>328</v>
      </c>
      <c r="G249" s="1748" t="s">
        <v>22</v>
      </c>
      <c r="H249" s="828" t="s">
        <v>22</v>
      </c>
      <c r="I249" s="1748" t="s">
        <v>22</v>
      </c>
      <c r="J249" s="828" t="s">
        <v>22</v>
      </c>
      <c r="K249" s="1748" t="s">
        <v>22</v>
      </c>
      <c r="L249" s="828" t="s">
        <v>22</v>
      </c>
      <c r="M249" s="1748" t="s">
        <v>22</v>
      </c>
      <c r="N249" s="828" t="s">
        <v>22</v>
      </c>
      <c r="O249" s="1748" t="s">
        <v>22</v>
      </c>
      <c r="P249" s="828" t="s">
        <v>22</v>
      </c>
      <c r="Q249" s="1535" t="s">
        <v>970</v>
      </c>
      <c r="R249" s="1645"/>
      <c r="S249" s="1645"/>
      <c r="T249" s="1645"/>
      <c r="U249" s="1645"/>
      <c r="V249" s="1645"/>
      <c r="W249" s="1645"/>
      <c r="X249" s="1645"/>
      <c r="Y249" s="1645"/>
      <c r="Z249" s="1645"/>
      <c r="AA249" s="685"/>
      <c r="AB249" s="1645">
        <v>0</v>
      </c>
    </row>
    <row s="1860" customFormat="1" customHeight="1" ht="22.5">
      <c r="A250" s="1645"/>
      <c r="B250" s="2407" t="s">
        <v>1061</v>
      </c>
      <c r="C250" s="2408" t="s">
        <v>105</v>
      </c>
      <c r="D250" s="699" t="str">
        <f>B250&amp;".1"</f>
        <v>3.72.1</v>
      </c>
      <c r="E250" s="1677" t="s">
        <v>966</v>
      </c>
      <c r="F250" s="2273" t="s">
        <v>328</v>
      </c>
      <c r="G250" s="2363" t="s">
        <v>22</v>
      </c>
      <c r="H250" s="828" t="s">
        <v>22</v>
      </c>
      <c r="I250" s="2363" t="s">
        <v>983</v>
      </c>
      <c r="J250" s="828" t="s">
        <v>22</v>
      </c>
      <c r="K250" s="2363" t="s">
        <v>22</v>
      </c>
      <c r="L250" s="828" t="s">
        <v>22</v>
      </c>
      <c r="M250" s="2363" t="s">
        <v>22</v>
      </c>
      <c r="N250" s="828" t="s">
        <v>22</v>
      </c>
      <c r="O250" s="2363" t="s">
        <v>983</v>
      </c>
      <c r="P250" s="828" t="s">
        <v>22</v>
      </c>
      <c r="Q250" s="1535"/>
      <c r="R250" s="1645"/>
      <c r="S250" s="1645"/>
      <c r="T250" s="1645"/>
      <c r="U250" s="1645"/>
      <c r="V250" s="1645"/>
      <c r="W250" s="1645"/>
      <c r="X250" s="1645"/>
      <c r="Y250" s="1645"/>
      <c r="Z250" s="1645"/>
      <c r="AA250" s="685"/>
      <c r="AB250" s="1645">
        <v>0</v>
      </c>
    </row>
    <row s="1860" customFormat="1" customHeight="1" ht="15">
      <c r="A251" s="1645"/>
      <c r="B251" s="2407"/>
      <c r="C251" s="2408"/>
      <c r="D251" s="699" t="str">
        <f>B250&amp;".2"</f>
        <v>3.72.2</v>
      </c>
      <c r="E251" s="1677" t="s">
        <v>967</v>
      </c>
      <c r="F251" s="2273" t="s">
        <v>328</v>
      </c>
      <c r="G251" s="1748" t="s">
        <v>22</v>
      </c>
      <c r="H251" s="828" t="s">
        <v>22</v>
      </c>
      <c r="I251" s="1748">
        <v>46147</v>
      </c>
      <c r="J251" s="828" t="s">
        <v>22</v>
      </c>
      <c r="K251" s="1748" t="s">
        <v>22</v>
      </c>
      <c r="L251" s="828" t="s">
        <v>22</v>
      </c>
      <c r="M251" s="1748" t="s">
        <v>22</v>
      </c>
      <c r="N251" s="828" t="s">
        <v>22</v>
      </c>
      <c r="O251" s="1748">
        <v>46181</v>
      </c>
      <c r="P251" s="828" t="s">
        <v>22</v>
      </c>
      <c r="Q251" s="1535" t="s">
        <v>968</v>
      </c>
      <c r="R251" s="1645"/>
      <c r="S251" s="1645"/>
      <c r="T251" s="1645"/>
      <c r="U251" s="1645"/>
      <c r="V251" s="1645"/>
      <c r="W251" s="1645"/>
      <c r="X251" s="1645"/>
      <c r="Y251" s="1645"/>
      <c r="Z251" s="1645"/>
      <c r="AA251" s="685"/>
      <c r="AB251" s="1645">
        <v>0</v>
      </c>
    </row>
    <row s="1860" customFormat="1" customHeight="1" ht="15">
      <c r="A252" s="1645"/>
      <c r="B252" s="2407"/>
      <c r="C252" s="2408"/>
      <c r="D252" s="699" t="str">
        <f>B250&amp;".3"</f>
        <v>3.72.3</v>
      </c>
      <c r="E252" s="1677" t="s">
        <v>969</v>
      </c>
      <c r="F252" s="2273" t="s">
        <v>328</v>
      </c>
      <c r="G252" s="1748" t="s">
        <v>22</v>
      </c>
      <c r="H252" s="828" t="s">
        <v>22</v>
      </c>
      <c r="I252" s="1748" t="s">
        <v>22</v>
      </c>
      <c r="J252" s="828" t="s">
        <v>22</v>
      </c>
      <c r="K252" s="1748" t="s">
        <v>22</v>
      </c>
      <c r="L252" s="828" t="s">
        <v>22</v>
      </c>
      <c r="M252" s="1748" t="s">
        <v>22</v>
      </c>
      <c r="N252" s="828" t="s">
        <v>22</v>
      </c>
      <c r="O252" s="1748" t="s">
        <v>22</v>
      </c>
      <c r="P252" s="828" t="s">
        <v>22</v>
      </c>
      <c r="Q252" s="1535" t="s">
        <v>970</v>
      </c>
      <c r="R252" s="1645"/>
      <c r="S252" s="1645"/>
      <c r="T252" s="1645"/>
      <c r="U252" s="1645"/>
      <c r="V252" s="1645"/>
      <c r="W252" s="1645"/>
      <c r="X252" s="1645"/>
      <c r="Y252" s="1645"/>
      <c r="Z252" s="1645"/>
      <c r="AA252" s="685"/>
      <c r="AB252" s="1645">
        <v>0</v>
      </c>
    </row>
    <row s="1860" customFormat="1" customHeight="1" ht="22.5">
      <c r="A253" s="1645"/>
      <c r="B253" s="2407" t="s">
        <v>1062</v>
      </c>
      <c r="C253" s="2408" t="s">
        <v>105</v>
      </c>
      <c r="D253" s="699" t="str">
        <f>B253&amp;".1"</f>
        <v>3.73.1</v>
      </c>
      <c r="E253" s="1677" t="s">
        <v>966</v>
      </c>
      <c r="F253" s="2273" t="s">
        <v>328</v>
      </c>
      <c r="G253" s="2363" t="s">
        <v>22</v>
      </c>
      <c r="H253" s="828" t="s">
        <v>22</v>
      </c>
      <c r="I253" s="2363" t="s">
        <v>983</v>
      </c>
      <c r="J253" s="828" t="s">
        <v>22</v>
      </c>
      <c r="K253" s="2363" t="s">
        <v>22</v>
      </c>
      <c r="L253" s="828" t="s">
        <v>22</v>
      </c>
      <c r="M253" s="2363" t="s">
        <v>22</v>
      </c>
      <c r="N253" s="828" t="s">
        <v>22</v>
      </c>
      <c r="O253" s="2363" t="s">
        <v>983</v>
      </c>
      <c r="P253" s="828" t="s">
        <v>22</v>
      </c>
      <c r="Q253" s="1535"/>
      <c r="R253" s="1645"/>
      <c r="S253" s="1645"/>
      <c r="T253" s="1645"/>
      <c r="U253" s="1645"/>
      <c r="V253" s="1645"/>
      <c r="W253" s="1645"/>
      <c r="X253" s="1645"/>
      <c r="Y253" s="1645"/>
      <c r="Z253" s="1645"/>
      <c r="AA253" s="685"/>
      <c r="AB253" s="1645">
        <v>0</v>
      </c>
    </row>
    <row s="1860" customFormat="1" customHeight="1" ht="15">
      <c r="A254" s="1645"/>
      <c r="B254" s="2407"/>
      <c r="C254" s="2408"/>
      <c r="D254" s="699" t="str">
        <f>B253&amp;".2"</f>
        <v>3.73.2</v>
      </c>
      <c r="E254" s="1677" t="s">
        <v>967</v>
      </c>
      <c r="F254" s="2273" t="s">
        <v>328</v>
      </c>
      <c r="G254" s="1748" t="s">
        <v>22</v>
      </c>
      <c r="H254" s="828" t="s">
        <v>22</v>
      </c>
      <c r="I254" s="1748">
        <v>46147</v>
      </c>
      <c r="J254" s="828" t="s">
        <v>22</v>
      </c>
      <c r="K254" s="1748" t="s">
        <v>22</v>
      </c>
      <c r="L254" s="828" t="s">
        <v>22</v>
      </c>
      <c r="M254" s="1748" t="s">
        <v>22</v>
      </c>
      <c r="N254" s="828" t="s">
        <v>22</v>
      </c>
      <c r="O254" s="1748">
        <v>46181</v>
      </c>
      <c r="P254" s="828" t="s">
        <v>22</v>
      </c>
      <c r="Q254" s="1535" t="s">
        <v>968</v>
      </c>
      <c r="R254" s="1645"/>
      <c r="S254" s="1645"/>
      <c r="T254" s="1645"/>
      <c r="U254" s="1645"/>
      <c r="V254" s="1645"/>
      <c r="W254" s="1645"/>
      <c r="X254" s="1645"/>
      <c r="Y254" s="1645"/>
      <c r="Z254" s="1645"/>
      <c r="AA254" s="685"/>
      <c r="AB254" s="1645">
        <v>0</v>
      </c>
    </row>
    <row s="1860" customFormat="1" customHeight="1" ht="15">
      <c r="A255" s="1645"/>
      <c r="B255" s="2407"/>
      <c r="C255" s="2408"/>
      <c r="D255" s="699" t="str">
        <f>B253&amp;".3"</f>
        <v>3.73.3</v>
      </c>
      <c r="E255" s="1677" t="s">
        <v>969</v>
      </c>
      <c r="F255" s="2273" t="s">
        <v>328</v>
      </c>
      <c r="G255" s="1748" t="s">
        <v>22</v>
      </c>
      <c r="H255" s="828" t="s">
        <v>22</v>
      </c>
      <c r="I255" s="1748" t="s">
        <v>22</v>
      </c>
      <c r="J255" s="828" t="s">
        <v>22</v>
      </c>
      <c r="K255" s="1748" t="s">
        <v>22</v>
      </c>
      <c r="L255" s="828" t="s">
        <v>22</v>
      </c>
      <c r="M255" s="1748" t="s">
        <v>22</v>
      </c>
      <c r="N255" s="828" t="s">
        <v>22</v>
      </c>
      <c r="O255" s="1748" t="s">
        <v>22</v>
      </c>
      <c r="P255" s="828" t="s">
        <v>22</v>
      </c>
      <c r="Q255" s="1535" t="s">
        <v>970</v>
      </c>
      <c r="R255" s="1645"/>
      <c r="S255" s="1645"/>
      <c r="T255" s="1645"/>
      <c r="U255" s="1645"/>
      <c r="V255" s="1645"/>
      <c r="W255" s="1645"/>
      <c r="X255" s="1645"/>
      <c r="Y255" s="1645"/>
      <c r="Z255" s="1645"/>
      <c r="AA255" s="685"/>
      <c r="AB255" s="1645">
        <v>0</v>
      </c>
    </row>
    <row s="1860" customFormat="1" customHeight="1" ht="22.5">
      <c r="A256" s="1645"/>
      <c r="B256" s="2407" t="s">
        <v>1063</v>
      </c>
      <c r="C256" s="2408" t="s">
        <v>105</v>
      </c>
      <c r="D256" s="699" t="str">
        <f>B256&amp;".1"</f>
        <v>3.74.1</v>
      </c>
      <c r="E256" s="1677" t="s">
        <v>966</v>
      </c>
      <c r="F256" s="2273" t="s">
        <v>328</v>
      </c>
      <c r="G256" s="2363" t="s">
        <v>22</v>
      </c>
      <c r="H256" s="828" t="s">
        <v>22</v>
      </c>
      <c r="I256" s="2363" t="s">
        <v>983</v>
      </c>
      <c r="J256" s="828" t="s">
        <v>22</v>
      </c>
      <c r="K256" s="2363" t="s">
        <v>22</v>
      </c>
      <c r="L256" s="828" t="s">
        <v>22</v>
      </c>
      <c r="M256" s="2363" t="s">
        <v>22</v>
      </c>
      <c r="N256" s="828" t="s">
        <v>22</v>
      </c>
      <c r="O256" s="2363" t="s">
        <v>983</v>
      </c>
      <c r="P256" s="828" t="s">
        <v>22</v>
      </c>
      <c r="Q256" s="1535"/>
      <c r="R256" s="1645"/>
      <c r="S256" s="1645"/>
      <c r="T256" s="1645"/>
      <c r="U256" s="1645"/>
      <c r="V256" s="1645"/>
      <c r="W256" s="1645"/>
      <c r="X256" s="1645"/>
      <c r="Y256" s="1645"/>
      <c r="Z256" s="1645"/>
      <c r="AA256" s="685"/>
      <c r="AB256" s="1645">
        <v>0</v>
      </c>
    </row>
    <row s="1860" customFormat="1" customHeight="1" ht="15">
      <c r="A257" s="1645"/>
      <c r="B257" s="2407"/>
      <c r="C257" s="2408"/>
      <c r="D257" s="699" t="str">
        <f>B256&amp;".2"</f>
        <v>3.74.2</v>
      </c>
      <c r="E257" s="1677" t="s">
        <v>967</v>
      </c>
      <c r="F257" s="2273" t="s">
        <v>328</v>
      </c>
      <c r="G257" s="1748" t="s">
        <v>22</v>
      </c>
      <c r="H257" s="828" t="s">
        <v>22</v>
      </c>
      <c r="I257" s="1748">
        <v>46147</v>
      </c>
      <c r="J257" s="828" t="s">
        <v>22</v>
      </c>
      <c r="K257" s="1748" t="s">
        <v>22</v>
      </c>
      <c r="L257" s="828" t="s">
        <v>22</v>
      </c>
      <c r="M257" s="1748" t="s">
        <v>22</v>
      </c>
      <c r="N257" s="828" t="s">
        <v>22</v>
      </c>
      <c r="O257" s="1748">
        <v>46181</v>
      </c>
      <c r="P257" s="828" t="s">
        <v>22</v>
      </c>
      <c r="Q257" s="1535" t="s">
        <v>968</v>
      </c>
      <c r="R257" s="1645"/>
      <c r="S257" s="1645"/>
      <c r="T257" s="1645"/>
      <c r="U257" s="1645"/>
      <c r="V257" s="1645"/>
      <c r="W257" s="1645"/>
      <c r="X257" s="1645"/>
      <c r="Y257" s="1645"/>
      <c r="Z257" s="1645"/>
      <c r="AA257" s="685"/>
      <c r="AB257" s="1645">
        <v>0</v>
      </c>
    </row>
    <row s="1860" customFormat="1" customHeight="1" ht="15">
      <c r="A258" s="1645"/>
      <c r="B258" s="2407"/>
      <c r="C258" s="2408"/>
      <c r="D258" s="699" t="str">
        <f>B256&amp;".3"</f>
        <v>3.74.3</v>
      </c>
      <c r="E258" s="1677" t="s">
        <v>969</v>
      </c>
      <c r="F258" s="2273" t="s">
        <v>328</v>
      </c>
      <c r="G258" s="1748" t="s">
        <v>22</v>
      </c>
      <c r="H258" s="828" t="s">
        <v>22</v>
      </c>
      <c r="I258" s="1748" t="s">
        <v>22</v>
      </c>
      <c r="J258" s="828" t="s">
        <v>22</v>
      </c>
      <c r="K258" s="1748" t="s">
        <v>22</v>
      </c>
      <c r="L258" s="828" t="s">
        <v>22</v>
      </c>
      <c r="M258" s="1748" t="s">
        <v>22</v>
      </c>
      <c r="N258" s="828" t="s">
        <v>22</v>
      </c>
      <c r="O258" s="1748" t="s">
        <v>22</v>
      </c>
      <c r="P258" s="828" t="s">
        <v>22</v>
      </c>
      <c r="Q258" s="1535" t="s">
        <v>970</v>
      </c>
      <c r="R258" s="1645"/>
      <c r="S258" s="1645"/>
      <c r="T258" s="1645"/>
      <c r="U258" s="1645"/>
      <c r="V258" s="1645"/>
      <c r="W258" s="1645"/>
      <c r="X258" s="1645"/>
      <c r="Y258" s="1645"/>
      <c r="Z258" s="1645"/>
      <c r="AA258" s="685"/>
      <c r="AB258" s="1645">
        <v>0</v>
      </c>
    </row>
    <row s="1860" customFormat="1" customHeight="1" ht="22.5">
      <c r="A259" s="1645"/>
      <c r="B259" s="2407" t="s">
        <v>1064</v>
      </c>
      <c r="C259" s="2408" t="s">
        <v>105</v>
      </c>
      <c r="D259" s="699" t="str">
        <f>B259&amp;".1"</f>
        <v>3.75.1</v>
      </c>
      <c r="E259" s="1677" t="s">
        <v>966</v>
      </c>
      <c r="F259" s="2273" t="s">
        <v>328</v>
      </c>
      <c r="G259" s="2363" t="s">
        <v>22</v>
      </c>
      <c r="H259" s="828" t="s">
        <v>22</v>
      </c>
      <c r="I259" s="2363" t="s">
        <v>983</v>
      </c>
      <c r="J259" s="828" t="s">
        <v>22</v>
      </c>
      <c r="K259" s="2363" t="s">
        <v>22</v>
      </c>
      <c r="L259" s="828" t="s">
        <v>22</v>
      </c>
      <c r="M259" s="2363" t="s">
        <v>22</v>
      </c>
      <c r="N259" s="828" t="s">
        <v>22</v>
      </c>
      <c r="O259" s="2363" t="s">
        <v>983</v>
      </c>
      <c r="P259" s="828" t="s">
        <v>22</v>
      </c>
      <c r="Q259" s="1535"/>
      <c r="R259" s="1645"/>
      <c r="S259" s="1645"/>
      <c r="T259" s="1645"/>
      <c r="U259" s="1645"/>
      <c r="V259" s="1645"/>
      <c r="W259" s="1645"/>
      <c r="X259" s="1645"/>
      <c r="Y259" s="1645"/>
      <c r="Z259" s="1645"/>
      <c r="AA259" s="685"/>
      <c r="AB259" s="1645">
        <v>0</v>
      </c>
    </row>
    <row s="1860" customFormat="1" customHeight="1" ht="15">
      <c r="A260" s="1645"/>
      <c r="B260" s="2407"/>
      <c r="C260" s="2408"/>
      <c r="D260" s="699" t="str">
        <f>B259&amp;".2"</f>
        <v>3.75.2</v>
      </c>
      <c r="E260" s="1677" t="s">
        <v>967</v>
      </c>
      <c r="F260" s="2273" t="s">
        <v>328</v>
      </c>
      <c r="G260" s="1748" t="s">
        <v>22</v>
      </c>
      <c r="H260" s="828" t="s">
        <v>22</v>
      </c>
      <c r="I260" s="1748">
        <v>46147</v>
      </c>
      <c r="J260" s="828" t="s">
        <v>22</v>
      </c>
      <c r="K260" s="1748" t="s">
        <v>22</v>
      </c>
      <c r="L260" s="828" t="s">
        <v>22</v>
      </c>
      <c r="M260" s="1748" t="s">
        <v>22</v>
      </c>
      <c r="N260" s="828" t="s">
        <v>22</v>
      </c>
      <c r="O260" s="1748">
        <v>46181</v>
      </c>
      <c r="P260" s="828" t="s">
        <v>22</v>
      </c>
      <c r="Q260" s="1535" t="s">
        <v>968</v>
      </c>
      <c r="R260" s="1645"/>
      <c r="S260" s="1645"/>
      <c r="T260" s="1645"/>
      <c r="U260" s="1645"/>
      <c r="V260" s="1645"/>
      <c r="W260" s="1645"/>
      <c r="X260" s="1645"/>
      <c r="Y260" s="1645"/>
      <c r="Z260" s="1645"/>
      <c r="AA260" s="685"/>
      <c r="AB260" s="1645">
        <v>0</v>
      </c>
    </row>
    <row s="1860" customFormat="1" customHeight="1" ht="15">
      <c r="A261" s="1645"/>
      <c r="B261" s="2407"/>
      <c r="C261" s="2408"/>
      <c r="D261" s="699" t="str">
        <f>B259&amp;".3"</f>
        <v>3.75.3</v>
      </c>
      <c r="E261" s="1677" t="s">
        <v>969</v>
      </c>
      <c r="F261" s="2273" t="s">
        <v>328</v>
      </c>
      <c r="G261" s="1748" t="s">
        <v>22</v>
      </c>
      <c r="H261" s="828" t="s">
        <v>22</v>
      </c>
      <c r="I261" s="1748" t="s">
        <v>22</v>
      </c>
      <c r="J261" s="828" t="s">
        <v>22</v>
      </c>
      <c r="K261" s="1748" t="s">
        <v>22</v>
      </c>
      <c r="L261" s="828" t="s">
        <v>22</v>
      </c>
      <c r="M261" s="1748" t="s">
        <v>22</v>
      </c>
      <c r="N261" s="828" t="s">
        <v>22</v>
      </c>
      <c r="O261" s="1748" t="s">
        <v>22</v>
      </c>
      <c r="P261" s="828" t="s">
        <v>22</v>
      </c>
      <c r="Q261" s="1535" t="s">
        <v>970</v>
      </c>
      <c r="R261" s="1645"/>
      <c r="S261" s="1645"/>
      <c r="T261" s="1645"/>
      <c r="U261" s="1645"/>
      <c r="V261" s="1645"/>
      <c r="W261" s="1645"/>
      <c r="X261" s="1645"/>
      <c r="Y261" s="1645"/>
      <c r="Z261" s="1645"/>
      <c r="AA261" s="685"/>
      <c r="AB261" s="1645">
        <v>0</v>
      </c>
    </row>
    <row s="1860" customFormat="1" customHeight="1" ht="22.5">
      <c r="A262" s="1645"/>
      <c r="B262" s="2407" t="s">
        <v>1065</v>
      </c>
      <c r="C262" s="2408" t="s">
        <v>105</v>
      </c>
      <c r="D262" s="699" t="str">
        <f>B262&amp;".1"</f>
        <v>3.76.1</v>
      </c>
      <c r="E262" s="1677" t="s">
        <v>966</v>
      </c>
      <c r="F262" s="2273" t="s">
        <v>328</v>
      </c>
      <c r="G262" s="2363" t="s">
        <v>22</v>
      </c>
      <c r="H262" s="828" t="s">
        <v>22</v>
      </c>
      <c r="I262" s="2363" t="s">
        <v>983</v>
      </c>
      <c r="J262" s="828" t="s">
        <v>22</v>
      </c>
      <c r="K262" s="2363" t="s">
        <v>22</v>
      </c>
      <c r="L262" s="828" t="s">
        <v>22</v>
      </c>
      <c r="M262" s="2363" t="s">
        <v>22</v>
      </c>
      <c r="N262" s="828" t="s">
        <v>22</v>
      </c>
      <c r="O262" s="2363" t="s">
        <v>983</v>
      </c>
      <c r="P262" s="828" t="s">
        <v>22</v>
      </c>
      <c r="Q262" s="1535"/>
      <c r="R262" s="1645"/>
      <c r="S262" s="1645"/>
      <c r="T262" s="1645"/>
      <c r="U262" s="1645"/>
      <c r="V262" s="1645"/>
      <c r="W262" s="1645"/>
      <c r="X262" s="1645"/>
      <c r="Y262" s="1645"/>
      <c r="Z262" s="1645"/>
      <c r="AA262" s="685"/>
      <c r="AB262" s="1645">
        <v>0</v>
      </c>
    </row>
    <row s="1860" customFormat="1" customHeight="1" ht="15">
      <c r="A263" s="1645"/>
      <c r="B263" s="2407"/>
      <c r="C263" s="2408"/>
      <c r="D263" s="699" t="str">
        <f>B262&amp;".2"</f>
        <v>3.76.2</v>
      </c>
      <c r="E263" s="1677" t="s">
        <v>967</v>
      </c>
      <c r="F263" s="2273" t="s">
        <v>328</v>
      </c>
      <c r="G263" s="1748" t="s">
        <v>22</v>
      </c>
      <c r="H263" s="828" t="s">
        <v>22</v>
      </c>
      <c r="I263" s="1748">
        <v>46147</v>
      </c>
      <c r="J263" s="828" t="s">
        <v>22</v>
      </c>
      <c r="K263" s="1748" t="s">
        <v>22</v>
      </c>
      <c r="L263" s="828" t="s">
        <v>22</v>
      </c>
      <c r="M263" s="1748" t="s">
        <v>22</v>
      </c>
      <c r="N263" s="828" t="s">
        <v>22</v>
      </c>
      <c r="O263" s="1748">
        <v>46181</v>
      </c>
      <c r="P263" s="828" t="s">
        <v>22</v>
      </c>
      <c r="Q263" s="1535" t="s">
        <v>968</v>
      </c>
      <c r="R263" s="1645"/>
      <c r="S263" s="1645"/>
      <c r="T263" s="1645"/>
      <c r="U263" s="1645"/>
      <c r="V263" s="1645"/>
      <c r="W263" s="1645"/>
      <c r="X263" s="1645"/>
      <c r="Y263" s="1645"/>
      <c r="Z263" s="1645"/>
      <c r="AA263" s="685"/>
      <c r="AB263" s="1645">
        <v>0</v>
      </c>
    </row>
    <row s="1860" customFormat="1" customHeight="1" ht="15">
      <c r="A264" s="1645"/>
      <c r="B264" s="2407"/>
      <c r="C264" s="2408"/>
      <c r="D264" s="699" t="str">
        <f>B262&amp;".3"</f>
        <v>3.76.3</v>
      </c>
      <c r="E264" s="1677" t="s">
        <v>969</v>
      </c>
      <c r="F264" s="2273" t="s">
        <v>328</v>
      </c>
      <c r="G264" s="1748" t="s">
        <v>22</v>
      </c>
      <c r="H264" s="828" t="s">
        <v>22</v>
      </c>
      <c r="I264" s="1748" t="s">
        <v>22</v>
      </c>
      <c r="J264" s="828" t="s">
        <v>22</v>
      </c>
      <c r="K264" s="1748" t="s">
        <v>22</v>
      </c>
      <c r="L264" s="828" t="s">
        <v>22</v>
      </c>
      <c r="M264" s="1748" t="s">
        <v>22</v>
      </c>
      <c r="N264" s="828" t="s">
        <v>22</v>
      </c>
      <c r="O264" s="1748" t="s">
        <v>22</v>
      </c>
      <c r="P264" s="828" t="s">
        <v>22</v>
      </c>
      <c r="Q264" s="1535" t="s">
        <v>970</v>
      </c>
      <c r="R264" s="1645"/>
      <c r="S264" s="1645"/>
      <c r="T264" s="1645"/>
      <c r="U264" s="1645"/>
      <c r="V264" s="1645"/>
      <c r="W264" s="1645"/>
      <c r="X264" s="1645"/>
      <c r="Y264" s="1645"/>
      <c r="Z264" s="1645"/>
      <c r="AA264" s="685"/>
      <c r="AB264" s="1645">
        <v>0</v>
      </c>
    </row>
    <row s="1860" customFormat="1" customHeight="1" ht="22.5">
      <c r="A265" s="1645"/>
      <c r="B265" s="2407" t="s">
        <v>1066</v>
      </c>
      <c r="C265" s="2408" t="s">
        <v>105</v>
      </c>
      <c r="D265" s="699" t="str">
        <f>B265&amp;".1"</f>
        <v>3.77.1</v>
      </c>
      <c r="E265" s="1677" t="s">
        <v>966</v>
      </c>
      <c r="F265" s="2273" t="s">
        <v>328</v>
      </c>
      <c r="G265" s="2363" t="s">
        <v>22</v>
      </c>
      <c r="H265" s="828" t="s">
        <v>22</v>
      </c>
      <c r="I265" s="2363" t="s">
        <v>983</v>
      </c>
      <c r="J265" s="828" t="s">
        <v>22</v>
      </c>
      <c r="K265" s="2363" t="s">
        <v>22</v>
      </c>
      <c r="L265" s="828" t="s">
        <v>22</v>
      </c>
      <c r="M265" s="2363" t="s">
        <v>22</v>
      </c>
      <c r="N265" s="828" t="s">
        <v>22</v>
      </c>
      <c r="O265" s="2363"/>
      <c r="P265" s="828" t="s">
        <v>22</v>
      </c>
      <c r="Q265" s="1535"/>
      <c r="R265" s="1645"/>
      <c r="S265" s="1645"/>
      <c r="T265" s="1645"/>
      <c r="U265" s="1645"/>
      <c r="V265" s="1645"/>
      <c r="W265" s="1645"/>
      <c r="X265" s="1645"/>
      <c r="Y265" s="1645"/>
      <c r="Z265" s="1645"/>
      <c r="AA265" s="685"/>
      <c r="AB265" s="1645">
        <v>0</v>
      </c>
    </row>
    <row s="1860" customFormat="1" customHeight="1" ht="15">
      <c r="A266" s="1645"/>
      <c r="B266" s="2407"/>
      <c r="C266" s="2408"/>
      <c r="D266" s="699" t="str">
        <f>B265&amp;".2"</f>
        <v>3.77.2</v>
      </c>
      <c r="E266" s="1677" t="s">
        <v>967</v>
      </c>
      <c r="F266" s="2273" t="s">
        <v>328</v>
      </c>
      <c r="G266" s="1748" t="s">
        <v>22</v>
      </c>
      <c r="H266" s="828" t="s">
        <v>22</v>
      </c>
      <c r="I266" s="1748">
        <v>46147</v>
      </c>
      <c r="J266" s="828" t="s">
        <v>22</v>
      </c>
      <c r="K266" s="1748" t="s">
        <v>22</v>
      </c>
      <c r="L266" s="828" t="s">
        <v>22</v>
      </c>
      <c r="M266" s="1748" t="s">
        <v>22</v>
      </c>
      <c r="N266" s="828" t="s">
        <v>22</v>
      </c>
      <c r="O266" s="1748"/>
      <c r="P266" s="828" t="s">
        <v>22</v>
      </c>
      <c r="Q266" s="1535" t="s">
        <v>968</v>
      </c>
      <c r="R266" s="1645"/>
      <c r="S266" s="1645"/>
      <c r="T266" s="1645"/>
      <c r="U266" s="1645"/>
      <c r="V266" s="1645"/>
      <c r="W266" s="1645"/>
      <c r="X266" s="1645"/>
      <c r="Y266" s="1645"/>
      <c r="Z266" s="1645"/>
      <c r="AA266" s="685"/>
      <c r="AB266" s="1645">
        <v>0</v>
      </c>
    </row>
    <row s="1860" customFormat="1" customHeight="1" ht="15">
      <c r="A267" s="1645"/>
      <c r="B267" s="2407"/>
      <c r="C267" s="2408"/>
      <c r="D267" s="699" t="str">
        <f>B265&amp;".3"</f>
        <v>3.77.3</v>
      </c>
      <c r="E267" s="1677" t="s">
        <v>969</v>
      </c>
      <c r="F267" s="2273" t="s">
        <v>328</v>
      </c>
      <c r="G267" s="1748" t="s">
        <v>22</v>
      </c>
      <c r="H267" s="828" t="s">
        <v>22</v>
      </c>
      <c r="I267" s="1748" t="s">
        <v>22</v>
      </c>
      <c r="J267" s="828" t="s">
        <v>22</v>
      </c>
      <c r="K267" s="1748" t="s">
        <v>22</v>
      </c>
      <c r="L267" s="828" t="s">
        <v>22</v>
      </c>
      <c r="M267" s="1748" t="s">
        <v>22</v>
      </c>
      <c r="N267" s="828" t="s">
        <v>22</v>
      </c>
      <c r="O267" s="1748" t="s">
        <v>22</v>
      </c>
      <c r="P267" s="828" t="s">
        <v>22</v>
      </c>
      <c r="Q267" s="1535" t="s">
        <v>970</v>
      </c>
      <c r="R267" s="1645"/>
      <c r="S267" s="1645"/>
      <c r="T267" s="1645"/>
      <c r="U267" s="1645"/>
      <c r="V267" s="1645"/>
      <c r="W267" s="1645"/>
      <c r="X267" s="1645"/>
      <c r="Y267" s="1645"/>
      <c r="Z267" s="1645"/>
      <c r="AA267" s="685"/>
      <c r="AB267" s="1645">
        <v>0</v>
      </c>
    </row>
    <row s="1860" customFormat="1" customHeight="1" ht="22.5">
      <c r="A268" s="1645"/>
      <c r="B268" s="2407" t="s">
        <v>1067</v>
      </c>
      <c r="C268" s="2408" t="s">
        <v>105</v>
      </c>
      <c r="D268" s="699" t="str">
        <f>B268&amp;".1"</f>
        <v>3.78.1</v>
      </c>
      <c r="E268" s="1677" t="s">
        <v>966</v>
      </c>
      <c r="F268" s="2273" t="s">
        <v>328</v>
      </c>
      <c r="G268" s="2363" t="s">
        <v>22</v>
      </c>
      <c r="H268" s="828" t="s">
        <v>22</v>
      </c>
      <c r="I268" s="2363" t="s">
        <v>983</v>
      </c>
      <c r="J268" s="828" t="s">
        <v>22</v>
      </c>
      <c r="K268" s="2363" t="s">
        <v>22</v>
      </c>
      <c r="L268" s="828" t="s">
        <v>22</v>
      </c>
      <c r="M268" s="2363" t="s">
        <v>22</v>
      </c>
      <c r="N268" s="828" t="s">
        <v>22</v>
      </c>
      <c r="O268" s="2363"/>
      <c r="P268" s="828" t="s">
        <v>22</v>
      </c>
      <c r="Q268" s="1535"/>
      <c r="R268" s="1645"/>
      <c r="S268" s="1645"/>
      <c r="T268" s="1645"/>
      <c r="U268" s="1645"/>
      <c r="V268" s="1645"/>
      <c r="W268" s="1645"/>
      <c r="X268" s="1645"/>
      <c r="Y268" s="1645"/>
      <c r="Z268" s="1645"/>
      <c r="AA268" s="685"/>
      <c r="AB268" s="1645">
        <v>0</v>
      </c>
    </row>
    <row s="1860" customFormat="1" customHeight="1" ht="15">
      <c r="A269" s="1645"/>
      <c r="B269" s="2407"/>
      <c r="C269" s="2408"/>
      <c r="D269" s="699" t="str">
        <f>B268&amp;".2"</f>
        <v>3.78.2</v>
      </c>
      <c r="E269" s="1677" t="s">
        <v>967</v>
      </c>
      <c r="F269" s="2273" t="s">
        <v>328</v>
      </c>
      <c r="G269" s="1748" t="s">
        <v>22</v>
      </c>
      <c r="H269" s="828" t="s">
        <v>22</v>
      </c>
      <c r="I269" s="1748">
        <v>46147</v>
      </c>
      <c r="J269" s="828" t="s">
        <v>22</v>
      </c>
      <c r="K269" s="1748" t="s">
        <v>22</v>
      </c>
      <c r="L269" s="828" t="s">
        <v>22</v>
      </c>
      <c r="M269" s="1748" t="s">
        <v>22</v>
      </c>
      <c r="N269" s="828" t="s">
        <v>22</v>
      </c>
      <c r="O269" s="1748" t="s">
        <v>22</v>
      </c>
      <c r="P269" s="828" t="s">
        <v>22</v>
      </c>
      <c r="Q269" s="1535" t="s">
        <v>968</v>
      </c>
      <c r="R269" s="1645"/>
      <c r="S269" s="1645"/>
      <c r="T269" s="1645"/>
      <c r="U269" s="1645"/>
      <c r="V269" s="1645"/>
      <c r="W269" s="1645"/>
      <c r="X269" s="1645"/>
      <c r="Y269" s="1645"/>
      <c r="Z269" s="1645"/>
      <c r="AA269" s="685"/>
      <c r="AB269" s="1645">
        <v>0</v>
      </c>
    </row>
    <row s="1860" customFormat="1" customHeight="1" ht="15">
      <c r="A270" s="1645"/>
      <c r="B270" s="2407"/>
      <c r="C270" s="2408"/>
      <c r="D270" s="699" t="str">
        <f>B268&amp;".3"</f>
        <v>3.78.3</v>
      </c>
      <c r="E270" s="1677" t="s">
        <v>969</v>
      </c>
      <c r="F270" s="2273" t="s">
        <v>328</v>
      </c>
      <c r="G270" s="1748" t="s">
        <v>22</v>
      </c>
      <c r="H270" s="828" t="s">
        <v>22</v>
      </c>
      <c r="I270" s="1748" t="s">
        <v>22</v>
      </c>
      <c r="J270" s="828" t="s">
        <v>22</v>
      </c>
      <c r="K270" s="1748" t="s">
        <v>22</v>
      </c>
      <c r="L270" s="828" t="s">
        <v>22</v>
      </c>
      <c r="M270" s="1748" t="s">
        <v>22</v>
      </c>
      <c r="N270" s="828" t="s">
        <v>22</v>
      </c>
      <c r="O270" s="1748" t="s">
        <v>22</v>
      </c>
      <c r="P270" s="828" t="s">
        <v>22</v>
      </c>
      <c r="Q270" s="1535" t="s">
        <v>970</v>
      </c>
      <c r="R270" s="1645"/>
      <c r="S270" s="1645"/>
      <c r="T270" s="1645"/>
      <c r="U270" s="1645"/>
      <c r="V270" s="1645"/>
      <c r="W270" s="1645"/>
      <c r="X270" s="1645"/>
      <c r="Y270" s="1645"/>
      <c r="Z270" s="1645"/>
      <c r="AA270" s="685"/>
      <c r="AB270" s="1645">
        <v>0</v>
      </c>
    </row>
    <row s="1860" customFormat="1" customHeight="1" ht="22.5">
      <c r="A271" s="1645"/>
      <c r="B271" s="2407" t="s">
        <v>1068</v>
      </c>
      <c r="C271" s="2408" t="s">
        <v>105</v>
      </c>
      <c r="D271" s="699" t="str">
        <f>B271&amp;".1"</f>
        <v>3.79.1</v>
      </c>
      <c r="E271" s="1677" t="s">
        <v>966</v>
      </c>
      <c r="F271" s="2273" t="s">
        <v>328</v>
      </c>
      <c r="G271" s="2363" t="s">
        <v>22</v>
      </c>
      <c r="H271" s="828" t="s">
        <v>22</v>
      </c>
      <c r="I271" s="2363" t="s">
        <v>983</v>
      </c>
      <c r="J271" s="828" t="s">
        <v>22</v>
      </c>
      <c r="K271" s="2363" t="s">
        <v>22</v>
      </c>
      <c r="L271" s="828" t="s">
        <v>22</v>
      </c>
      <c r="M271" s="2363" t="s">
        <v>22</v>
      </c>
      <c r="N271" s="828" t="s">
        <v>22</v>
      </c>
      <c r="O271" s="2363"/>
      <c r="P271" s="828" t="s">
        <v>22</v>
      </c>
      <c r="Q271" s="1535"/>
      <c r="R271" s="1645"/>
      <c r="S271" s="1645"/>
      <c r="T271" s="1645"/>
      <c r="U271" s="1645"/>
      <c r="V271" s="1645"/>
      <c r="W271" s="1645"/>
      <c r="X271" s="1645"/>
      <c r="Y271" s="1645"/>
      <c r="Z271" s="1645"/>
      <c r="AA271" s="685"/>
      <c r="AB271" s="1645">
        <v>0</v>
      </c>
    </row>
    <row s="1860" customFormat="1" customHeight="1" ht="15">
      <c r="A272" s="1645"/>
      <c r="B272" s="2407"/>
      <c r="C272" s="2408"/>
      <c r="D272" s="699" t="str">
        <f>B271&amp;".2"</f>
        <v>3.79.2</v>
      </c>
      <c r="E272" s="1677" t="s">
        <v>967</v>
      </c>
      <c r="F272" s="2273" t="s">
        <v>328</v>
      </c>
      <c r="G272" s="1748" t="s">
        <v>22</v>
      </c>
      <c r="H272" s="828" t="s">
        <v>22</v>
      </c>
      <c r="I272" s="1748">
        <v>46147</v>
      </c>
      <c r="J272" s="828" t="s">
        <v>22</v>
      </c>
      <c r="K272" s="1748" t="s">
        <v>22</v>
      </c>
      <c r="L272" s="828" t="s">
        <v>22</v>
      </c>
      <c r="M272" s="1748" t="s">
        <v>22</v>
      </c>
      <c r="N272" s="828" t="s">
        <v>22</v>
      </c>
      <c r="O272" s="1748" t="s">
        <v>22</v>
      </c>
      <c r="P272" s="828" t="s">
        <v>22</v>
      </c>
      <c r="Q272" s="1535" t="s">
        <v>968</v>
      </c>
      <c r="R272" s="1645"/>
      <c r="S272" s="1645"/>
      <c r="T272" s="1645"/>
      <c r="U272" s="1645"/>
      <c r="V272" s="1645"/>
      <c r="W272" s="1645"/>
      <c r="X272" s="1645"/>
      <c r="Y272" s="1645"/>
      <c r="Z272" s="1645"/>
      <c r="AA272" s="685"/>
      <c r="AB272" s="1645">
        <v>0</v>
      </c>
    </row>
    <row s="1860" customFormat="1" customHeight="1" ht="15">
      <c r="A273" s="1645"/>
      <c r="B273" s="2407"/>
      <c r="C273" s="2408"/>
      <c r="D273" s="699" t="str">
        <f>B271&amp;".3"</f>
        <v>3.79.3</v>
      </c>
      <c r="E273" s="1677" t="s">
        <v>969</v>
      </c>
      <c r="F273" s="2273" t="s">
        <v>328</v>
      </c>
      <c r="G273" s="1748" t="s">
        <v>22</v>
      </c>
      <c r="H273" s="828" t="s">
        <v>22</v>
      </c>
      <c r="I273" s="1748" t="s">
        <v>22</v>
      </c>
      <c r="J273" s="828" t="s">
        <v>22</v>
      </c>
      <c r="K273" s="1748" t="s">
        <v>22</v>
      </c>
      <c r="L273" s="828" t="s">
        <v>22</v>
      </c>
      <c r="M273" s="1748" t="s">
        <v>22</v>
      </c>
      <c r="N273" s="828" t="s">
        <v>22</v>
      </c>
      <c r="O273" s="1748" t="s">
        <v>22</v>
      </c>
      <c r="P273" s="828" t="s">
        <v>22</v>
      </c>
      <c r="Q273" s="1535" t="s">
        <v>970</v>
      </c>
      <c r="R273" s="1645"/>
      <c r="S273" s="1645"/>
      <c r="T273" s="1645"/>
      <c r="U273" s="1645"/>
      <c r="V273" s="1645"/>
      <c r="W273" s="1645"/>
      <c r="X273" s="1645"/>
      <c r="Y273" s="1645"/>
      <c r="Z273" s="1645"/>
      <c r="AA273" s="685"/>
      <c r="AB273" s="1645">
        <v>0</v>
      </c>
    </row>
    <row s="1860" customFormat="1" customHeight="1" ht="22.5">
      <c r="A274" s="1645"/>
      <c r="B274" s="2407" t="s">
        <v>1069</v>
      </c>
      <c r="C274" s="2408" t="s">
        <v>105</v>
      </c>
      <c r="D274" s="699" t="str">
        <f>B274&amp;".1"</f>
        <v>3.80.1</v>
      </c>
      <c r="E274" s="1677" t="s">
        <v>966</v>
      </c>
      <c r="F274" s="2273" t="s">
        <v>328</v>
      </c>
      <c r="G274" s="2363" t="s">
        <v>22</v>
      </c>
      <c r="H274" s="828" t="s">
        <v>22</v>
      </c>
      <c r="I274" s="2363" t="s">
        <v>983</v>
      </c>
      <c r="J274" s="828" t="s">
        <v>22</v>
      </c>
      <c r="K274" s="2363" t="s">
        <v>22</v>
      </c>
      <c r="L274" s="828" t="s">
        <v>22</v>
      </c>
      <c r="M274" s="2363" t="s">
        <v>22</v>
      </c>
      <c r="N274" s="828" t="s">
        <v>22</v>
      </c>
      <c r="O274" s="2363" t="s">
        <v>22</v>
      </c>
      <c r="P274" s="828" t="s">
        <v>22</v>
      </c>
      <c r="Q274" s="1535"/>
      <c r="R274" s="1645"/>
      <c r="S274" s="1645"/>
      <c r="T274" s="1645"/>
      <c r="U274" s="1645"/>
      <c r="V274" s="1645"/>
      <c r="W274" s="1645"/>
      <c r="X274" s="1645"/>
      <c r="Y274" s="1645"/>
      <c r="Z274" s="1645"/>
      <c r="AA274" s="685"/>
      <c r="AB274" s="1645">
        <v>0</v>
      </c>
    </row>
    <row s="1860" customFormat="1" customHeight="1" ht="15">
      <c r="A275" s="1645"/>
      <c r="B275" s="2407"/>
      <c r="C275" s="2408"/>
      <c r="D275" s="699" t="str">
        <f>B274&amp;".2"</f>
        <v>3.80.2</v>
      </c>
      <c r="E275" s="1677" t="s">
        <v>967</v>
      </c>
      <c r="F275" s="2273" t="s">
        <v>328</v>
      </c>
      <c r="G275" s="1748" t="s">
        <v>22</v>
      </c>
      <c r="H275" s="828" t="s">
        <v>22</v>
      </c>
      <c r="I275" s="1748">
        <v>46147</v>
      </c>
      <c r="J275" s="828" t="s">
        <v>22</v>
      </c>
      <c r="K275" s="1748" t="s">
        <v>22</v>
      </c>
      <c r="L275" s="828" t="s">
        <v>22</v>
      </c>
      <c r="M275" s="1748" t="s">
        <v>22</v>
      </c>
      <c r="N275" s="828" t="s">
        <v>22</v>
      </c>
      <c r="O275" s="1748" t="s">
        <v>22</v>
      </c>
      <c r="P275" s="828" t="s">
        <v>22</v>
      </c>
      <c r="Q275" s="1535" t="s">
        <v>968</v>
      </c>
      <c r="R275" s="1645"/>
      <c r="S275" s="1645"/>
      <c r="T275" s="1645"/>
      <c r="U275" s="1645"/>
      <c r="V275" s="1645"/>
      <c r="W275" s="1645"/>
      <c r="X275" s="1645"/>
      <c r="Y275" s="1645"/>
      <c r="Z275" s="1645"/>
      <c r="AA275" s="685"/>
      <c r="AB275" s="1645">
        <v>0</v>
      </c>
    </row>
    <row s="1860" customFormat="1" customHeight="1" ht="15">
      <c r="A276" s="1645"/>
      <c r="B276" s="2407"/>
      <c r="C276" s="2408"/>
      <c r="D276" s="699" t="str">
        <f>B274&amp;".3"</f>
        <v>3.80.3</v>
      </c>
      <c r="E276" s="1677" t="s">
        <v>969</v>
      </c>
      <c r="F276" s="2273" t="s">
        <v>328</v>
      </c>
      <c r="G276" s="1748" t="s">
        <v>22</v>
      </c>
      <c r="H276" s="828" t="s">
        <v>22</v>
      </c>
      <c r="I276" s="1748" t="s">
        <v>22</v>
      </c>
      <c r="J276" s="828" t="s">
        <v>22</v>
      </c>
      <c r="K276" s="1748" t="s">
        <v>22</v>
      </c>
      <c r="L276" s="828" t="s">
        <v>22</v>
      </c>
      <c r="M276" s="1748" t="s">
        <v>22</v>
      </c>
      <c r="N276" s="828" t="s">
        <v>22</v>
      </c>
      <c r="O276" s="1748" t="s">
        <v>22</v>
      </c>
      <c r="P276" s="828" t="s">
        <v>22</v>
      </c>
      <c r="Q276" s="1535" t="s">
        <v>970</v>
      </c>
      <c r="R276" s="1645"/>
      <c r="S276" s="1645"/>
      <c r="T276" s="1645"/>
      <c r="U276" s="1645"/>
      <c r="V276" s="1645"/>
      <c r="W276" s="1645"/>
      <c r="X276" s="1645"/>
      <c r="Y276" s="1645"/>
      <c r="Z276" s="1645"/>
      <c r="AA276" s="685"/>
      <c r="AB276" s="1645">
        <v>0</v>
      </c>
    </row>
    <row s="1860" customFormat="1" customHeight="1" ht="22.5">
      <c r="A277" s="1645"/>
      <c r="B277" s="2407" t="s">
        <v>1070</v>
      </c>
      <c r="C277" s="2408" t="s">
        <v>105</v>
      </c>
      <c r="D277" s="699" t="str">
        <f>B277&amp;".1"</f>
        <v>3.81.1</v>
      </c>
      <c r="E277" s="1677" t="s">
        <v>966</v>
      </c>
      <c r="F277" s="2273" t="s">
        <v>328</v>
      </c>
      <c r="G277" s="2363" t="s">
        <v>22</v>
      </c>
      <c r="H277" s="828" t="s">
        <v>22</v>
      </c>
      <c r="I277" s="2363" t="s">
        <v>983</v>
      </c>
      <c r="J277" s="828" t="s">
        <v>22</v>
      </c>
      <c r="K277" s="2363" t="s">
        <v>22</v>
      </c>
      <c r="L277" s="828" t="s">
        <v>22</v>
      </c>
      <c r="M277" s="2363" t="s">
        <v>22</v>
      </c>
      <c r="N277" s="828" t="s">
        <v>22</v>
      </c>
      <c r="O277" s="2363" t="s">
        <v>22</v>
      </c>
      <c r="P277" s="828" t="s">
        <v>22</v>
      </c>
      <c r="Q277" s="1535"/>
      <c r="R277" s="1645"/>
      <c r="S277" s="1645"/>
      <c r="T277" s="1645"/>
      <c r="U277" s="1645"/>
      <c r="V277" s="1645"/>
      <c r="W277" s="1645"/>
      <c r="X277" s="1645"/>
      <c r="Y277" s="1645"/>
      <c r="Z277" s="1645"/>
      <c r="AA277" s="685"/>
      <c r="AB277" s="1645">
        <v>0</v>
      </c>
    </row>
    <row s="1860" customFormat="1" customHeight="1" ht="15">
      <c r="A278" s="1645"/>
      <c r="B278" s="2407"/>
      <c r="C278" s="2408"/>
      <c r="D278" s="699" t="str">
        <f>B277&amp;".2"</f>
        <v>3.81.2</v>
      </c>
      <c r="E278" s="1677" t="s">
        <v>967</v>
      </c>
      <c r="F278" s="2273" t="s">
        <v>328</v>
      </c>
      <c r="G278" s="1748" t="s">
        <v>22</v>
      </c>
      <c r="H278" s="828" t="s">
        <v>22</v>
      </c>
      <c r="I278" s="1748">
        <v>46147</v>
      </c>
      <c r="J278" s="828" t="s">
        <v>22</v>
      </c>
      <c r="K278" s="1748" t="s">
        <v>22</v>
      </c>
      <c r="L278" s="828" t="s">
        <v>22</v>
      </c>
      <c r="M278" s="1748" t="s">
        <v>22</v>
      </c>
      <c r="N278" s="828" t="s">
        <v>22</v>
      </c>
      <c r="O278" s="1748" t="s">
        <v>22</v>
      </c>
      <c r="P278" s="828" t="s">
        <v>22</v>
      </c>
      <c r="Q278" s="1535" t="s">
        <v>968</v>
      </c>
      <c r="R278" s="1645"/>
      <c r="S278" s="1645"/>
      <c r="T278" s="1645"/>
      <c r="U278" s="1645"/>
      <c r="V278" s="1645"/>
      <c r="W278" s="1645"/>
      <c r="X278" s="1645"/>
      <c r="Y278" s="1645"/>
      <c r="Z278" s="1645"/>
      <c r="AA278" s="685"/>
      <c r="AB278" s="1645">
        <v>0</v>
      </c>
    </row>
    <row s="1860" customFormat="1" customHeight="1" ht="15">
      <c r="A279" s="1645"/>
      <c r="B279" s="2407"/>
      <c r="C279" s="2408"/>
      <c r="D279" s="699" t="str">
        <f>B277&amp;".3"</f>
        <v>3.81.3</v>
      </c>
      <c r="E279" s="1677" t="s">
        <v>969</v>
      </c>
      <c r="F279" s="2273" t="s">
        <v>328</v>
      </c>
      <c r="G279" s="1748" t="s">
        <v>22</v>
      </c>
      <c r="H279" s="828" t="s">
        <v>22</v>
      </c>
      <c r="I279" s="1748" t="s">
        <v>22</v>
      </c>
      <c r="J279" s="828" t="s">
        <v>22</v>
      </c>
      <c r="K279" s="1748" t="s">
        <v>22</v>
      </c>
      <c r="L279" s="828" t="s">
        <v>22</v>
      </c>
      <c r="M279" s="1748" t="s">
        <v>22</v>
      </c>
      <c r="N279" s="828" t="s">
        <v>22</v>
      </c>
      <c r="O279" s="1748" t="s">
        <v>22</v>
      </c>
      <c r="P279" s="828" t="s">
        <v>22</v>
      </c>
      <c r="Q279" s="1535" t="s">
        <v>970</v>
      </c>
      <c r="R279" s="1645"/>
      <c r="S279" s="1645"/>
      <c r="T279" s="1645"/>
      <c r="U279" s="1645"/>
      <c r="V279" s="1645"/>
      <c r="W279" s="1645"/>
      <c r="X279" s="1645"/>
      <c r="Y279" s="1645"/>
      <c r="Z279" s="1645"/>
      <c r="AA279" s="685"/>
      <c r="AB279" s="1645">
        <v>0</v>
      </c>
    </row>
    <row s="1860" customFormat="1" customHeight="1" ht="22.5">
      <c r="A280" s="1645"/>
      <c r="B280" s="2407" t="s">
        <v>1071</v>
      </c>
      <c r="C280" s="2408" t="s">
        <v>105</v>
      </c>
      <c r="D280" s="699" t="str">
        <f>B280&amp;".1"</f>
        <v>3.82.1</v>
      </c>
      <c r="E280" s="1677" t="s">
        <v>966</v>
      </c>
      <c r="F280" s="2273" t="s">
        <v>328</v>
      </c>
      <c r="G280" s="2363" t="s">
        <v>22</v>
      </c>
      <c r="H280" s="828" t="s">
        <v>22</v>
      </c>
      <c r="I280" s="2363" t="s">
        <v>983</v>
      </c>
      <c r="J280" s="828" t="s">
        <v>22</v>
      </c>
      <c r="K280" s="2363" t="s">
        <v>22</v>
      </c>
      <c r="L280" s="828" t="s">
        <v>22</v>
      </c>
      <c r="M280" s="2363" t="s">
        <v>22</v>
      </c>
      <c r="N280" s="828" t="s">
        <v>22</v>
      </c>
      <c r="O280" s="2363" t="s">
        <v>22</v>
      </c>
      <c r="P280" s="828" t="s">
        <v>22</v>
      </c>
      <c r="Q280" s="1535"/>
      <c r="R280" s="1645"/>
      <c r="S280" s="1645"/>
      <c r="T280" s="1645"/>
      <c r="U280" s="1645"/>
      <c r="V280" s="1645"/>
      <c r="W280" s="1645"/>
      <c r="X280" s="1645"/>
      <c r="Y280" s="1645"/>
      <c r="Z280" s="1645"/>
      <c r="AA280" s="685"/>
      <c r="AB280" s="1645">
        <v>0</v>
      </c>
    </row>
    <row s="1860" customFormat="1" customHeight="1" ht="15">
      <c r="A281" s="1645"/>
      <c r="B281" s="2407"/>
      <c r="C281" s="2408"/>
      <c r="D281" s="699" t="str">
        <f>B280&amp;".2"</f>
        <v>3.82.2</v>
      </c>
      <c r="E281" s="1677" t="s">
        <v>967</v>
      </c>
      <c r="F281" s="2273" t="s">
        <v>328</v>
      </c>
      <c r="G281" s="1748" t="s">
        <v>22</v>
      </c>
      <c r="H281" s="828" t="s">
        <v>22</v>
      </c>
      <c r="I281" s="1748">
        <v>46147</v>
      </c>
      <c r="J281" s="828" t="s">
        <v>22</v>
      </c>
      <c r="K281" s="1748" t="s">
        <v>22</v>
      </c>
      <c r="L281" s="828" t="s">
        <v>22</v>
      </c>
      <c r="M281" s="1748" t="s">
        <v>22</v>
      </c>
      <c r="N281" s="828" t="s">
        <v>22</v>
      </c>
      <c r="O281" s="1748" t="s">
        <v>22</v>
      </c>
      <c r="P281" s="828" t="s">
        <v>22</v>
      </c>
      <c r="Q281" s="1535" t="s">
        <v>968</v>
      </c>
      <c r="R281" s="1645"/>
      <c r="S281" s="1645"/>
      <c r="T281" s="1645"/>
      <c r="U281" s="1645"/>
      <c r="V281" s="1645"/>
      <c r="W281" s="1645"/>
      <c r="X281" s="1645"/>
      <c r="Y281" s="1645"/>
      <c r="Z281" s="1645"/>
      <c r="AA281" s="685"/>
      <c r="AB281" s="1645">
        <v>0</v>
      </c>
    </row>
    <row s="1860" customFormat="1" customHeight="1" ht="15">
      <c r="A282" s="1645"/>
      <c r="B282" s="2407"/>
      <c r="C282" s="2408"/>
      <c r="D282" s="699" t="str">
        <f>B280&amp;".3"</f>
        <v>3.82.3</v>
      </c>
      <c r="E282" s="1677" t="s">
        <v>969</v>
      </c>
      <c r="F282" s="2273" t="s">
        <v>328</v>
      </c>
      <c r="G282" s="1748" t="s">
        <v>22</v>
      </c>
      <c r="H282" s="828" t="s">
        <v>22</v>
      </c>
      <c r="I282" s="1748" t="s">
        <v>22</v>
      </c>
      <c r="J282" s="828" t="s">
        <v>22</v>
      </c>
      <c r="K282" s="1748" t="s">
        <v>22</v>
      </c>
      <c r="L282" s="828" t="s">
        <v>22</v>
      </c>
      <c r="M282" s="1748" t="s">
        <v>22</v>
      </c>
      <c r="N282" s="828" t="s">
        <v>22</v>
      </c>
      <c r="O282" s="1748" t="s">
        <v>22</v>
      </c>
      <c r="P282" s="828" t="s">
        <v>22</v>
      </c>
      <c r="Q282" s="1535" t="s">
        <v>970</v>
      </c>
      <c r="R282" s="1645"/>
      <c r="S282" s="1645"/>
      <c r="T282" s="1645"/>
      <c r="U282" s="1645"/>
      <c r="V282" s="1645"/>
      <c r="W282" s="1645"/>
      <c r="X282" s="1645"/>
      <c r="Y282" s="1645"/>
      <c r="Z282" s="1645"/>
      <c r="AA282" s="685"/>
      <c r="AB282" s="1645">
        <v>0</v>
      </c>
    </row>
    <row s="1860" customFormat="1" customHeight="1" ht="22.5">
      <c r="A283" s="1645"/>
      <c r="B283" s="2407" t="s">
        <v>1072</v>
      </c>
      <c r="C283" s="2408" t="s">
        <v>105</v>
      </c>
      <c r="D283" s="699" t="str">
        <f>B283&amp;".1"</f>
        <v>3.83.1</v>
      </c>
      <c r="E283" s="1677" t="s">
        <v>966</v>
      </c>
      <c r="F283" s="2273" t="s">
        <v>328</v>
      </c>
      <c r="G283" s="2363" t="s">
        <v>22</v>
      </c>
      <c r="H283" s="828" t="s">
        <v>22</v>
      </c>
      <c r="I283" s="2363" t="s">
        <v>983</v>
      </c>
      <c r="J283" s="828" t="s">
        <v>22</v>
      </c>
      <c r="K283" s="2363" t="s">
        <v>22</v>
      </c>
      <c r="L283" s="828" t="s">
        <v>22</v>
      </c>
      <c r="M283" s="2363" t="s">
        <v>22</v>
      </c>
      <c r="N283" s="828" t="s">
        <v>22</v>
      </c>
      <c r="O283" s="2363" t="s">
        <v>22</v>
      </c>
      <c r="P283" s="828" t="s">
        <v>22</v>
      </c>
      <c r="Q283" s="1535"/>
      <c r="R283" s="1645"/>
      <c r="S283" s="1645"/>
      <c r="T283" s="1645"/>
      <c r="U283" s="1645"/>
      <c r="V283" s="1645"/>
      <c r="W283" s="1645"/>
      <c r="X283" s="1645"/>
      <c r="Y283" s="1645"/>
      <c r="Z283" s="1645"/>
      <c r="AA283" s="685"/>
      <c r="AB283" s="1645">
        <v>0</v>
      </c>
    </row>
    <row s="1860" customFormat="1" customHeight="1" ht="15">
      <c r="A284" s="1645"/>
      <c r="B284" s="2407"/>
      <c r="C284" s="2408"/>
      <c r="D284" s="699" t="str">
        <f>B283&amp;".2"</f>
        <v>3.83.2</v>
      </c>
      <c r="E284" s="1677" t="s">
        <v>967</v>
      </c>
      <c r="F284" s="2273" t="s">
        <v>328</v>
      </c>
      <c r="G284" s="1748" t="s">
        <v>22</v>
      </c>
      <c r="H284" s="828" t="s">
        <v>22</v>
      </c>
      <c r="I284" s="1748">
        <v>46148</v>
      </c>
      <c r="J284" s="828" t="s">
        <v>22</v>
      </c>
      <c r="K284" s="1748" t="s">
        <v>22</v>
      </c>
      <c r="L284" s="828" t="s">
        <v>22</v>
      </c>
      <c r="M284" s="1748" t="s">
        <v>22</v>
      </c>
      <c r="N284" s="828" t="s">
        <v>22</v>
      </c>
      <c r="O284" s="1748" t="s">
        <v>22</v>
      </c>
      <c r="P284" s="828" t="s">
        <v>22</v>
      </c>
      <c r="Q284" s="1535" t="s">
        <v>968</v>
      </c>
      <c r="R284" s="1645"/>
      <c r="S284" s="1645"/>
      <c r="T284" s="1645"/>
      <c r="U284" s="1645"/>
      <c r="V284" s="1645"/>
      <c r="W284" s="1645"/>
      <c r="X284" s="1645"/>
      <c r="Y284" s="1645"/>
      <c r="Z284" s="1645"/>
      <c r="AA284" s="685"/>
      <c r="AB284" s="1645">
        <v>0</v>
      </c>
    </row>
    <row s="1860" customFormat="1" customHeight="1" ht="15">
      <c r="A285" s="1645"/>
      <c r="B285" s="2407"/>
      <c r="C285" s="2408"/>
      <c r="D285" s="699" t="str">
        <f>B283&amp;".3"</f>
        <v>3.83.3</v>
      </c>
      <c r="E285" s="1677" t="s">
        <v>969</v>
      </c>
      <c r="F285" s="2273" t="s">
        <v>328</v>
      </c>
      <c r="G285" s="1748" t="s">
        <v>22</v>
      </c>
      <c r="H285" s="828" t="s">
        <v>22</v>
      </c>
      <c r="I285" s="1748" t="s">
        <v>22</v>
      </c>
      <c r="J285" s="828" t="s">
        <v>22</v>
      </c>
      <c r="K285" s="1748" t="s">
        <v>22</v>
      </c>
      <c r="L285" s="828" t="s">
        <v>22</v>
      </c>
      <c r="M285" s="1748" t="s">
        <v>22</v>
      </c>
      <c r="N285" s="828" t="s">
        <v>22</v>
      </c>
      <c r="O285" s="1748" t="s">
        <v>22</v>
      </c>
      <c r="P285" s="828" t="s">
        <v>22</v>
      </c>
      <c r="Q285" s="1535" t="s">
        <v>970</v>
      </c>
      <c r="R285" s="1645"/>
      <c r="S285" s="1645"/>
      <c r="T285" s="1645"/>
      <c r="U285" s="1645"/>
      <c r="V285" s="1645"/>
      <c r="W285" s="1645"/>
      <c r="X285" s="1645"/>
      <c r="Y285" s="1645"/>
      <c r="Z285" s="1645"/>
      <c r="AA285" s="685"/>
      <c r="AB285" s="1645">
        <v>0</v>
      </c>
    </row>
    <row s="1860" customFormat="1" customHeight="1" ht="22.5">
      <c r="A286" s="1645"/>
      <c r="B286" s="2407" t="s">
        <v>1073</v>
      </c>
      <c r="C286" s="2408" t="s">
        <v>105</v>
      </c>
      <c r="D286" s="699" t="str">
        <f>B286&amp;".1"</f>
        <v>3.84.1</v>
      </c>
      <c r="E286" s="1677" t="s">
        <v>966</v>
      </c>
      <c r="F286" s="2273" t="s">
        <v>328</v>
      </c>
      <c r="G286" s="2363" t="s">
        <v>22</v>
      </c>
      <c r="H286" s="828" t="s">
        <v>22</v>
      </c>
      <c r="I286" s="2363" t="s">
        <v>983</v>
      </c>
      <c r="J286" s="828" t="s">
        <v>22</v>
      </c>
      <c r="K286" s="2363" t="s">
        <v>22</v>
      </c>
      <c r="L286" s="828" t="s">
        <v>22</v>
      </c>
      <c r="M286" s="2363" t="s">
        <v>22</v>
      </c>
      <c r="N286" s="828" t="s">
        <v>22</v>
      </c>
      <c r="O286" s="2363" t="s">
        <v>22</v>
      </c>
      <c r="P286" s="828" t="s">
        <v>22</v>
      </c>
      <c r="Q286" s="1535"/>
      <c r="R286" s="1645"/>
      <c r="S286" s="1645"/>
      <c r="T286" s="1645"/>
      <c r="U286" s="1645"/>
      <c r="V286" s="1645"/>
      <c r="W286" s="1645"/>
      <c r="X286" s="1645"/>
      <c r="Y286" s="1645"/>
      <c r="Z286" s="1645"/>
      <c r="AA286" s="685"/>
      <c r="AB286" s="1645">
        <v>0</v>
      </c>
    </row>
    <row s="1860" customFormat="1" customHeight="1" ht="15">
      <c r="A287" s="1645"/>
      <c r="B287" s="2407"/>
      <c r="C287" s="2408"/>
      <c r="D287" s="699" t="str">
        <f>B286&amp;".2"</f>
        <v>3.84.2</v>
      </c>
      <c r="E287" s="1677" t="s">
        <v>967</v>
      </c>
      <c r="F287" s="2273" t="s">
        <v>328</v>
      </c>
      <c r="G287" s="1748" t="s">
        <v>22</v>
      </c>
      <c r="H287" s="828" t="s">
        <v>22</v>
      </c>
      <c r="I287" s="1748">
        <v>46148</v>
      </c>
      <c r="J287" s="828" t="s">
        <v>22</v>
      </c>
      <c r="K287" s="1748" t="s">
        <v>22</v>
      </c>
      <c r="L287" s="828" t="s">
        <v>22</v>
      </c>
      <c r="M287" s="1748" t="s">
        <v>22</v>
      </c>
      <c r="N287" s="828" t="s">
        <v>22</v>
      </c>
      <c r="O287" s="1748" t="s">
        <v>22</v>
      </c>
      <c r="P287" s="828" t="s">
        <v>22</v>
      </c>
      <c r="Q287" s="1535" t="s">
        <v>968</v>
      </c>
      <c r="R287" s="1645"/>
      <c r="S287" s="1645"/>
      <c r="T287" s="1645"/>
      <c r="U287" s="1645"/>
      <c r="V287" s="1645"/>
      <c r="W287" s="1645"/>
      <c r="X287" s="1645"/>
      <c r="Y287" s="1645"/>
      <c r="Z287" s="1645"/>
      <c r="AA287" s="685"/>
      <c r="AB287" s="1645">
        <v>0</v>
      </c>
    </row>
    <row s="1860" customFormat="1" customHeight="1" ht="15">
      <c r="A288" s="1645"/>
      <c r="B288" s="2407"/>
      <c r="C288" s="2408"/>
      <c r="D288" s="699" t="str">
        <f>B286&amp;".3"</f>
        <v>3.84.3</v>
      </c>
      <c r="E288" s="1677" t="s">
        <v>969</v>
      </c>
      <c r="F288" s="2273" t="s">
        <v>328</v>
      </c>
      <c r="G288" s="1748" t="s">
        <v>22</v>
      </c>
      <c r="H288" s="828" t="s">
        <v>22</v>
      </c>
      <c r="I288" s="1748" t="s">
        <v>22</v>
      </c>
      <c r="J288" s="828" t="s">
        <v>22</v>
      </c>
      <c r="K288" s="1748" t="s">
        <v>22</v>
      </c>
      <c r="L288" s="828" t="s">
        <v>22</v>
      </c>
      <c r="M288" s="1748" t="s">
        <v>22</v>
      </c>
      <c r="N288" s="828" t="s">
        <v>22</v>
      </c>
      <c r="O288" s="1748" t="s">
        <v>22</v>
      </c>
      <c r="P288" s="828" t="s">
        <v>22</v>
      </c>
      <c r="Q288" s="1535" t="s">
        <v>970</v>
      </c>
      <c r="R288" s="1645"/>
      <c r="S288" s="1645"/>
      <c r="T288" s="1645"/>
      <c r="U288" s="1645"/>
      <c r="V288" s="1645"/>
      <c r="W288" s="1645"/>
      <c r="X288" s="1645"/>
      <c r="Y288" s="1645"/>
      <c r="Z288" s="1645"/>
      <c r="AA288" s="685"/>
      <c r="AB288" s="1645">
        <v>0</v>
      </c>
    </row>
    <row s="1860" customFormat="1" customHeight="1" ht="22.5">
      <c r="A289" s="1645"/>
      <c r="B289" s="2407" t="s">
        <v>1074</v>
      </c>
      <c r="C289" s="2408" t="s">
        <v>105</v>
      </c>
      <c r="D289" s="699" t="str">
        <f>B289&amp;".1"</f>
        <v>3.85.1</v>
      </c>
      <c r="E289" s="1677" t="s">
        <v>966</v>
      </c>
      <c r="F289" s="2273" t="s">
        <v>328</v>
      </c>
      <c r="G289" s="2363" t="s">
        <v>22</v>
      </c>
      <c r="H289" s="828" t="s">
        <v>22</v>
      </c>
      <c r="I289" s="2363" t="s">
        <v>983</v>
      </c>
      <c r="J289" s="828" t="s">
        <v>22</v>
      </c>
      <c r="K289" s="2363" t="s">
        <v>22</v>
      </c>
      <c r="L289" s="828" t="s">
        <v>22</v>
      </c>
      <c r="M289" s="2363" t="s">
        <v>22</v>
      </c>
      <c r="N289" s="828" t="s">
        <v>22</v>
      </c>
      <c r="O289" s="2363" t="s">
        <v>22</v>
      </c>
      <c r="P289" s="828" t="s">
        <v>22</v>
      </c>
      <c r="Q289" s="1535"/>
      <c r="R289" s="1645"/>
      <c r="S289" s="1645"/>
      <c r="T289" s="1645"/>
      <c r="U289" s="1645"/>
      <c r="V289" s="1645"/>
      <c r="W289" s="1645"/>
      <c r="X289" s="1645"/>
      <c r="Y289" s="1645"/>
      <c r="Z289" s="1645"/>
      <c r="AA289" s="685"/>
      <c r="AB289" s="1645">
        <v>0</v>
      </c>
    </row>
    <row s="1860" customFormat="1" customHeight="1" ht="15">
      <c r="A290" s="1645"/>
      <c r="B290" s="2407"/>
      <c r="C290" s="2408"/>
      <c r="D290" s="699" t="str">
        <f>B289&amp;".2"</f>
        <v>3.85.2</v>
      </c>
      <c r="E290" s="1677" t="s">
        <v>967</v>
      </c>
      <c r="F290" s="2273" t="s">
        <v>328</v>
      </c>
      <c r="G290" s="1748" t="s">
        <v>22</v>
      </c>
      <c r="H290" s="828" t="s">
        <v>22</v>
      </c>
      <c r="I290" s="1748">
        <v>46148</v>
      </c>
      <c r="J290" s="828" t="s">
        <v>22</v>
      </c>
      <c r="K290" s="1748" t="s">
        <v>22</v>
      </c>
      <c r="L290" s="828" t="s">
        <v>22</v>
      </c>
      <c r="M290" s="1748" t="s">
        <v>22</v>
      </c>
      <c r="N290" s="828" t="s">
        <v>22</v>
      </c>
      <c r="O290" s="1748" t="s">
        <v>22</v>
      </c>
      <c r="P290" s="828" t="s">
        <v>22</v>
      </c>
      <c r="Q290" s="1535" t="s">
        <v>968</v>
      </c>
      <c r="R290" s="1645"/>
      <c r="S290" s="1645"/>
      <c r="T290" s="1645"/>
      <c r="U290" s="1645"/>
      <c r="V290" s="1645"/>
      <c r="W290" s="1645"/>
      <c r="X290" s="1645"/>
      <c r="Y290" s="1645"/>
      <c r="Z290" s="1645"/>
      <c r="AA290" s="685"/>
      <c r="AB290" s="1645">
        <v>0</v>
      </c>
    </row>
    <row s="1860" customFormat="1" customHeight="1" ht="15">
      <c r="A291" s="1645"/>
      <c r="B291" s="2407"/>
      <c r="C291" s="2408"/>
      <c r="D291" s="699" t="str">
        <f>B289&amp;".3"</f>
        <v>3.85.3</v>
      </c>
      <c r="E291" s="1677" t="s">
        <v>969</v>
      </c>
      <c r="F291" s="2273" t="s">
        <v>328</v>
      </c>
      <c r="G291" s="1748" t="s">
        <v>22</v>
      </c>
      <c r="H291" s="828" t="s">
        <v>22</v>
      </c>
      <c r="I291" s="1748" t="s">
        <v>22</v>
      </c>
      <c r="J291" s="828" t="s">
        <v>22</v>
      </c>
      <c r="K291" s="1748" t="s">
        <v>22</v>
      </c>
      <c r="L291" s="828" t="s">
        <v>22</v>
      </c>
      <c r="M291" s="1748" t="s">
        <v>22</v>
      </c>
      <c r="N291" s="828" t="s">
        <v>22</v>
      </c>
      <c r="O291" s="1748" t="s">
        <v>22</v>
      </c>
      <c r="P291" s="828" t="s">
        <v>22</v>
      </c>
      <c r="Q291" s="1535" t="s">
        <v>970</v>
      </c>
      <c r="R291" s="1645"/>
      <c r="S291" s="1645"/>
      <c r="T291" s="1645"/>
      <c r="U291" s="1645"/>
      <c r="V291" s="1645"/>
      <c r="W291" s="1645"/>
      <c r="X291" s="1645"/>
      <c r="Y291" s="1645"/>
      <c r="Z291" s="1645"/>
      <c r="AA291" s="685"/>
      <c r="AB291" s="1645">
        <v>0</v>
      </c>
    </row>
    <row s="1860" customFormat="1" customHeight="1" ht="22.5">
      <c r="A292" s="1645"/>
      <c r="B292" s="2407" t="s">
        <v>1075</v>
      </c>
      <c r="C292" s="2408" t="s">
        <v>105</v>
      </c>
      <c r="D292" s="699" t="str">
        <f>B292&amp;".1"</f>
        <v>3.86.1</v>
      </c>
      <c r="E292" s="1677" t="s">
        <v>966</v>
      </c>
      <c r="F292" s="2273" t="s">
        <v>328</v>
      </c>
      <c r="G292" s="2363" t="s">
        <v>22</v>
      </c>
      <c r="H292" s="828" t="s">
        <v>22</v>
      </c>
      <c r="I292" s="2363" t="s">
        <v>983</v>
      </c>
      <c r="J292" s="828" t="s">
        <v>22</v>
      </c>
      <c r="K292" s="2363" t="s">
        <v>22</v>
      </c>
      <c r="L292" s="828" t="s">
        <v>22</v>
      </c>
      <c r="M292" s="2363" t="s">
        <v>22</v>
      </c>
      <c r="N292" s="828" t="s">
        <v>22</v>
      </c>
      <c r="O292" s="2363" t="s">
        <v>22</v>
      </c>
      <c r="P292" s="828" t="s">
        <v>22</v>
      </c>
      <c r="Q292" s="1535"/>
      <c r="R292" s="1645"/>
      <c r="S292" s="1645"/>
      <c r="T292" s="1645"/>
      <c r="U292" s="1645"/>
      <c r="V292" s="1645"/>
      <c r="W292" s="1645"/>
      <c r="X292" s="1645"/>
      <c r="Y292" s="1645"/>
      <c r="Z292" s="1645"/>
      <c r="AA292" s="685"/>
      <c r="AB292" s="1645">
        <v>0</v>
      </c>
    </row>
    <row s="1860" customFormat="1" customHeight="1" ht="15">
      <c r="A293" s="1645"/>
      <c r="B293" s="2407"/>
      <c r="C293" s="2408"/>
      <c r="D293" s="699" t="str">
        <f>B292&amp;".2"</f>
        <v>3.86.2</v>
      </c>
      <c r="E293" s="1677" t="s">
        <v>967</v>
      </c>
      <c r="F293" s="2273" t="s">
        <v>328</v>
      </c>
      <c r="G293" s="1748" t="s">
        <v>22</v>
      </c>
      <c r="H293" s="828" t="s">
        <v>22</v>
      </c>
      <c r="I293" s="1748">
        <v>46148</v>
      </c>
      <c r="J293" s="828" t="s">
        <v>22</v>
      </c>
      <c r="K293" s="1748" t="s">
        <v>22</v>
      </c>
      <c r="L293" s="828" t="s">
        <v>22</v>
      </c>
      <c r="M293" s="1748" t="s">
        <v>22</v>
      </c>
      <c r="N293" s="828" t="s">
        <v>22</v>
      </c>
      <c r="O293" s="1748" t="s">
        <v>22</v>
      </c>
      <c r="P293" s="828" t="s">
        <v>22</v>
      </c>
      <c r="Q293" s="1535" t="s">
        <v>968</v>
      </c>
      <c r="R293" s="1645"/>
      <c r="S293" s="1645"/>
      <c r="T293" s="1645"/>
      <c r="U293" s="1645"/>
      <c r="V293" s="1645"/>
      <c r="W293" s="1645"/>
      <c r="X293" s="1645"/>
      <c r="Y293" s="1645"/>
      <c r="Z293" s="1645"/>
      <c r="AA293" s="685"/>
      <c r="AB293" s="1645">
        <v>0</v>
      </c>
    </row>
    <row s="1860" customFormat="1" customHeight="1" ht="15">
      <c r="A294" s="1645"/>
      <c r="B294" s="2407"/>
      <c r="C294" s="2408"/>
      <c r="D294" s="699" t="str">
        <f>B292&amp;".3"</f>
        <v>3.86.3</v>
      </c>
      <c r="E294" s="1677" t="s">
        <v>969</v>
      </c>
      <c r="F294" s="2273" t="s">
        <v>328</v>
      </c>
      <c r="G294" s="1748" t="s">
        <v>22</v>
      </c>
      <c r="H294" s="828" t="s">
        <v>22</v>
      </c>
      <c r="I294" s="1748" t="s">
        <v>22</v>
      </c>
      <c r="J294" s="828" t="s">
        <v>22</v>
      </c>
      <c r="K294" s="1748" t="s">
        <v>22</v>
      </c>
      <c r="L294" s="828" t="s">
        <v>22</v>
      </c>
      <c r="M294" s="1748" t="s">
        <v>22</v>
      </c>
      <c r="N294" s="828" t="s">
        <v>22</v>
      </c>
      <c r="O294" s="1748" t="s">
        <v>22</v>
      </c>
      <c r="P294" s="828" t="s">
        <v>22</v>
      </c>
      <c r="Q294" s="1535" t="s">
        <v>970</v>
      </c>
      <c r="R294" s="1645"/>
      <c r="S294" s="1645"/>
      <c r="T294" s="1645"/>
      <c r="U294" s="1645"/>
      <c r="V294" s="1645"/>
      <c r="W294" s="1645"/>
      <c r="X294" s="1645"/>
      <c r="Y294" s="1645"/>
      <c r="Z294" s="1645"/>
      <c r="AA294" s="685"/>
      <c r="AB294" s="1645">
        <v>0</v>
      </c>
    </row>
    <row s="1860" customFormat="1" customHeight="1" ht="22.5">
      <c r="A295" s="1645"/>
      <c r="B295" s="2407" t="s">
        <v>1076</v>
      </c>
      <c r="C295" s="2408" t="s">
        <v>105</v>
      </c>
      <c r="D295" s="699" t="str">
        <f>B295&amp;".1"</f>
        <v>3.87.1</v>
      </c>
      <c r="E295" s="1677" t="s">
        <v>966</v>
      </c>
      <c r="F295" s="2273" t="s">
        <v>328</v>
      </c>
      <c r="G295" s="2363" t="s">
        <v>22</v>
      </c>
      <c r="H295" s="828" t="s">
        <v>22</v>
      </c>
      <c r="I295" s="2363" t="s">
        <v>983</v>
      </c>
      <c r="J295" s="828" t="s">
        <v>22</v>
      </c>
      <c r="K295" s="2363" t="s">
        <v>22</v>
      </c>
      <c r="L295" s="828" t="s">
        <v>22</v>
      </c>
      <c r="M295" s="2363" t="s">
        <v>22</v>
      </c>
      <c r="N295" s="828" t="s">
        <v>22</v>
      </c>
      <c r="O295" s="2363" t="s">
        <v>22</v>
      </c>
      <c r="P295" s="828" t="s">
        <v>22</v>
      </c>
      <c r="Q295" s="1535"/>
      <c r="R295" s="1645"/>
      <c r="S295" s="1645"/>
      <c r="T295" s="1645"/>
      <c r="U295" s="1645"/>
      <c r="V295" s="1645"/>
      <c r="W295" s="1645"/>
      <c r="X295" s="1645"/>
      <c r="Y295" s="1645"/>
      <c r="Z295" s="1645"/>
      <c r="AA295" s="685"/>
      <c r="AB295" s="1645">
        <v>0</v>
      </c>
    </row>
    <row s="1860" customFormat="1" customHeight="1" ht="15">
      <c r="A296" s="1645"/>
      <c r="B296" s="2407"/>
      <c r="C296" s="2408"/>
      <c r="D296" s="699" t="str">
        <f>B295&amp;".2"</f>
        <v>3.87.2</v>
      </c>
      <c r="E296" s="1677" t="s">
        <v>967</v>
      </c>
      <c r="F296" s="2273" t="s">
        <v>328</v>
      </c>
      <c r="G296" s="1748" t="s">
        <v>22</v>
      </c>
      <c r="H296" s="828" t="s">
        <v>22</v>
      </c>
      <c r="I296" s="1748">
        <v>46148</v>
      </c>
      <c r="J296" s="828" t="s">
        <v>22</v>
      </c>
      <c r="K296" s="1748" t="s">
        <v>22</v>
      </c>
      <c r="L296" s="828" t="s">
        <v>22</v>
      </c>
      <c r="M296" s="1748" t="s">
        <v>22</v>
      </c>
      <c r="N296" s="828" t="s">
        <v>22</v>
      </c>
      <c r="O296" s="1748" t="s">
        <v>22</v>
      </c>
      <c r="P296" s="828" t="s">
        <v>22</v>
      </c>
      <c r="Q296" s="1535" t="s">
        <v>968</v>
      </c>
      <c r="R296" s="1645"/>
      <c r="S296" s="1645"/>
      <c r="T296" s="1645"/>
      <c r="U296" s="1645"/>
      <c r="V296" s="1645"/>
      <c r="W296" s="1645"/>
      <c r="X296" s="1645"/>
      <c r="Y296" s="1645"/>
      <c r="Z296" s="1645"/>
      <c r="AA296" s="685"/>
      <c r="AB296" s="1645">
        <v>0</v>
      </c>
    </row>
    <row s="1860" customFormat="1" customHeight="1" ht="15">
      <c r="A297" s="1645"/>
      <c r="B297" s="2407"/>
      <c r="C297" s="2408"/>
      <c r="D297" s="699" t="str">
        <f>B295&amp;".3"</f>
        <v>3.87.3</v>
      </c>
      <c r="E297" s="1677" t="s">
        <v>969</v>
      </c>
      <c r="F297" s="2273" t="s">
        <v>328</v>
      </c>
      <c r="G297" s="1748" t="s">
        <v>22</v>
      </c>
      <c r="H297" s="828" t="s">
        <v>22</v>
      </c>
      <c r="I297" s="1748" t="s">
        <v>22</v>
      </c>
      <c r="J297" s="828" t="s">
        <v>22</v>
      </c>
      <c r="K297" s="1748" t="s">
        <v>22</v>
      </c>
      <c r="L297" s="828" t="s">
        <v>22</v>
      </c>
      <c r="M297" s="1748" t="s">
        <v>22</v>
      </c>
      <c r="N297" s="828" t="s">
        <v>22</v>
      </c>
      <c r="O297" s="1748" t="s">
        <v>22</v>
      </c>
      <c r="P297" s="828" t="s">
        <v>22</v>
      </c>
      <c r="Q297" s="1535" t="s">
        <v>970</v>
      </c>
      <c r="R297" s="1645"/>
      <c r="S297" s="1645"/>
      <c r="T297" s="1645"/>
      <c r="U297" s="1645"/>
      <c r="V297" s="1645"/>
      <c r="W297" s="1645"/>
      <c r="X297" s="1645"/>
      <c r="Y297" s="1645"/>
      <c r="Z297" s="1645"/>
      <c r="AA297" s="685"/>
      <c r="AB297" s="1645">
        <v>0</v>
      </c>
    </row>
    <row s="1860" customFormat="1" customHeight="1" ht="22.5">
      <c r="A298" s="1645"/>
      <c r="B298" s="2407" t="s">
        <v>1077</v>
      </c>
      <c r="C298" s="2408" t="s">
        <v>105</v>
      </c>
      <c r="D298" s="699" t="str">
        <f>B298&amp;".1"</f>
        <v>3.88.1</v>
      </c>
      <c r="E298" s="1677" t="s">
        <v>966</v>
      </c>
      <c r="F298" s="2273" t="s">
        <v>328</v>
      </c>
      <c r="G298" s="2363" t="s">
        <v>22</v>
      </c>
      <c r="H298" s="828" t="s">
        <v>22</v>
      </c>
      <c r="I298" s="2363" t="s">
        <v>983</v>
      </c>
      <c r="J298" s="828" t="s">
        <v>22</v>
      </c>
      <c r="K298" s="2363" t="s">
        <v>22</v>
      </c>
      <c r="L298" s="828" t="s">
        <v>22</v>
      </c>
      <c r="M298" s="2363" t="s">
        <v>22</v>
      </c>
      <c r="N298" s="828" t="s">
        <v>22</v>
      </c>
      <c r="O298" s="2363" t="s">
        <v>22</v>
      </c>
      <c r="P298" s="828" t="s">
        <v>22</v>
      </c>
      <c r="Q298" s="1535"/>
      <c r="R298" s="1645"/>
      <c r="S298" s="1645"/>
      <c r="T298" s="1645"/>
      <c r="U298" s="1645"/>
      <c r="V298" s="1645"/>
      <c r="W298" s="1645"/>
      <c r="X298" s="1645"/>
      <c r="Y298" s="1645"/>
      <c r="Z298" s="1645"/>
      <c r="AA298" s="685"/>
      <c r="AB298" s="1645">
        <v>0</v>
      </c>
    </row>
    <row s="1860" customFormat="1" customHeight="1" ht="15">
      <c r="A299" s="1645"/>
      <c r="B299" s="2407"/>
      <c r="C299" s="2408"/>
      <c r="D299" s="699" t="str">
        <f>B298&amp;".2"</f>
        <v>3.88.2</v>
      </c>
      <c r="E299" s="1677" t="s">
        <v>967</v>
      </c>
      <c r="F299" s="2273" t="s">
        <v>328</v>
      </c>
      <c r="G299" s="1748" t="s">
        <v>22</v>
      </c>
      <c r="H299" s="828" t="s">
        <v>22</v>
      </c>
      <c r="I299" s="1748">
        <v>46148</v>
      </c>
      <c r="J299" s="828" t="s">
        <v>22</v>
      </c>
      <c r="K299" s="1748" t="s">
        <v>22</v>
      </c>
      <c r="L299" s="828" t="s">
        <v>22</v>
      </c>
      <c r="M299" s="1748" t="s">
        <v>22</v>
      </c>
      <c r="N299" s="828" t="s">
        <v>22</v>
      </c>
      <c r="O299" s="1748" t="s">
        <v>22</v>
      </c>
      <c r="P299" s="828" t="s">
        <v>22</v>
      </c>
      <c r="Q299" s="1535" t="s">
        <v>968</v>
      </c>
      <c r="R299" s="1645"/>
      <c r="S299" s="1645"/>
      <c r="T299" s="1645"/>
      <c r="U299" s="1645"/>
      <c r="V299" s="1645"/>
      <c r="W299" s="1645"/>
      <c r="X299" s="1645"/>
      <c r="Y299" s="1645"/>
      <c r="Z299" s="1645"/>
      <c r="AA299" s="685"/>
      <c r="AB299" s="1645">
        <v>0</v>
      </c>
    </row>
    <row s="1860" customFormat="1" customHeight="1" ht="15">
      <c r="A300" s="1645"/>
      <c r="B300" s="2407"/>
      <c r="C300" s="2408"/>
      <c r="D300" s="699" t="str">
        <f>B298&amp;".3"</f>
        <v>3.88.3</v>
      </c>
      <c r="E300" s="1677" t="s">
        <v>969</v>
      </c>
      <c r="F300" s="2273" t="s">
        <v>328</v>
      </c>
      <c r="G300" s="1748" t="s">
        <v>22</v>
      </c>
      <c r="H300" s="828" t="s">
        <v>22</v>
      </c>
      <c r="I300" s="1748" t="s">
        <v>22</v>
      </c>
      <c r="J300" s="828" t="s">
        <v>22</v>
      </c>
      <c r="K300" s="1748" t="s">
        <v>22</v>
      </c>
      <c r="L300" s="828" t="s">
        <v>22</v>
      </c>
      <c r="M300" s="1748" t="s">
        <v>22</v>
      </c>
      <c r="N300" s="828" t="s">
        <v>22</v>
      </c>
      <c r="O300" s="1748" t="s">
        <v>22</v>
      </c>
      <c r="P300" s="828" t="s">
        <v>22</v>
      </c>
      <c r="Q300" s="1535" t="s">
        <v>970</v>
      </c>
      <c r="R300" s="1645"/>
      <c r="S300" s="1645"/>
      <c r="T300" s="1645"/>
      <c r="U300" s="1645"/>
      <c r="V300" s="1645"/>
      <c r="W300" s="1645"/>
      <c r="X300" s="1645"/>
      <c r="Y300" s="1645"/>
      <c r="Z300" s="1645"/>
      <c r="AA300" s="685"/>
      <c r="AB300" s="1645">
        <v>0</v>
      </c>
    </row>
    <row s="1860" customFormat="1" customHeight="1" ht="22.5">
      <c r="A301" s="1645"/>
      <c r="B301" s="2407" t="s">
        <v>1078</v>
      </c>
      <c r="C301" s="2408" t="s">
        <v>105</v>
      </c>
      <c r="D301" s="699" t="str">
        <f>B301&amp;".1"</f>
        <v>3.89.1</v>
      </c>
      <c r="E301" s="1677" t="s">
        <v>966</v>
      </c>
      <c r="F301" s="2273" t="s">
        <v>328</v>
      </c>
      <c r="G301" s="2363" t="s">
        <v>22</v>
      </c>
      <c r="H301" s="828" t="s">
        <v>22</v>
      </c>
      <c r="I301" s="2363" t="s">
        <v>983</v>
      </c>
      <c r="J301" s="828" t="s">
        <v>22</v>
      </c>
      <c r="K301" s="2363" t="s">
        <v>22</v>
      </c>
      <c r="L301" s="828" t="s">
        <v>22</v>
      </c>
      <c r="M301" s="2363" t="s">
        <v>22</v>
      </c>
      <c r="N301" s="828" t="s">
        <v>22</v>
      </c>
      <c r="O301" s="2363" t="s">
        <v>22</v>
      </c>
      <c r="P301" s="828" t="s">
        <v>22</v>
      </c>
      <c r="Q301" s="1535"/>
      <c r="R301" s="1645"/>
      <c r="S301" s="1645"/>
      <c r="T301" s="1645"/>
      <c r="U301" s="1645"/>
      <c r="V301" s="1645"/>
      <c r="W301" s="1645"/>
      <c r="X301" s="1645"/>
      <c r="Y301" s="1645"/>
      <c r="Z301" s="1645"/>
      <c r="AA301" s="685"/>
      <c r="AB301" s="1645">
        <v>0</v>
      </c>
    </row>
    <row s="1860" customFormat="1" customHeight="1" ht="15">
      <c r="A302" s="1645"/>
      <c r="B302" s="2407"/>
      <c r="C302" s="2408"/>
      <c r="D302" s="699" t="str">
        <f>B301&amp;".2"</f>
        <v>3.89.2</v>
      </c>
      <c r="E302" s="1677" t="s">
        <v>967</v>
      </c>
      <c r="F302" s="2273" t="s">
        <v>328</v>
      </c>
      <c r="G302" s="1748" t="s">
        <v>22</v>
      </c>
      <c r="H302" s="828" t="s">
        <v>22</v>
      </c>
      <c r="I302" s="1748">
        <v>46149</v>
      </c>
      <c r="J302" s="828" t="s">
        <v>22</v>
      </c>
      <c r="K302" s="1748" t="s">
        <v>22</v>
      </c>
      <c r="L302" s="828" t="s">
        <v>22</v>
      </c>
      <c r="M302" s="1748" t="s">
        <v>22</v>
      </c>
      <c r="N302" s="828" t="s">
        <v>22</v>
      </c>
      <c r="O302" s="1748" t="s">
        <v>22</v>
      </c>
      <c r="P302" s="828" t="s">
        <v>22</v>
      </c>
      <c r="Q302" s="1535" t="s">
        <v>968</v>
      </c>
      <c r="R302" s="1645"/>
      <c r="S302" s="1645"/>
      <c r="T302" s="1645"/>
      <c r="U302" s="1645"/>
      <c r="V302" s="1645"/>
      <c r="W302" s="1645"/>
      <c r="X302" s="1645"/>
      <c r="Y302" s="1645"/>
      <c r="Z302" s="1645"/>
      <c r="AA302" s="685"/>
      <c r="AB302" s="1645">
        <v>0</v>
      </c>
    </row>
    <row s="1860" customFormat="1" customHeight="1" ht="15">
      <c r="A303" s="1645"/>
      <c r="B303" s="2407"/>
      <c r="C303" s="2408"/>
      <c r="D303" s="699" t="str">
        <f>B301&amp;".3"</f>
        <v>3.89.3</v>
      </c>
      <c r="E303" s="1677" t="s">
        <v>969</v>
      </c>
      <c r="F303" s="2273" t="s">
        <v>328</v>
      </c>
      <c r="G303" s="1748" t="s">
        <v>22</v>
      </c>
      <c r="H303" s="828" t="s">
        <v>22</v>
      </c>
      <c r="I303" s="1748" t="s">
        <v>22</v>
      </c>
      <c r="J303" s="828" t="s">
        <v>22</v>
      </c>
      <c r="K303" s="1748" t="s">
        <v>22</v>
      </c>
      <c r="L303" s="828" t="s">
        <v>22</v>
      </c>
      <c r="M303" s="1748" t="s">
        <v>22</v>
      </c>
      <c r="N303" s="828" t="s">
        <v>22</v>
      </c>
      <c r="O303" s="1748" t="s">
        <v>22</v>
      </c>
      <c r="P303" s="828" t="s">
        <v>22</v>
      </c>
      <c r="Q303" s="1535" t="s">
        <v>970</v>
      </c>
      <c r="R303" s="1645"/>
      <c r="S303" s="1645"/>
      <c r="T303" s="1645"/>
      <c r="U303" s="1645"/>
      <c r="V303" s="1645"/>
      <c r="W303" s="1645"/>
      <c r="X303" s="1645"/>
      <c r="Y303" s="1645"/>
      <c r="Z303" s="1645"/>
      <c r="AA303" s="685"/>
      <c r="AB303" s="1645">
        <v>0</v>
      </c>
    </row>
    <row s="1860" customFormat="1" customHeight="1" ht="22.5">
      <c r="A304" s="1645"/>
      <c r="B304" s="2407" t="s">
        <v>1079</v>
      </c>
      <c r="C304" s="2408" t="s">
        <v>105</v>
      </c>
      <c r="D304" s="699" t="str">
        <f>B304&amp;".1"</f>
        <v>3.90.1</v>
      </c>
      <c r="E304" s="1677" t="s">
        <v>966</v>
      </c>
      <c r="F304" s="2273" t="s">
        <v>328</v>
      </c>
      <c r="G304" s="2363" t="s">
        <v>22</v>
      </c>
      <c r="H304" s="828" t="s">
        <v>22</v>
      </c>
      <c r="I304" s="2363" t="s">
        <v>983</v>
      </c>
      <c r="J304" s="828" t="s">
        <v>22</v>
      </c>
      <c r="K304" s="2363" t="s">
        <v>22</v>
      </c>
      <c r="L304" s="828" t="s">
        <v>22</v>
      </c>
      <c r="M304" s="2363" t="s">
        <v>22</v>
      </c>
      <c r="N304" s="828" t="s">
        <v>22</v>
      </c>
      <c r="O304" s="2363" t="s">
        <v>22</v>
      </c>
      <c r="P304" s="828" t="s">
        <v>22</v>
      </c>
      <c r="Q304" s="1535"/>
      <c r="R304" s="1645"/>
      <c r="S304" s="1645"/>
      <c r="T304" s="1645"/>
      <c r="U304" s="1645"/>
      <c r="V304" s="1645"/>
      <c r="W304" s="1645"/>
      <c r="X304" s="1645"/>
      <c r="Y304" s="1645"/>
      <c r="Z304" s="1645"/>
      <c r="AA304" s="685"/>
      <c r="AB304" s="1645">
        <v>0</v>
      </c>
    </row>
    <row s="1860" customFormat="1" customHeight="1" ht="15">
      <c r="A305" s="1645"/>
      <c r="B305" s="2407"/>
      <c r="C305" s="2408"/>
      <c r="D305" s="699" t="str">
        <f>B304&amp;".2"</f>
        <v>3.90.2</v>
      </c>
      <c r="E305" s="1677" t="s">
        <v>967</v>
      </c>
      <c r="F305" s="2273" t="s">
        <v>328</v>
      </c>
      <c r="G305" s="1748" t="s">
        <v>22</v>
      </c>
      <c r="H305" s="828" t="s">
        <v>22</v>
      </c>
      <c r="I305" s="1748">
        <v>46149</v>
      </c>
      <c r="J305" s="828" t="s">
        <v>22</v>
      </c>
      <c r="K305" s="1748" t="s">
        <v>22</v>
      </c>
      <c r="L305" s="828" t="s">
        <v>22</v>
      </c>
      <c r="M305" s="1748" t="s">
        <v>22</v>
      </c>
      <c r="N305" s="828" t="s">
        <v>22</v>
      </c>
      <c r="O305" s="1748" t="s">
        <v>22</v>
      </c>
      <c r="P305" s="828" t="s">
        <v>22</v>
      </c>
      <c r="Q305" s="1535" t="s">
        <v>968</v>
      </c>
      <c r="R305" s="1645"/>
      <c r="S305" s="1645"/>
      <c r="T305" s="1645"/>
      <c r="U305" s="1645"/>
      <c r="V305" s="1645"/>
      <c r="W305" s="1645"/>
      <c r="X305" s="1645"/>
      <c r="Y305" s="1645"/>
      <c r="Z305" s="1645"/>
      <c r="AA305" s="685"/>
      <c r="AB305" s="1645">
        <v>0</v>
      </c>
    </row>
    <row s="1860" customFormat="1" customHeight="1" ht="15">
      <c r="A306" s="1645"/>
      <c r="B306" s="2407"/>
      <c r="C306" s="2408"/>
      <c r="D306" s="699" t="str">
        <f>B304&amp;".3"</f>
        <v>3.90.3</v>
      </c>
      <c r="E306" s="1677" t="s">
        <v>969</v>
      </c>
      <c r="F306" s="2273" t="s">
        <v>328</v>
      </c>
      <c r="G306" s="1748" t="s">
        <v>22</v>
      </c>
      <c r="H306" s="828" t="s">
        <v>22</v>
      </c>
      <c r="I306" s="1748" t="s">
        <v>22</v>
      </c>
      <c r="J306" s="828" t="s">
        <v>22</v>
      </c>
      <c r="K306" s="1748" t="s">
        <v>22</v>
      </c>
      <c r="L306" s="828" t="s">
        <v>22</v>
      </c>
      <c r="M306" s="1748" t="s">
        <v>22</v>
      </c>
      <c r="N306" s="828" t="s">
        <v>22</v>
      </c>
      <c r="O306" s="1748" t="s">
        <v>22</v>
      </c>
      <c r="P306" s="828" t="s">
        <v>22</v>
      </c>
      <c r="Q306" s="1535" t="s">
        <v>970</v>
      </c>
      <c r="R306" s="1645"/>
      <c r="S306" s="1645"/>
      <c r="T306" s="1645"/>
      <c r="U306" s="1645"/>
      <c r="V306" s="1645"/>
      <c r="W306" s="1645"/>
      <c r="X306" s="1645"/>
      <c r="Y306" s="1645"/>
      <c r="Z306" s="1645"/>
      <c r="AA306" s="685"/>
      <c r="AB306" s="1645">
        <v>0</v>
      </c>
    </row>
    <row s="1860" customFormat="1" customHeight="1" ht="22.5">
      <c r="A307" s="1645"/>
      <c r="B307" s="2407" t="s">
        <v>1080</v>
      </c>
      <c r="C307" s="2408" t="s">
        <v>105</v>
      </c>
      <c r="D307" s="699" t="str">
        <f>B307&amp;".1"</f>
        <v>3.91.1</v>
      </c>
      <c r="E307" s="1677" t="s">
        <v>966</v>
      </c>
      <c r="F307" s="2273" t="s">
        <v>328</v>
      </c>
      <c r="G307" s="2363" t="s">
        <v>22</v>
      </c>
      <c r="H307" s="828" t="s">
        <v>22</v>
      </c>
      <c r="I307" s="2363" t="s">
        <v>983</v>
      </c>
      <c r="J307" s="828" t="s">
        <v>22</v>
      </c>
      <c r="K307" s="2363" t="s">
        <v>22</v>
      </c>
      <c r="L307" s="828" t="s">
        <v>22</v>
      </c>
      <c r="M307" s="2363" t="s">
        <v>22</v>
      </c>
      <c r="N307" s="828" t="s">
        <v>22</v>
      </c>
      <c r="O307" s="2363" t="s">
        <v>22</v>
      </c>
      <c r="P307" s="828" t="s">
        <v>22</v>
      </c>
      <c r="Q307" s="1535"/>
      <c r="R307" s="1645"/>
      <c r="S307" s="1645"/>
      <c r="T307" s="1645"/>
      <c r="U307" s="1645"/>
      <c r="V307" s="1645"/>
      <c r="W307" s="1645"/>
      <c r="X307" s="1645"/>
      <c r="Y307" s="1645"/>
      <c r="Z307" s="1645"/>
      <c r="AA307" s="685"/>
      <c r="AB307" s="1645">
        <v>0</v>
      </c>
    </row>
    <row s="1860" customFormat="1" customHeight="1" ht="15">
      <c r="A308" s="1645"/>
      <c r="B308" s="2407"/>
      <c r="C308" s="2408"/>
      <c r="D308" s="699" t="str">
        <f>B307&amp;".2"</f>
        <v>3.91.2</v>
      </c>
      <c r="E308" s="1677" t="s">
        <v>967</v>
      </c>
      <c r="F308" s="2273" t="s">
        <v>328</v>
      </c>
      <c r="G308" s="1748" t="s">
        <v>22</v>
      </c>
      <c r="H308" s="828" t="s">
        <v>22</v>
      </c>
      <c r="I308" s="1748">
        <v>46149</v>
      </c>
      <c r="J308" s="828" t="s">
        <v>22</v>
      </c>
      <c r="K308" s="1748" t="s">
        <v>22</v>
      </c>
      <c r="L308" s="828" t="s">
        <v>22</v>
      </c>
      <c r="M308" s="1748" t="s">
        <v>22</v>
      </c>
      <c r="N308" s="828" t="s">
        <v>22</v>
      </c>
      <c r="O308" s="1748" t="s">
        <v>22</v>
      </c>
      <c r="P308" s="828" t="s">
        <v>22</v>
      </c>
      <c r="Q308" s="1535" t="s">
        <v>968</v>
      </c>
      <c r="R308" s="1645"/>
      <c r="S308" s="1645"/>
      <c r="T308" s="1645"/>
      <c r="U308" s="1645"/>
      <c r="V308" s="1645"/>
      <c r="W308" s="1645"/>
      <c r="X308" s="1645"/>
      <c r="Y308" s="1645"/>
      <c r="Z308" s="1645"/>
      <c r="AA308" s="685"/>
      <c r="AB308" s="1645">
        <v>0</v>
      </c>
    </row>
    <row s="1860" customFormat="1" customHeight="1" ht="15">
      <c r="A309" s="1645"/>
      <c r="B309" s="2407"/>
      <c r="C309" s="2408"/>
      <c r="D309" s="699" t="str">
        <f>B307&amp;".3"</f>
        <v>3.91.3</v>
      </c>
      <c r="E309" s="1677" t="s">
        <v>969</v>
      </c>
      <c r="F309" s="2273" t="s">
        <v>328</v>
      </c>
      <c r="G309" s="1748" t="s">
        <v>22</v>
      </c>
      <c r="H309" s="828" t="s">
        <v>22</v>
      </c>
      <c r="I309" s="1748" t="s">
        <v>22</v>
      </c>
      <c r="J309" s="828" t="s">
        <v>22</v>
      </c>
      <c r="K309" s="1748" t="s">
        <v>22</v>
      </c>
      <c r="L309" s="828" t="s">
        <v>22</v>
      </c>
      <c r="M309" s="1748" t="s">
        <v>22</v>
      </c>
      <c r="N309" s="828" t="s">
        <v>22</v>
      </c>
      <c r="O309" s="1748" t="s">
        <v>22</v>
      </c>
      <c r="P309" s="828" t="s">
        <v>22</v>
      </c>
      <c r="Q309" s="1535" t="s">
        <v>970</v>
      </c>
      <c r="R309" s="1645"/>
      <c r="S309" s="1645"/>
      <c r="T309" s="1645"/>
      <c r="U309" s="1645"/>
      <c r="V309" s="1645"/>
      <c r="W309" s="1645"/>
      <c r="X309" s="1645"/>
      <c r="Y309" s="1645"/>
      <c r="Z309" s="1645"/>
      <c r="AA309" s="685"/>
      <c r="AB309" s="1645">
        <v>0</v>
      </c>
    </row>
    <row s="1860" customFormat="1" customHeight="1" ht="22.5">
      <c r="A310" s="1645"/>
      <c r="B310" s="2407" t="s">
        <v>1081</v>
      </c>
      <c r="C310" s="2408" t="s">
        <v>105</v>
      </c>
      <c r="D310" s="699" t="str">
        <f>B310&amp;".1"</f>
        <v>3.92.1</v>
      </c>
      <c r="E310" s="1677" t="s">
        <v>966</v>
      </c>
      <c r="F310" s="2273" t="s">
        <v>328</v>
      </c>
      <c r="G310" s="2363" t="s">
        <v>22</v>
      </c>
      <c r="H310" s="828" t="s">
        <v>22</v>
      </c>
      <c r="I310" s="2363" t="s">
        <v>983</v>
      </c>
      <c r="J310" s="828" t="s">
        <v>22</v>
      </c>
      <c r="K310" s="2363" t="s">
        <v>22</v>
      </c>
      <c r="L310" s="828" t="s">
        <v>22</v>
      </c>
      <c r="M310" s="2363" t="s">
        <v>22</v>
      </c>
      <c r="N310" s="828" t="s">
        <v>22</v>
      </c>
      <c r="O310" s="2363" t="s">
        <v>22</v>
      </c>
      <c r="P310" s="828" t="s">
        <v>22</v>
      </c>
      <c r="Q310" s="1535"/>
      <c r="R310" s="1645"/>
      <c r="S310" s="1645"/>
      <c r="T310" s="1645"/>
      <c r="U310" s="1645"/>
      <c r="V310" s="1645"/>
      <c r="W310" s="1645"/>
      <c r="X310" s="1645"/>
      <c r="Y310" s="1645"/>
      <c r="Z310" s="1645"/>
      <c r="AA310" s="685"/>
      <c r="AB310" s="1645">
        <v>0</v>
      </c>
    </row>
    <row s="1860" customFormat="1" customHeight="1" ht="15">
      <c r="A311" s="1645"/>
      <c r="B311" s="2407"/>
      <c r="C311" s="2408"/>
      <c r="D311" s="699" t="str">
        <f>B310&amp;".2"</f>
        <v>3.92.2</v>
      </c>
      <c r="E311" s="1677" t="s">
        <v>967</v>
      </c>
      <c r="F311" s="2273" t="s">
        <v>328</v>
      </c>
      <c r="G311" s="1748" t="s">
        <v>22</v>
      </c>
      <c r="H311" s="828" t="s">
        <v>22</v>
      </c>
      <c r="I311" s="1748">
        <v>46149</v>
      </c>
      <c r="J311" s="828" t="s">
        <v>22</v>
      </c>
      <c r="K311" s="1748" t="s">
        <v>22</v>
      </c>
      <c r="L311" s="828" t="s">
        <v>22</v>
      </c>
      <c r="M311" s="1748" t="s">
        <v>22</v>
      </c>
      <c r="N311" s="828" t="s">
        <v>22</v>
      </c>
      <c r="O311" s="1748" t="s">
        <v>22</v>
      </c>
      <c r="P311" s="828" t="s">
        <v>22</v>
      </c>
      <c r="Q311" s="1535" t="s">
        <v>968</v>
      </c>
      <c r="R311" s="1645"/>
      <c r="S311" s="1645"/>
      <c r="T311" s="1645"/>
      <c r="U311" s="1645"/>
      <c r="V311" s="1645"/>
      <c r="W311" s="1645"/>
      <c r="X311" s="1645"/>
      <c r="Y311" s="1645"/>
      <c r="Z311" s="1645"/>
      <c r="AA311" s="685"/>
      <c r="AB311" s="1645">
        <v>0</v>
      </c>
    </row>
    <row s="1860" customFormat="1" customHeight="1" ht="15">
      <c r="A312" s="1645"/>
      <c r="B312" s="2407"/>
      <c r="C312" s="2408"/>
      <c r="D312" s="699" t="str">
        <f>B310&amp;".3"</f>
        <v>3.92.3</v>
      </c>
      <c r="E312" s="1677" t="s">
        <v>969</v>
      </c>
      <c r="F312" s="2273" t="s">
        <v>328</v>
      </c>
      <c r="G312" s="1748" t="s">
        <v>22</v>
      </c>
      <c r="H312" s="828" t="s">
        <v>22</v>
      </c>
      <c r="I312" s="1748" t="s">
        <v>22</v>
      </c>
      <c r="J312" s="828" t="s">
        <v>22</v>
      </c>
      <c r="K312" s="1748" t="s">
        <v>22</v>
      </c>
      <c r="L312" s="828" t="s">
        <v>22</v>
      </c>
      <c r="M312" s="1748" t="s">
        <v>22</v>
      </c>
      <c r="N312" s="828" t="s">
        <v>22</v>
      </c>
      <c r="O312" s="1748" t="s">
        <v>22</v>
      </c>
      <c r="P312" s="828" t="s">
        <v>22</v>
      </c>
      <c r="Q312" s="1535" t="s">
        <v>970</v>
      </c>
      <c r="R312" s="1645"/>
      <c r="S312" s="1645"/>
      <c r="T312" s="1645"/>
      <c r="U312" s="1645"/>
      <c r="V312" s="1645"/>
      <c r="W312" s="1645"/>
      <c r="X312" s="1645"/>
      <c r="Y312" s="1645"/>
      <c r="Z312" s="1645"/>
      <c r="AA312" s="685"/>
      <c r="AB312" s="1645">
        <v>0</v>
      </c>
    </row>
    <row s="1860" customFormat="1" customHeight="1" ht="22.5">
      <c r="A313" s="1645"/>
      <c r="B313" s="2407" t="s">
        <v>1082</v>
      </c>
      <c r="C313" s="2408" t="s">
        <v>105</v>
      </c>
      <c r="D313" s="699" t="str">
        <f>B313&amp;".1"</f>
        <v>3.93.1</v>
      </c>
      <c r="E313" s="1677" t="s">
        <v>966</v>
      </c>
      <c r="F313" s="2273" t="s">
        <v>328</v>
      </c>
      <c r="G313" s="2363" t="s">
        <v>22</v>
      </c>
      <c r="H313" s="828" t="s">
        <v>22</v>
      </c>
      <c r="I313" s="2363" t="s">
        <v>983</v>
      </c>
      <c r="J313" s="828" t="s">
        <v>22</v>
      </c>
      <c r="K313" s="2363" t="s">
        <v>22</v>
      </c>
      <c r="L313" s="828" t="s">
        <v>22</v>
      </c>
      <c r="M313" s="2363" t="s">
        <v>22</v>
      </c>
      <c r="N313" s="828" t="s">
        <v>22</v>
      </c>
      <c r="O313" s="2363" t="s">
        <v>22</v>
      </c>
      <c r="P313" s="828" t="s">
        <v>22</v>
      </c>
      <c r="Q313" s="1535"/>
      <c r="R313" s="1645"/>
      <c r="S313" s="1645"/>
      <c r="T313" s="1645"/>
      <c r="U313" s="1645"/>
      <c r="V313" s="1645"/>
      <c r="W313" s="1645"/>
      <c r="X313" s="1645"/>
      <c r="Y313" s="1645"/>
      <c r="Z313" s="1645"/>
      <c r="AA313" s="685"/>
      <c r="AB313" s="1645">
        <v>0</v>
      </c>
    </row>
    <row s="1860" customFormat="1" customHeight="1" ht="15">
      <c r="A314" s="1645"/>
      <c r="B314" s="2407"/>
      <c r="C314" s="2408"/>
      <c r="D314" s="699" t="str">
        <f>B313&amp;".2"</f>
        <v>3.93.2</v>
      </c>
      <c r="E314" s="1677" t="s">
        <v>967</v>
      </c>
      <c r="F314" s="2273" t="s">
        <v>328</v>
      </c>
      <c r="G314" s="1748" t="s">
        <v>22</v>
      </c>
      <c r="H314" s="828" t="s">
        <v>22</v>
      </c>
      <c r="I314" s="1748">
        <v>46149</v>
      </c>
      <c r="J314" s="828" t="s">
        <v>22</v>
      </c>
      <c r="K314" s="1748" t="s">
        <v>22</v>
      </c>
      <c r="L314" s="828" t="s">
        <v>22</v>
      </c>
      <c r="M314" s="1748" t="s">
        <v>22</v>
      </c>
      <c r="N314" s="828" t="s">
        <v>22</v>
      </c>
      <c r="O314" s="1748" t="s">
        <v>22</v>
      </c>
      <c r="P314" s="828" t="s">
        <v>22</v>
      </c>
      <c r="Q314" s="1535" t="s">
        <v>968</v>
      </c>
      <c r="R314" s="1645"/>
      <c r="S314" s="1645"/>
      <c r="T314" s="1645"/>
      <c r="U314" s="1645"/>
      <c r="V314" s="1645"/>
      <c r="W314" s="1645"/>
      <c r="X314" s="1645"/>
      <c r="Y314" s="1645"/>
      <c r="Z314" s="1645"/>
      <c r="AA314" s="685"/>
      <c r="AB314" s="1645">
        <v>0</v>
      </c>
    </row>
    <row s="1860" customFormat="1" customHeight="1" ht="15">
      <c r="A315" s="1645"/>
      <c r="B315" s="2407"/>
      <c r="C315" s="2408"/>
      <c r="D315" s="699" t="str">
        <f>B313&amp;".3"</f>
        <v>3.93.3</v>
      </c>
      <c r="E315" s="1677" t="s">
        <v>969</v>
      </c>
      <c r="F315" s="2273" t="s">
        <v>328</v>
      </c>
      <c r="G315" s="1748" t="s">
        <v>22</v>
      </c>
      <c r="H315" s="828" t="s">
        <v>22</v>
      </c>
      <c r="I315" s="1748" t="s">
        <v>22</v>
      </c>
      <c r="J315" s="828" t="s">
        <v>22</v>
      </c>
      <c r="K315" s="1748" t="s">
        <v>22</v>
      </c>
      <c r="L315" s="828" t="s">
        <v>22</v>
      </c>
      <c r="M315" s="1748" t="s">
        <v>22</v>
      </c>
      <c r="N315" s="828" t="s">
        <v>22</v>
      </c>
      <c r="O315" s="1748" t="s">
        <v>22</v>
      </c>
      <c r="P315" s="828" t="s">
        <v>22</v>
      </c>
      <c r="Q315" s="1535" t="s">
        <v>970</v>
      </c>
      <c r="R315" s="1645"/>
      <c r="S315" s="1645"/>
      <c r="T315" s="1645"/>
      <c r="U315" s="1645"/>
      <c r="V315" s="1645"/>
      <c r="W315" s="1645"/>
      <c r="X315" s="1645"/>
      <c r="Y315" s="1645"/>
      <c r="Z315" s="1645"/>
      <c r="AA315" s="685"/>
      <c r="AB315" s="1645">
        <v>0</v>
      </c>
    </row>
    <row s="1860" customFormat="1" customHeight="1" ht="22.5">
      <c r="A316" s="1645"/>
      <c r="B316" s="2407" t="s">
        <v>1083</v>
      </c>
      <c r="C316" s="2408" t="s">
        <v>105</v>
      </c>
      <c r="D316" s="699" t="str">
        <f>B316&amp;".1"</f>
        <v>3.94.1</v>
      </c>
      <c r="E316" s="1677" t="s">
        <v>966</v>
      </c>
      <c r="F316" s="2273" t="s">
        <v>328</v>
      </c>
      <c r="G316" s="2363" t="s">
        <v>22</v>
      </c>
      <c r="H316" s="828" t="s">
        <v>22</v>
      </c>
      <c r="I316" s="2363" t="s">
        <v>983</v>
      </c>
      <c r="J316" s="828" t="s">
        <v>22</v>
      </c>
      <c r="K316" s="2363" t="s">
        <v>22</v>
      </c>
      <c r="L316" s="828" t="s">
        <v>22</v>
      </c>
      <c r="M316" s="2363" t="s">
        <v>22</v>
      </c>
      <c r="N316" s="828" t="s">
        <v>22</v>
      </c>
      <c r="O316" s="2363" t="s">
        <v>22</v>
      </c>
      <c r="P316" s="828" t="s">
        <v>22</v>
      </c>
      <c r="Q316" s="1535"/>
      <c r="R316" s="1645"/>
      <c r="S316" s="1645"/>
      <c r="T316" s="1645"/>
      <c r="U316" s="1645"/>
      <c r="V316" s="1645"/>
      <c r="W316" s="1645"/>
      <c r="X316" s="1645"/>
      <c r="Y316" s="1645"/>
      <c r="Z316" s="1645"/>
      <c r="AA316" s="685"/>
      <c r="AB316" s="1645">
        <v>0</v>
      </c>
    </row>
    <row s="1860" customFormat="1" customHeight="1" ht="15">
      <c r="A317" s="1645"/>
      <c r="B317" s="2407"/>
      <c r="C317" s="2408"/>
      <c r="D317" s="699" t="str">
        <f>B316&amp;".2"</f>
        <v>3.94.2</v>
      </c>
      <c r="E317" s="1677" t="s">
        <v>967</v>
      </c>
      <c r="F317" s="2273" t="s">
        <v>328</v>
      </c>
      <c r="G317" s="1748" t="s">
        <v>22</v>
      </c>
      <c r="H317" s="828" t="s">
        <v>22</v>
      </c>
      <c r="I317" s="1748">
        <v>46149</v>
      </c>
      <c r="J317" s="828" t="s">
        <v>22</v>
      </c>
      <c r="K317" s="1748" t="s">
        <v>22</v>
      </c>
      <c r="L317" s="828" t="s">
        <v>22</v>
      </c>
      <c r="M317" s="1748" t="s">
        <v>22</v>
      </c>
      <c r="N317" s="828" t="s">
        <v>22</v>
      </c>
      <c r="O317" s="1748" t="s">
        <v>22</v>
      </c>
      <c r="P317" s="828" t="s">
        <v>22</v>
      </c>
      <c r="Q317" s="1535" t="s">
        <v>968</v>
      </c>
      <c r="R317" s="1645"/>
      <c r="S317" s="1645"/>
      <c r="T317" s="1645"/>
      <c r="U317" s="1645"/>
      <c r="V317" s="1645"/>
      <c r="W317" s="1645"/>
      <c r="X317" s="1645"/>
      <c r="Y317" s="1645"/>
      <c r="Z317" s="1645"/>
      <c r="AA317" s="685"/>
      <c r="AB317" s="1645">
        <v>0</v>
      </c>
    </row>
    <row s="1860" customFormat="1" customHeight="1" ht="15">
      <c r="A318" s="1645"/>
      <c r="B318" s="2407"/>
      <c r="C318" s="2408"/>
      <c r="D318" s="699" t="str">
        <f>B316&amp;".3"</f>
        <v>3.94.3</v>
      </c>
      <c r="E318" s="1677" t="s">
        <v>969</v>
      </c>
      <c r="F318" s="2273" t="s">
        <v>328</v>
      </c>
      <c r="G318" s="1748" t="s">
        <v>22</v>
      </c>
      <c r="H318" s="828" t="s">
        <v>22</v>
      </c>
      <c r="I318" s="1748" t="s">
        <v>22</v>
      </c>
      <c r="J318" s="828" t="s">
        <v>22</v>
      </c>
      <c r="K318" s="1748" t="s">
        <v>22</v>
      </c>
      <c r="L318" s="828" t="s">
        <v>22</v>
      </c>
      <c r="M318" s="1748" t="s">
        <v>22</v>
      </c>
      <c r="N318" s="828" t="s">
        <v>22</v>
      </c>
      <c r="O318" s="1748" t="s">
        <v>22</v>
      </c>
      <c r="P318" s="828" t="s">
        <v>22</v>
      </c>
      <c r="Q318" s="1535" t="s">
        <v>970</v>
      </c>
      <c r="R318" s="1645"/>
      <c r="S318" s="1645"/>
      <c r="T318" s="1645"/>
      <c r="U318" s="1645"/>
      <c r="V318" s="1645"/>
      <c r="W318" s="1645"/>
      <c r="X318" s="1645"/>
      <c r="Y318" s="1645"/>
      <c r="Z318" s="1645"/>
      <c r="AA318" s="685"/>
      <c r="AB318" s="1645">
        <v>0</v>
      </c>
    </row>
    <row s="1860" customFormat="1" customHeight="1" ht="22.5">
      <c r="A319" s="1645"/>
      <c r="B319" s="2407" t="s">
        <v>1084</v>
      </c>
      <c r="C319" s="2408" t="s">
        <v>105</v>
      </c>
      <c r="D319" s="699" t="str">
        <f>B319&amp;".1"</f>
        <v>3.95.1</v>
      </c>
      <c r="E319" s="1677" t="s">
        <v>966</v>
      </c>
      <c r="F319" s="2273" t="s">
        <v>328</v>
      </c>
      <c r="G319" s="2363" t="s">
        <v>22</v>
      </c>
      <c r="H319" s="828" t="s">
        <v>22</v>
      </c>
      <c r="I319" s="2363" t="s">
        <v>983</v>
      </c>
      <c r="J319" s="828" t="s">
        <v>22</v>
      </c>
      <c r="K319" s="2363" t="s">
        <v>22</v>
      </c>
      <c r="L319" s="828" t="s">
        <v>22</v>
      </c>
      <c r="M319" s="2363" t="s">
        <v>22</v>
      </c>
      <c r="N319" s="828" t="s">
        <v>22</v>
      </c>
      <c r="O319" s="2363" t="s">
        <v>22</v>
      </c>
      <c r="P319" s="828" t="s">
        <v>22</v>
      </c>
      <c r="Q319" s="1535"/>
      <c r="R319" s="1645"/>
      <c r="S319" s="1645"/>
      <c r="T319" s="1645"/>
      <c r="U319" s="1645"/>
      <c r="V319" s="1645"/>
      <c r="W319" s="1645"/>
      <c r="X319" s="1645"/>
      <c r="Y319" s="1645"/>
      <c r="Z319" s="1645"/>
      <c r="AA319" s="685"/>
      <c r="AB319" s="1645">
        <v>0</v>
      </c>
    </row>
    <row s="1860" customFormat="1" customHeight="1" ht="15">
      <c r="A320" s="1645"/>
      <c r="B320" s="2407"/>
      <c r="C320" s="2408"/>
      <c r="D320" s="699" t="str">
        <f>B319&amp;".2"</f>
        <v>3.95.2</v>
      </c>
      <c r="E320" s="1677" t="s">
        <v>967</v>
      </c>
      <c r="F320" s="2273" t="s">
        <v>328</v>
      </c>
      <c r="G320" s="1748" t="s">
        <v>22</v>
      </c>
      <c r="H320" s="828" t="s">
        <v>22</v>
      </c>
      <c r="I320" s="1748">
        <v>46150</v>
      </c>
      <c r="J320" s="828" t="s">
        <v>22</v>
      </c>
      <c r="K320" s="1748" t="s">
        <v>22</v>
      </c>
      <c r="L320" s="828" t="s">
        <v>22</v>
      </c>
      <c r="M320" s="1748" t="s">
        <v>22</v>
      </c>
      <c r="N320" s="828" t="s">
        <v>22</v>
      </c>
      <c r="O320" s="1748" t="s">
        <v>22</v>
      </c>
      <c r="P320" s="828" t="s">
        <v>22</v>
      </c>
      <c r="Q320" s="1535" t="s">
        <v>968</v>
      </c>
      <c r="R320" s="1645"/>
      <c r="S320" s="1645"/>
      <c r="T320" s="1645"/>
      <c r="U320" s="1645"/>
      <c r="V320" s="1645"/>
      <c r="W320" s="1645"/>
      <c r="X320" s="1645"/>
      <c r="Y320" s="1645"/>
      <c r="Z320" s="1645"/>
      <c r="AA320" s="685"/>
      <c r="AB320" s="1645">
        <v>0</v>
      </c>
    </row>
    <row s="1860" customFormat="1" customHeight="1" ht="15">
      <c r="A321" s="1645"/>
      <c r="B321" s="2407"/>
      <c r="C321" s="2408"/>
      <c r="D321" s="699" t="str">
        <f>B319&amp;".3"</f>
        <v>3.95.3</v>
      </c>
      <c r="E321" s="1677" t="s">
        <v>969</v>
      </c>
      <c r="F321" s="2273" t="s">
        <v>328</v>
      </c>
      <c r="G321" s="1748" t="s">
        <v>22</v>
      </c>
      <c r="H321" s="828" t="s">
        <v>22</v>
      </c>
      <c r="I321" s="1748" t="s">
        <v>22</v>
      </c>
      <c r="J321" s="828" t="s">
        <v>22</v>
      </c>
      <c r="K321" s="1748" t="s">
        <v>22</v>
      </c>
      <c r="L321" s="828" t="s">
        <v>22</v>
      </c>
      <c r="M321" s="1748" t="s">
        <v>22</v>
      </c>
      <c r="N321" s="828" t="s">
        <v>22</v>
      </c>
      <c r="O321" s="1748" t="s">
        <v>22</v>
      </c>
      <c r="P321" s="828" t="s">
        <v>22</v>
      </c>
      <c r="Q321" s="1535" t="s">
        <v>970</v>
      </c>
      <c r="R321" s="1645"/>
      <c r="S321" s="1645"/>
      <c r="T321" s="1645"/>
      <c r="U321" s="1645"/>
      <c r="V321" s="1645"/>
      <c r="W321" s="1645"/>
      <c r="X321" s="1645"/>
      <c r="Y321" s="1645"/>
      <c r="Z321" s="1645"/>
      <c r="AA321" s="685"/>
      <c r="AB321" s="1645">
        <v>0</v>
      </c>
    </row>
    <row s="1860" customFormat="1" customHeight="1" ht="22.5">
      <c r="A322" s="1645"/>
      <c r="B322" s="2407" t="s">
        <v>1085</v>
      </c>
      <c r="C322" s="2408" t="s">
        <v>105</v>
      </c>
      <c r="D322" s="699" t="str">
        <f>B322&amp;".1"</f>
        <v>3.96.1</v>
      </c>
      <c r="E322" s="1677" t="s">
        <v>966</v>
      </c>
      <c r="F322" s="2273" t="s">
        <v>328</v>
      </c>
      <c r="G322" s="2363" t="s">
        <v>22</v>
      </c>
      <c r="H322" s="828" t="s">
        <v>22</v>
      </c>
      <c r="I322" s="2363" t="s">
        <v>983</v>
      </c>
      <c r="J322" s="828" t="s">
        <v>22</v>
      </c>
      <c r="K322" s="2363" t="s">
        <v>22</v>
      </c>
      <c r="L322" s="828" t="s">
        <v>22</v>
      </c>
      <c r="M322" s="2363" t="s">
        <v>22</v>
      </c>
      <c r="N322" s="828" t="s">
        <v>22</v>
      </c>
      <c r="O322" s="2363" t="s">
        <v>22</v>
      </c>
      <c r="P322" s="828" t="s">
        <v>22</v>
      </c>
      <c r="Q322" s="1535"/>
      <c r="R322" s="1645"/>
      <c r="S322" s="1645"/>
      <c r="T322" s="1645"/>
      <c r="U322" s="1645"/>
      <c r="V322" s="1645"/>
      <c r="W322" s="1645"/>
      <c r="X322" s="1645"/>
      <c r="Y322" s="1645"/>
      <c r="Z322" s="1645"/>
      <c r="AA322" s="685"/>
      <c r="AB322" s="1645">
        <v>0</v>
      </c>
    </row>
    <row s="1860" customFormat="1" customHeight="1" ht="15">
      <c r="A323" s="1645"/>
      <c r="B323" s="2407"/>
      <c r="C323" s="2408"/>
      <c r="D323" s="699" t="str">
        <f>B322&amp;".2"</f>
        <v>3.96.2</v>
      </c>
      <c r="E323" s="1677" t="s">
        <v>967</v>
      </c>
      <c r="F323" s="2273" t="s">
        <v>328</v>
      </c>
      <c r="G323" s="1748" t="s">
        <v>22</v>
      </c>
      <c r="H323" s="828" t="s">
        <v>22</v>
      </c>
      <c r="I323" s="1748">
        <v>46150</v>
      </c>
      <c r="J323" s="828" t="s">
        <v>22</v>
      </c>
      <c r="K323" s="1748" t="s">
        <v>22</v>
      </c>
      <c r="L323" s="828" t="s">
        <v>22</v>
      </c>
      <c r="M323" s="1748" t="s">
        <v>22</v>
      </c>
      <c r="N323" s="828" t="s">
        <v>22</v>
      </c>
      <c r="O323" s="1748" t="s">
        <v>22</v>
      </c>
      <c r="P323" s="828" t="s">
        <v>22</v>
      </c>
      <c r="Q323" s="1535" t="s">
        <v>968</v>
      </c>
      <c r="R323" s="1645"/>
      <c r="S323" s="1645"/>
      <c r="T323" s="1645"/>
      <c r="U323" s="1645"/>
      <c r="V323" s="1645"/>
      <c r="W323" s="1645"/>
      <c r="X323" s="1645"/>
      <c r="Y323" s="1645"/>
      <c r="Z323" s="1645"/>
      <c r="AA323" s="685"/>
      <c r="AB323" s="1645">
        <v>0</v>
      </c>
    </row>
    <row s="1860" customFormat="1" customHeight="1" ht="15">
      <c r="A324" s="1645"/>
      <c r="B324" s="2407"/>
      <c r="C324" s="2408"/>
      <c r="D324" s="699" t="str">
        <f>B322&amp;".3"</f>
        <v>3.96.3</v>
      </c>
      <c r="E324" s="1677" t="s">
        <v>969</v>
      </c>
      <c r="F324" s="2273" t="s">
        <v>328</v>
      </c>
      <c r="G324" s="1748" t="s">
        <v>22</v>
      </c>
      <c r="H324" s="828" t="s">
        <v>22</v>
      </c>
      <c r="I324" s="1748" t="s">
        <v>22</v>
      </c>
      <c r="J324" s="828" t="s">
        <v>22</v>
      </c>
      <c r="K324" s="1748" t="s">
        <v>22</v>
      </c>
      <c r="L324" s="828" t="s">
        <v>22</v>
      </c>
      <c r="M324" s="1748" t="s">
        <v>22</v>
      </c>
      <c r="N324" s="828" t="s">
        <v>22</v>
      </c>
      <c r="O324" s="1748" t="s">
        <v>22</v>
      </c>
      <c r="P324" s="828" t="s">
        <v>22</v>
      </c>
      <c r="Q324" s="1535" t="s">
        <v>970</v>
      </c>
      <c r="R324" s="1645"/>
      <c r="S324" s="1645"/>
      <c r="T324" s="1645"/>
      <c r="U324" s="1645"/>
      <c r="V324" s="1645"/>
      <c r="W324" s="1645"/>
      <c r="X324" s="1645"/>
      <c r="Y324" s="1645"/>
      <c r="Z324" s="1645"/>
      <c r="AA324" s="685"/>
      <c r="AB324" s="1645">
        <v>0</v>
      </c>
    </row>
    <row s="1860" customFormat="1" customHeight="1" ht="22.5">
      <c r="A325" s="1645"/>
      <c r="B325" s="2407" t="s">
        <v>1086</v>
      </c>
      <c r="C325" s="2408" t="s">
        <v>105</v>
      </c>
      <c r="D325" s="699" t="str">
        <f>B325&amp;".1"</f>
        <v>3.97.1</v>
      </c>
      <c r="E325" s="1677" t="s">
        <v>966</v>
      </c>
      <c r="F325" s="2273" t="s">
        <v>328</v>
      </c>
      <c r="G325" s="2363" t="s">
        <v>22</v>
      </c>
      <c r="H325" s="828" t="s">
        <v>22</v>
      </c>
      <c r="I325" s="2363" t="s">
        <v>983</v>
      </c>
      <c r="J325" s="828" t="s">
        <v>22</v>
      </c>
      <c r="K325" s="2363" t="s">
        <v>22</v>
      </c>
      <c r="L325" s="828" t="s">
        <v>22</v>
      </c>
      <c r="M325" s="2363" t="s">
        <v>22</v>
      </c>
      <c r="N325" s="828" t="s">
        <v>22</v>
      </c>
      <c r="O325" s="2363" t="s">
        <v>22</v>
      </c>
      <c r="P325" s="828" t="s">
        <v>22</v>
      </c>
      <c r="Q325" s="1535"/>
      <c r="R325" s="1645"/>
      <c r="S325" s="1645"/>
      <c r="T325" s="1645"/>
      <c r="U325" s="1645"/>
      <c r="V325" s="1645"/>
      <c r="W325" s="1645"/>
      <c r="X325" s="1645"/>
      <c r="Y325" s="1645"/>
      <c r="Z325" s="1645"/>
      <c r="AA325" s="685"/>
      <c r="AB325" s="1645">
        <v>0</v>
      </c>
    </row>
    <row s="1860" customFormat="1" customHeight="1" ht="15">
      <c r="A326" s="1645"/>
      <c r="B326" s="2407"/>
      <c r="C326" s="2408"/>
      <c r="D326" s="699" t="str">
        <f>B325&amp;".2"</f>
        <v>3.97.2</v>
      </c>
      <c r="E326" s="1677" t="s">
        <v>967</v>
      </c>
      <c r="F326" s="2273" t="s">
        <v>328</v>
      </c>
      <c r="G326" s="1748" t="s">
        <v>22</v>
      </c>
      <c r="H326" s="828" t="s">
        <v>22</v>
      </c>
      <c r="I326" s="1748">
        <v>46150</v>
      </c>
      <c r="J326" s="828" t="s">
        <v>22</v>
      </c>
      <c r="K326" s="1748" t="s">
        <v>22</v>
      </c>
      <c r="L326" s="828" t="s">
        <v>22</v>
      </c>
      <c r="M326" s="1748" t="s">
        <v>22</v>
      </c>
      <c r="N326" s="828" t="s">
        <v>22</v>
      </c>
      <c r="O326" s="1748" t="s">
        <v>22</v>
      </c>
      <c r="P326" s="828" t="s">
        <v>22</v>
      </c>
      <c r="Q326" s="1535" t="s">
        <v>968</v>
      </c>
      <c r="R326" s="1645"/>
      <c r="S326" s="1645"/>
      <c r="T326" s="1645"/>
      <c r="U326" s="1645"/>
      <c r="V326" s="1645"/>
      <c r="W326" s="1645"/>
      <c r="X326" s="1645"/>
      <c r="Y326" s="1645"/>
      <c r="Z326" s="1645"/>
      <c r="AA326" s="685"/>
      <c r="AB326" s="1645">
        <v>0</v>
      </c>
    </row>
    <row s="1860" customFormat="1" customHeight="1" ht="15">
      <c r="A327" s="1645"/>
      <c r="B327" s="2407"/>
      <c r="C327" s="2408"/>
      <c r="D327" s="699" t="str">
        <f>B325&amp;".3"</f>
        <v>3.97.3</v>
      </c>
      <c r="E327" s="1677" t="s">
        <v>969</v>
      </c>
      <c r="F327" s="2273" t="s">
        <v>328</v>
      </c>
      <c r="G327" s="1748" t="s">
        <v>22</v>
      </c>
      <c r="H327" s="828" t="s">
        <v>22</v>
      </c>
      <c r="I327" s="1748" t="s">
        <v>22</v>
      </c>
      <c r="J327" s="828" t="s">
        <v>22</v>
      </c>
      <c r="K327" s="1748" t="s">
        <v>22</v>
      </c>
      <c r="L327" s="828" t="s">
        <v>22</v>
      </c>
      <c r="M327" s="1748" t="s">
        <v>22</v>
      </c>
      <c r="N327" s="828" t="s">
        <v>22</v>
      </c>
      <c r="O327" s="1748" t="s">
        <v>22</v>
      </c>
      <c r="P327" s="828" t="s">
        <v>22</v>
      </c>
      <c r="Q327" s="1535" t="s">
        <v>970</v>
      </c>
      <c r="R327" s="1645"/>
      <c r="S327" s="1645"/>
      <c r="T327" s="1645"/>
      <c r="U327" s="1645"/>
      <c r="V327" s="1645"/>
      <c r="W327" s="1645"/>
      <c r="X327" s="1645"/>
      <c r="Y327" s="1645"/>
      <c r="Z327" s="1645"/>
      <c r="AA327" s="685"/>
      <c r="AB327" s="1645">
        <v>0</v>
      </c>
    </row>
    <row s="1860" customFormat="1" customHeight="1" ht="22.5">
      <c r="A328" s="1645"/>
      <c r="B328" s="2407" t="s">
        <v>1087</v>
      </c>
      <c r="C328" s="2408" t="s">
        <v>105</v>
      </c>
      <c r="D328" s="699" t="str">
        <f>B328&amp;".1"</f>
        <v>3.98.1</v>
      </c>
      <c r="E328" s="1677" t="s">
        <v>966</v>
      </c>
      <c r="F328" s="2273" t="s">
        <v>328</v>
      </c>
      <c r="G328" s="2363" t="s">
        <v>22</v>
      </c>
      <c r="H328" s="828" t="s">
        <v>22</v>
      </c>
      <c r="I328" s="2363" t="s">
        <v>983</v>
      </c>
      <c r="J328" s="828" t="s">
        <v>22</v>
      </c>
      <c r="K328" s="2363" t="s">
        <v>22</v>
      </c>
      <c r="L328" s="828" t="s">
        <v>22</v>
      </c>
      <c r="M328" s="2363" t="s">
        <v>22</v>
      </c>
      <c r="N328" s="828" t="s">
        <v>22</v>
      </c>
      <c r="O328" s="2363" t="s">
        <v>22</v>
      </c>
      <c r="P328" s="828" t="s">
        <v>22</v>
      </c>
      <c r="Q328" s="1535"/>
      <c r="R328" s="1645"/>
      <c r="S328" s="1645"/>
      <c r="T328" s="1645"/>
      <c r="U328" s="1645"/>
      <c r="V328" s="1645"/>
      <c r="W328" s="1645"/>
      <c r="X328" s="1645"/>
      <c r="Y328" s="1645"/>
      <c r="Z328" s="1645"/>
      <c r="AA328" s="685"/>
      <c r="AB328" s="1645">
        <v>0</v>
      </c>
    </row>
    <row s="1860" customFormat="1" customHeight="1" ht="15">
      <c r="A329" s="1645"/>
      <c r="B329" s="2407"/>
      <c r="C329" s="2408"/>
      <c r="D329" s="699" t="str">
        <f>B328&amp;".2"</f>
        <v>3.98.2</v>
      </c>
      <c r="E329" s="1677" t="s">
        <v>967</v>
      </c>
      <c r="F329" s="2273" t="s">
        <v>328</v>
      </c>
      <c r="G329" s="1748" t="s">
        <v>22</v>
      </c>
      <c r="H329" s="828" t="s">
        <v>22</v>
      </c>
      <c r="I329" s="1748">
        <v>46150</v>
      </c>
      <c r="J329" s="828" t="s">
        <v>22</v>
      </c>
      <c r="K329" s="1748" t="s">
        <v>22</v>
      </c>
      <c r="L329" s="828" t="s">
        <v>22</v>
      </c>
      <c r="M329" s="1748" t="s">
        <v>22</v>
      </c>
      <c r="N329" s="828" t="s">
        <v>22</v>
      </c>
      <c r="O329" s="1748" t="s">
        <v>22</v>
      </c>
      <c r="P329" s="828" t="s">
        <v>22</v>
      </c>
      <c r="Q329" s="1535" t="s">
        <v>968</v>
      </c>
      <c r="R329" s="1645"/>
      <c r="S329" s="1645"/>
      <c r="T329" s="1645"/>
      <c r="U329" s="1645"/>
      <c r="V329" s="1645"/>
      <c r="W329" s="1645"/>
      <c r="X329" s="1645"/>
      <c r="Y329" s="1645"/>
      <c r="Z329" s="1645"/>
      <c r="AA329" s="685"/>
      <c r="AB329" s="1645">
        <v>0</v>
      </c>
    </row>
    <row s="1860" customFormat="1" customHeight="1" ht="15">
      <c r="A330" s="1645"/>
      <c r="B330" s="2407"/>
      <c r="C330" s="2408"/>
      <c r="D330" s="699" t="str">
        <f>B328&amp;".3"</f>
        <v>3.98.3</v>
      </c>
      <c r="E330" s="1677" t="s">
        <v>969</v>
      </c>
      <c r="F330" s="2273" t="s">
        <v>328</v>
      </c>
      <c r="G330" s="1748" t="s">
        <v>22</v>
      </c>
      <c r="H330" s="828" t="s">
        <v>22</v>
      </c>
      <c r="I330" s="1748" t="s">
        <v>22</v>
      </c>
      <c r="J330" s="828" t="s">
        <v>22</v>
      </c>
      <c r="K330" s="1748" t="s">
        <v>22</v>
      </c>
      <c r="L330" s="828" t="s">
        <v>22</v>
      </c>
      <c r="M330" s="1748" t="s">
        <v>22</v>
      </c>
      <c r="N330" s="828" t="s">
        <v>22</v>
      </c>
      <c r="O330" s="1748" t="s">
        <v>22</v>
      </c>
      <c r="P330" s="828" t="s">
        <v>22</v>
      </c>
      <c r="Q330" s="1535" t="s">
        <v>970</v>
      </c>
      <c r="R330" s="1645"/>
      <c r="S330" s="1645"/>
      <c r="T330" s="1645"/>
      <c r="U330" s="1645"/>
      <c r="V330" s="1645"/>
      <c r="W330" s="1645"/>
      <c r="X330" s="1645"/>
      <c r="Y330" s="1645"/>
      <c r="Z330" s="1645"/>
      <c r="AA330" s="685"/>
      <c r="AB330" s="1645">
        <v>0</v>
      </c>
    </row>
    <row s="1860" customFormat="1" customHeight="1" ht="22.5">
      <c r="A331" s="1645"/>
      <c r="B331" s="2407" t="s">
        <v>1088</v>
      </c>
      <c r="C331" s="2408" t="s">
        <v>105</v>
      </c>
      <c r="D331" s="699" t="str">
        <f>B331&amp;".1"</f>
        <v>3.99.1</v>
      </c>
      <c r="E331" s="1677" t="s">
        <v>966</v>
      </c>
      <c r="F331" s="2273" t="s">
        <v>328</v>
      </c>
      <c r="G331" s="2363" t="s">
        <v>22</v>
      </c>
      <c r="H331" s="828" t="s">
        <v>22</v>
      </c>
      <c r="I331" s="2363" t="s">
        <v>983</v>
      </c>
      <c r="J331" s="828" t="s">
        <v>22</v>
      </c>
      <c r="K331" s="2363" t="s">
        <v>22</v>
      </c>
      <c r="L331" s="828" t="s">
        <v>22</v>
      </c>
      <c r="M331" s="2363" t="s">
        <v>22</v>
      </c>
      <c r="N331" s="828" t="s">
        <v>22</v>
      </c>
      <c r="O331" s="2363" t="s">
        <v>22</v>
      </c>
      <c r="P331" s="828" t="s">
        <v>22</v>
      </c>
      <c r="Q331" s="1535"/>
      <c r="R331" s="1645"/>
      <c r="S331" s="1645"/>
      <c r="T331" s="1645"/>
      <c r="U331" s="1645"/>
      <c r="V331" s="1645"/>
      <c r="W331" s="1645"/>
      <c r="X331" s="1645"/>
      <c r="Y331" s="1645"/>
      <c r="Z331" s="1645"/>
      <c r="AA331" s="685"/>
      <c r="AB331" s="1645">
        <v>0</v>
      </c>
    </row>
    <row s="1860" customFormat="1" customHeight="1" ht="15">
      <c r="A332" s="1645"/>
      <c r="B332" s="2407"/>
      <c r="C332" s="2408"/>
      <c r="D332" s="699" t="str">
        <f>B331&amp;".2"</f>
        <v>3.99.2</v>
      </c>
      <c r="E332" s="1677" t="s">
        <v>967</v>
      </c>
      <c r="F332" s="2273" t="s">
        <v>328</v>
      </c>
      <c r="G332" s="1748" t="s">
        <v>22</v>
      </c>
      <c r="H332" s="828" t="s">
        <v>22</v>
      </c>
      <c r="I332" s="1748">
        <v>46150</v>
      </c>
      <c r="J332" s="828" t="s">
        <v>22</v>
      </c>
      <c r="K332" s="1748" t="s">
        <v>22</v>
      </c>
      <c r="L332" s="828" t="s">
        <v>22</v>
      </c>
      <c r="M332" s="1748" t="s">
        <v>22</v>
      </c>
      <c r="N332" s="828" t="s">
        <v>22</v>
      </c>
      <c r="O332" s="1748" t="s">
        <v>22</v>
      </c>
      <c r="P332" s="828" t="s">
        <v>22</v>
      </c>
      <c r="Q332" s="1535" t="s">
        <v>968</v>
      </c>
      <c r="R332" s="1645"/>
      <c r="S332" s="1645"/>
      <c r="T332" s="1645"/>
      <c r="U332" s="1645"/>
      <c r="V332" s="1645"/>
      <c r="W332" s="1645"/>
      <c r="X332" s="1645"/>
      <c r="Y332" s="1645"/>
      <c r="Z332" s="1645"/>
      <c r="AA332" s="685"/>
      <c r="AB332" s="1645">
        <v>0</v>
      </c>
    </row>
    <row s="1860" customFormat="1" customHeight="1" ht="15">
      <c r="A333" s="1645"/>
      <c r="B333" s="2407"/>
      <c r="C333" s="2408"/>
      <c r="D333" s="699" t="str">
        <f>B331&amp;".3"</f>
        <v>3.99.3</v>
      </c>
      <c r="E333" s="1677" t="s">
        <v>969</v>
      </c>
      <c r="F333" s="2273" t="s">
        <v>328</v>
      </c>
      <c r="G333" s="1748" t="s">
        <v>22</v>
      </c>
      <c r="H333" s="828" t="s">
        <v>22</v>
      </c>
      <c r="I333" s="1748" t="s">
        <v>22</v>
      </c>
      <c r="J333" s="828" t="s">
        <v>22</v>
      </c>
      <c r="K333" s="1748" t="s">
        <v>22</v>
      </c>
      <c r="L333" s="828" t="s">
        <v>22</v>
      </c>
      <c r="M333" s="1748" t="s">
        <v>22</v>
      </c>
      <c r="N333" s="828" t="s">
        <v>22</v>
      </c>
      <c r="O333" s="1748" t="s">
        <v>22</v>
      </c>
      <c r="P333" s="828" t="s">
        <v>22</v>
      </c>
      <c r="Q333" s="1535" t="s">
        <v>970</v>
      </c>
      <c r="R333" s="1645"/>
      <c r="S333" s="1645"/>
      <c r="T333" s="1645"/>
      <c r="U333" s="1645"/>
      <c r="V333" s="1645"/>
      <c r="W333" s="1645"/>
      <c r="X333" s="1645"/>
      <c r="Y333" s="1645"/>
      <c r="Z333" s="1645"/>
      <c r="AA333" s="685"/>
      <c r="AB333" s="1645">
        <v>0</v>
      </c>
    </row>
    <row s="1860" customFormat="1" customHeight="1" ht="22.5">
      <c r="A334" s="1645"/>
      <c r="B334" s="2407" t="s">
        <v>1089</v>
      </c>
      <c r="C334" s="2408" t="s">
        <v>105</v>
      </c>
      <c r="D334" s="699" t="str">
        <f>B334&amp;".1"</f>
        <v>3.100.1</v>
      </c>
      <c r="E334" s="1677" t="s">
        <v>966</v>
      </c>
      <c r="F334" s="2273" t="s">
        <v>328</v>
      </c>
      <c r="G334" s="2363" t="s">
        <v>22</v>
      </c>
      <c r="H334" s="828" t="s">
        <v>22</v>
      </c>
      <c r="I334" s="2363" t="s">
        <v>983</v>
      </c>
      <c r="J334" s="828" t="s">
        <v>22</v>
      </c>
      <c r="K334" s="2363" t="s">
        <v>22</v>
      </c>
      <c r="L334" s="828" t="s">
        <v>22</v>
      </c>
      <c r="M334" s="2363" t="s">
        <v>22</v>
      </c>
      <c r="N334" s="828" t="s">
        <v>22</v>
      </c>
      <c r="O334" s="2363" t="s">
        <v>22</v>
      </c>
      <c r="P334" s="828" t="s">
        <v>22</v>
      </c>
      <c r="Q334" s="1535"/>
      <c r="R334" s="1645"/>
      <c r="S334" s="1645"/>
      <c r="T334" s="1645"/>
      <c r="U334" s="1645"/>
      <c r="V334" s="1645"/>
      <c r="W334" s="1645"/>
      <c r="X334" s="1645"/>
      <c r="Y334" s="1645"/>
      <c r="Z334" s="1645"/>
      <c r="AA334" s="685"/>
      <c r="AB334" s="1645">
        <v>0</v>
      </c>
    </row>
    <row s="1860" customFormat="1" customHeight="1" ht="15">
      <c r="A335" s="1645"/>
      <c r="B335" s="2407"/>
      <c r="C335" s="2408"/>
      <c r="D335" s="699" t="str">
        <f>B334&amp;".2"</f>
        <v>3.100.2</v>
      </c>
      <c r="E335" s="1677" t="s">
        <v>967</v>
      </c>
      <c r="F335" s="2273" t="s">
        <v>328</v>
      </c>
      <c r="G335" s="1748" t="s">
        <v>22</v>
      </c>
      <c r="H335" s="828" t="s">
        <v>22</v>
      </c>
      <c r="I335" s="1748">
        <v>46154</v>
      </c>
      <c r="J335" s="828" t="s">
        <v>22</v>
      </c>
      <c r="K335" s="1748" t="s">
        <v>22</v>
      </c>
      <c r="L335" s="828" t="s">
        <v>22</v>
      </c>
      <c r="M335" s="1748" t="s">
        <v>22</v>
      </c>
      <c r="N335" s="828" t="s">
        <v>22</v>
      </c>
      <c r="O335" s="1748" t="s">
        <v>22</v>
      </c>
      <c r="P335" s="828" t="s">
        <v>22</v>
      </c>
      <c r="Q335" s="1535" t="s">
        <v>968</v>
      </c>
      <c r="R335" s="1645"/>
      <c r="S335" s="1645"/>
      <c r="T335" s="1645"/>
      <c r="U335" s="1645"/>
      <c r="V335" s="1645"/>
      <c r="W335" s="1645"/>
      <c r="X335" s="1645"/>
      <c r="Y335" s="1645"/>
      <c r="Z335" s="1645"/>
      <c r="AA335" s="685"/>
      <c r="AB335" s="1645">
        <v>0</v>
      </c>
    </row>
    <row s="1860" customFormat="1" customHeight="1" ht="15">
      <c r="A336" s="1645"/>
      <c r="B336" s="2407"/>
      <c r="C336" s="2408"/>
      <c r="D336" s="699" t="str">
        <f>B334&amp;".3"</f>
        <v>3.100.3</v>
      </c>
      <c r="E336" s="1677" t="s">
        <v>969</v>
      </c>
      <c r="F336" s="2273" t="s">
        <v>328</v>
      </c>
      <c r="G336" s="1748" t="s">
        <v>22</v>
      </c>
      <c r="H336" s="828" t="s">
        <v>22</v>
      </c>
      <c r="I336" s="1748" t="s">
        <v>22</v>
      </c>
      <c r="J336" s="828" t="s">
        <v>22</v>
      </c>
      <c r="K336" s="1748" t="s">
        <v>22</v>
      </c>
      <c r="L336" s="828" t="s">
        <v>22</v>
      </c>
      <c r="M336" s="1748" t="s">
        <v>22</v>
      </c>
      <c r="N336" s="828" t="s">
        <v>22</v>
      </c>
      <c r="O336" s="1748" t="s">
        <v>22</v>
      </c>
      <c r="P336" s="828" t="s">
        <v>22</v>
      </c>
      <c r="Q336" s="1535" t="s">
        <v>970</v>
      </c>
      <c r="R336" s="1645"/>
      <c r="S336" s="1645"/>
      <c r="T336" s="1645"/>
      <c r="U336" s="1645"/>
      <c r="V336" s="1645"/>
      <c r="W336" s="1645"/>
      <c r="X336" s="1645"/>
      <c r="Y336" s="1645"/>
      <c r="Z336" s="1645"/>
      <c r="AA336" s="685"/>
      <c r="AB336" s="1645">
        <v>0</v>
      </c>
    </row>
    <row s="1860" customFormat="1" customHeight="1" ht="22.5">
      <c r="A337" s="1645"/>
      <c r="B337" s="2407" t="s">
        <v>1090</v>
      </c>
      <c r="C337" s="2408" t="s">
        <v>105</v>
      </c>
      <c r="D337" s="699" t="str">
        <f>B337&amp;".1"</f>
        <v>3.101.1</v>
      </c>
      <c r="E337" s="1677" t="s">
        <v>966</v>
      </c>
      <c r="F337" s="2273" t="s">
        <v>328</v>
      </c>
      <c r="G337" s="2363" t="s">
        <v>22</v>
      </c>
      <c r="H337" s="828" t="s">
        <v>22</v>
      </c>
      <c r="I337" s="2363" t="s">
        <v>983</v>
      </c>
      <c r="J337" s="828" t="s">
        <v>22</v>
      </c>
      <c r="K337" s="2363" t="s">
        <v>22</v>
      </c>
      <c r="L337" s="828" t="s">
        <v>22</v>
      </c>
      <c r="M337" s="2363" t="s">
        <v>22</v>
      </c>
      <c r="N337" s="828" t="s">
        <v>22</v>
      </c>
      <c r="O337" s="2363" t="s">
        <v>22</v>
      </c>
      <c r="P337" s="828" t="s">
        <v>22</v>
      </c>
      <c r="Q337" s="1535"/>
      <c r="R337" s="1645"/>
      <c r="S337" s="1645"/>
      <c r="T337" s="1645"/>
      <c r="U337" s="1645"/>
      <c r="V337" s="1645"/>
      <c r="W337" s="1645"/>
      <c r="X337" s="1645"/>
      <c r="Y337" s="1645"/>
      <c r="Z337" s="1645"/>
      <c r="AA337" s="685"/>
      <c r="AB337" s="1645">
        <v>0</v>
      </c>
    </row>
    <row s="1860" customFormat="1" customHeight="1" ht="15">
      <c r="A338" s="1645"/>
      <c r="B338" s="2407"/>
      <c r="C338" s="2408"/>
      <c r="D338" s="699" t="str">
        <f>B337&amp;".2"</f>
        <v>3.101.2</v>
      </c>
      <c r="E338" s="1677" t="s">
        <v>967</v>
      </c>
      <c r="F338" s="2273" t="s">
        <v>328</v>
      </c>
      <c r="G338" s="1748" t="s">
        <v>22</v>
      </c>
      <c r="H338" s="828" t="s">
        <v>22</v>
      </c>
      <c r="I338" s="1748">
        <v>46154</v>
      </c>
      <c r="J338" s="828" t="s">
        <v>22</v>
      </c>
      <c r="K338" s="1748" t="s">
        <v>22</v>
      </c>
      <c r="L338" s="828" t="s">
        <v>22</v>
      </c>
      <c r="M338" s="1748" t="s">
        <v>22</v>
      </c>
      <c r="N338" s="828" t="s">
        <v>22</v>
      </c>
      <c r="O338" s="1748" t="s">
        <v>22</v>
      </c>
      <c r="P338" s="828" t="s">
        <v>22</v>
      </c>
      <c r="Q338" s="1535" t="s">
        <v>968</v>
      </c>
      <c r="R338" s="1645"/>
      <c r="S338" s="1645"/>
      <c r="T338" s="1645"/>
      <c r="U338" s="1645"/>
      <c r="V338" s="1645"/>
      <c r="W338" s="1645"/>
      <c r="X338" s="1645"/>
      <c r="Y338" s="1645"/>
      <c r="Z338" s="1645"/>
      <c r="AA338" s="685"/>
      <c r="AB338" s="1645">
        <v>0</v>
      </c>
    </row>
    <row s="1860" customFormat="1" customHeight="1" ht="15">
      <c r="A339" s="1645"/>
      <c r="B339" s="2407"/>
      <c r="C339" s="2408"/>
      <c r="D339" s="699" t="str">
        <f>B337&amp;".3"</f>
        <v>3.101.3</v>
      </c>
      <c r="E339" s="1677" t="s">
        <v>969</v>
      </c>
      <c r="F339" s="2273" t="s">
        <v>328</v>
      </c>
      <c r="G339" s="1748" t="s">
        <v>22</v>
      </c>
      <c r="H339" s="828" t="s">
        <v>22</v>
      </c>
      <c r="I339" s="1748" t="s">
        <v>22</v>
      </c>
      <c r="J339" s="828" t="s">
        <v>22</v>
      </c>
      <c r="K339" s="1748" t="s">
        <v>22</v>
      </c>
      <c r="L339" s="828" t="s">
        <v>22</v>
      </c>
      <c r="M339" s="1748" t="s">
        <v>22</v>
      </c>
      <c r="N339" s="828" t="s">
        <v>22</v>
      </c>
      <c r="O339" s="1748" t="s">
        <v>22</v>
      </c>
      <c r="P339" s="828" t="s">
        <v>22</v>
      </c>
      <c r="Q339" s="1535" t="s">
        <v>970</v>
      </c>
      <c r="R339" s="1645"/>
      <c r="S339" s="1645"/>
      <c r="T339" s="1645"/>
      <c r="U339" s="1645"/>
      <c r="V339" s="1645"/>
      <c r="W339" s="1645"/>
      <c r="X339" s="1645"/>
      <c r="Y339" s="1645"/>
      <c r="Z339" s="1645"/>
      <c r="AA339" s="685"/>
      <c r="AB339" s="1645">
        <v>0</v>
      </c>
    </row>
    <row s="1860" customFormat="1" customHeight="1" ht="22.5">
      <c r="A340" s="1645"/>
      <c r="B340" s="2407" t="s">
        <v>1091</v>
      </c>
      <c r="C340" s="2408" t="s">
        <v>105</v>
      </c>
      <c r="D340" s="699" t="str">
        <f>B340&amp;".1"</f>
        <v>3.102.1</v>
      </c>
      <c r="E340" s="1677" t="s">
        <v>966</v>
      </c>
      <c r="F340" s="2273" t="s">
        <v>328</v>
      </c>
      <c r="G340" s="2363" t="s">
        <v>22</v>
      </c>
      <c r="H340" s="828" t="s">
        <v>22</v>
      </c>
      <c r="I340" s="2363" t="s">
        <v>983</v>
      </c>
      <c r="J340" s="828" t="s">
        <v>22</v>
      </c>
      <c r="K340" s="2363" t="s">
        <v>22</v>
      </c>
      <c r="L340" s="828" t="s">
        <v>22</v>
      </c>
      <c r="M340" s="2363" t="s">
        <v>22</v>
      </c>
      <c r="N340" s="828" t="s">
        <v>22</v>
      </c>
      <c r="O340" s="2363" t="s">
        <v>22</v>
      </c>
      <c r="P340" s="828" t="s">
        <v>22</v>
      </c>
      <c r="Q340" s="1535"/>
      <c r="R340" s="1645"/>
      <c r="S340" s="1645"/>
      <c r="T340" s="1645"/>
      <c r="U340" s="1645"/>
      <c r="V340" s="1645"/>
      <c r="W340" s="1645"/>
      <c r="X340" s="1645"/>
      <c r="Y340" s="1645"/>
      <c r="Z340" s="1645"/>
      <c r="AA340" s="685"/>
      <c r="AB340" s="1645">
        <v>0</v>
      </c>
    </row>
    <row s="1860" customFormat="1" customHeight="1" ht="15">
      <c r="A341" s="1645"/>
      <c r="B341" s="2407"/>
      <c r="C341" s="2408"/>
      <c r="D341" s="699" t="str">
        <f>B340&amp;".2"</f>
        <v>3.102.2</v>
      </c>
      <c r="E341" s="1677" t="s">
        <v>967</v>
      </c>
      <c r="F341" s="2273" t="s">
        <v>328</v>
      </c>
      <c r="G341" s="1748" t="s">
        <v>22</v>
      </c>
      <c r="H341" s="828" t="s">
        <v>22</v>
      </c>
      <c r="I341" s="1748">
        <v>46154</v>
      </c>
      <c r="J341" s="828" t="s">
        <v>22</v>
      </c>
      <c r="K341" s="1748" t="s">
        <v>22</v>
      </c>
      <c r="L341" s="828" t="s">
        <v>22</v>
      </c>
      <c r="M341" s="1748" t="s">
        <v>22</v>
      </c>
      <c r="N341" s="828" t="s">
        <v>22</v>
      </c>
      <c r="O341" s="1748" t="s">
        <v>22</v>
      </c>
      <c r="P341" s="828" t="s">
        <v>22</v>
      </c>
      <c r="Q341" s="1535" t="s">
        <v>968</v>
      </c>
      <c r="R341" s="1645"/>
      <c r="S341" s="1645"/>
      <c r="T341" s="1645"/>
      <c r="U341" s="1645"/>
      <c r="V341" s="1645"/>
      <c r="W341" s="1645"/>
      <c r="X341" s="1645"/>
      <c r="Y341" s="1645"/>
      <c r="Z341" s="1645"/>
      <c r="AA341" s="685"/>
      <c r="AB341" s="1645">
        <v>0</v>
      </c>
    </row>
    <row s="1860" customFormat="1" customHeight="1" ht="15">
      <c r="A342" s="1645"/>
      <c r="B342" s="2407"/>
      <c r="C342" s="2408"/>
      <c r="D342" s="699" t="str">
        <f>B340&amp;".3"</f>
        <v>3.102.3</v>
      </c>
      <c r="E342" s="1677" t="s">
        <v>969</v>
      </c>
      <c r="F342" s="2273" t="s">
        <v>328</v>
      </c>
      <c r="G342" s="1748" t="s">
        <v>22</v>
      </c>
      <c r="H342" s="828" t="s">
        <v>22</v>
      </c>
      <c r="I342" s="1748" t="s">
        <v>22</v>
      </c>
      <c r="J342" s="828" t="s">
        <v>22</v>
      </c>
      <c r="K342" s="1748" t="s">
        <v>22</v>
      </c>
      <c r="L342" s="828" t="s">
        <v>22</v>
      </c>
      <c r="M342" s="1748" t="s">
        <v>22</v>
      </c>
      <c r="N342" s="828" t="s">
        <v>22</v>
      </c>
      <c r="O342" s="1748" t="s">
        <v>22</v>
      </c>
      <c r="P342" s="828" t="s">
        <v>22</v>
      </c>
      <c r="Q342" s="1535" t="s">
        <v>970</v>
      </c>
      <c r="R342" s="1645"/>
      <c r="S342" s="1645"/>
      <c r="T342" s="1645"/>
      <c r="U342" s="1645"/>
      <c r="V342" s="1645"/>
      <c r="W342" s="1645"/>
      <c r="X342" s="1645"/>
      <c r="Y342" s="1645"/>
      <c r="Z342" s="1645"/>
      <c r="AA342" s="685"/>
      <c r="AB342" s="1645">
        <v>0</v>
      </c>
    </row>
    <row s="1860" customFormat="1" customHeight="1" ht="22.5">
      <c r="A343" s="1645"/>
      <c r="B343" s="2407" t="s">
        <v>1092</v>
      </c>
      <c r="C343" s="2408" t="s">
        <v>105</v>
      </c>
      <c r="D343" s="699" t="str">
        <f>B343&amp;".1"</f>
        <v>3.103.1</v>
      </c>
      <c r="E343" s="1677" t="s">
        <v>966</v>
      </c>
      <c r="F343" s="2273" t="s">
        <v>328</v>
      </c>
      <c r="G343" s="2363" t="s">
        <v>22</v>
      </c>
      <c r="H343" s="828" t="s">
        <v>22</v>
      </c>
      <c r="I343" s="2363" t="s">
        <v>983</v>
      </c>
      <c r="J343" s="828" t="s">
        <v>22</v>
      </c>
      <c r="K343" s="2363" t="s">
        <v>22</v>
      </c>
      <c r="L343" s="828" t="s">
        <v>22</v>
      </c>
      <c r="M343" s="2363" t="s">
        <v>22</v>
      </c>
      <c r="N343" s="828" t="s">
        <v>22</v>
      </c>
      <c r="O343" s="2363" t="s">
        <v>22</v>
      </c>
      <c r="P343" s="828" t="s">
        <v>22</v>
      </c>
      <c r="Q343" s="1535"/>
      <c r="R343" s="1645"/>
      <c r="S343" s="1645"/>
      <c r="T343" s="1645"/>
      <c r="U343" s="1645"/>
      <c r="V343" s="1645"/>
      <c r="W343" s="1645"/>
      <c r="X343" s="1645"/>
      <c r="Y343" s="1645"/>
      <c r="Z343" s="1645"/>
      <c r="AA343" s="685"/>
      <c r="AB343" s="1645">
        <v>0</v>
      </c>
    </row>
    <row s="1860" customFormat="1" customHeight="1" ht="15">
      <c r="A344" s="1645"/>
      <c r="B344" s="2407"/>
      <c r="C344" s="2408"/>
      <c r="D344" s="699" t="str">
        <f>B343&amp;".2"</f>
        <v>3.103.2</v>
      </c>
      <c r="E344" s="1677" t="s">
        <v>967</v>
      </c>
      <c r="F344" s="2273" t="s">
        <v>328</v>
      </c>
      <c r="G344" s="1748" t="s">
        <v>22</v>
      </c>
      <c r="H344" s="828" t="s">
        <v>22</v>
      </c>
      <c r="I344" s="1748">
        <v>46154</v>
      </c>
      <c r="J344" s="828" t="s">
        <v>22</v>
      </c>
      <c r="K344" s="1748" t="s">
        <v>22</v>
      </c>
      <c r="L344" s="828" t="s">
        <v>22</v>
      </c>
      <c r="M344" s="1748" t="s">
        <v>22</v>
      </c>
      <c r="N344" s="828" t="s">
        <v>22</v>
      </c>
      <c r="O344" s="1748" t="s">
        <v>22</v>
      </c>
      <c r="P344" s="828" t="s">
        <v>22</v>
      </c>
      <c r="Q344" s="1535" t="s">
        <v>968</v>
      </c>
      <c r="R344" s="1645"/>
      <c r="S344" s="1645"/>
      <c r="T344" s="1645"/>
      <c r="U344" s="1645"/>
      <c r="V344" s="1645"/>
      <c r="W344" s="1645"/>
      <c r="X344" s="1645"/>
      <c r="Y344" s="1645"/>
      <c r="Z344" s="1645"/>
      <c r="AA344" s="685"/>
      <c r="AB344" s="1645">
        <v>0</v>
      </c>
    </row>
    <row s="1860" customFormat="1" customHeight="1" ht="15">
      <c r="A345" s="1645"/>
      <c r="B345" s="2407"/>
      <c r="C345" s="2408"/>
      <c r="D345" s="699" t="str">
        <f>B343&amp;".3"</f>
        <v>3.103.3</v>
      </c>
      <c r="E345" s="1677" t="s">
        <v>969</v>
      </c>
      <c r="F345" s="2273" t="s">
        <v>328</v>
      </c>
      <c r="G345" s="1748" t="s">
        <v>22</v>
      </c>
      <c r="H345" s="828" t="s">
        <v>22</v>
      </c>
      <c r="I345" s="1748" t="s">
        <v>22</v>
      </c>
      <c r="J345" s="828" t="s">
        <v>22</v>
      </c>
      <c r="K345" s="1748" t="s">
        <v>22</v>
      </c>
      <c r="L345" s="828" t="s">
        <v>22</v>
      </c>
      <c r="M345" s="1748" t="s">
        <v>22</v>
      </c>
      <c r="N345" s="828" t="s">
        <v>22</v>
      </c>
      <c r="O345" s="1748" t="s">
        <v>22</v>
      </c>
      <c r="P345" s="828" t="s">
        <v>22</v>
      </c>
      <c r="Q345" s="1535" t="s">
        <v>970</v>
      </c>
      <c r="R345" s="1645"/>
      <c r="S345" s="1645"/>
      <c r="T345" s="1645"/>
      <c r="U345" s="1645"/>
      <c r="V345" s="1645"/>
      <c r="W345" s="1645"/>
      <c r="X345" s="1645"/>
      <c r="Y345" s="1645"/>
      <c r="Z345" s="1645"/>
      <c r="AA345" s="685"/>
      <c r="AB345" s="1645">
        <v>0</v>
      </c>
    </row>
    <row s="1860" customFormat="1" customHeight="1" ht="22.5">
      <c r="A346" s="1645"/>
      <c r="B346" s="2407" t="s">
        <v>1093</v>
      </c>
      <c r="C346" s="2408" t="s">
        <v>105</v>
      </c>
      <c r="D346" s="699" t="str">
        <f>B346&amp;".1"</f>
        <v>3.104.1</v>
      </c>
      <c r="E346" s="1677" t="s">
        <v>966</v>
      </c>
      <c r="F346" s="2273" t="s">
        <v>328</v>
      </c>
      <c r="G346" s="2363" t="s">
        <v>22</v>
      </c>
      <c r="H346" s="828" t="s">
        <v>22</v>
      </c>
      <c r="I346" s="2363" t="s">
        <v>983</v>
      </c>
      <c r="J346" s="828" t="s">
        <v>22</v>
      </c>
      <c r="K346" s="2363" t="s">
        <v>22</v>
      </c>
      <c r="L346" s="828" t="s">
        <v>22</v>
      </c>
      <c r="M346" s="2363" t="s">
        <v>22</v>
      </c>
      <c r="N346" s="828" t="s">
        <v>22</v>
      </c>
      <c r="O346" s="2363" t="s">
        <v>22</v>
      </c>
      <c r="P346" s="828" t="s">
        <v>22</v>
      </c>
      <c r="Q346" s="1535"/>
      <c r="R346" s="1645"/>
      <c r="S346" s="1645"/>
      <c r="T346" s="1645"/>
      <c r="U346" s="1645"/>
      <c r="V346" s="1645"/>
      <c r="W346" s="1645"/>
      <c r="X346" s="1645"/>
      <c r="Y346" s="1645"/>
      <c r="Z346" s="1645"/>
      <c r="AA346" s="685"/>
      <c r="AB346" s="1645">
        <v>0</v>
      </c>
    </row>
    <row s="1860" customFormat="1" customHeight="1" ht="15">
      <c r="A347" s="1645"/>
      <c r="B347" s="2407"/>
      <c r="C347" s="2408"/>
      <c r="D347" s="699" t="str">
        <f>B346&amp;".2"</f>
        <v>3.104.2</v>
      </c>
      <c r="E347" s="1677" t="s">
        <v>967</v>
      </c>
      <c r="F347" s="2273" t="s">
        <v>328</v>
      </c>
      <c r="G347" s="1748" t="s">
        <v>22</v>
      </c>
      <c r="H347" s="828" t="s">
        <v>22</v>
      </c>
      <c r="I347" s="1748">
        <v>46154</v>
      </c>
      <c r="J347" s="828" t="s">
        <v>22</v>
      </c>
      <c r="K347" s="1748" t="s">
        <v>22</v>
      </c>
      <c r="L347" s="828" t="s">
        <v>22</v>
      </c>
      <c r="M347" s="1748" t="s">
        <v>22</v>
      </c>
      <c r="N347" s="828" t="s">
        <v>22</v>
      </c>
      <c r="O347" s="1748" t="s">
        <v>22</v>
      </c>
      <c r="P347" s="828" t="s">
        <v>22</v>
      </c>
      <c r="Q347" s="1535" t="s">
        <v>968</v>
      </c>
      <c r="R347" s="1645"/>
      <c r="S347" s="1645"/>
      <c r="T347" s="1645"/>
      <c r="U347" s="1645"/>
      <c r="V347" s="1645"/>
      <c r="W347" s="1645"/>
      <c r="X347" s="1645"/>
      <c r="Y347" s="1645"/>
      <c r="Z347" s="1645"/>
      <c r="AA347" s="685"/>
      <c r="AB347" s="1645">
        <v>0</v>
      </c>
    </row>
    <row s="1860" customFormat="1" customHeight="1" ht="15">
      <c r="A348" s="1645"/>
      <c r="B348" s="2407"/>
      <c r="C348" s="2408"/>
      <c r="D348" s="699" t="str">
        <f>B346&amp;".3"</f>
        <v>3.104.3</v>
      </c>
      <c r="E348" s="1677" t="s">
        <v>969</v>
      </c>
      <c r="F348" s="2273" t="s">
        <v>328</v>
      </c>
      <c r="G348" s="1748" t="s">
        <v>22</v>
      </c>
      <c r="H348" s="828" t="s">
        <v>22</v>
      </c>
      <c r="I348" s="1748" t="s">
        <v>22</v>
      </c>
      <c r="J348" s="828" t="s">
        <v>22</v>
      </c>
      <c r="K348" s="1748" t="s">
        <v>22</v>
      </c>
      <c r="L348" s="828" t="s">
        <v>22</v>
      </c>
      <c r="M348" s="1748" t="s">
        <v>22</v>
      </c>
      <c r="N348" s="828" t="s">
        <v>22</v>
      </c>
      <c r="O348" s="1748" t="s">
        <v>22</v>
      </c>
      <c r="P348" s="828" t="s">
        <v>22</v>
      </c>
      <c r="Q348" s="1535" t="s">
        <v>970</v>
      </c>
      <c r="R348" s="1645"/>
      <c r="S348" s="1645"/>
      <c r="T348" s="1645"/>
      <c r="U348" s="1645"/>
      <c r="V348" s="1645"/>
      <c r="W348" s="1645"/>
      <c r="X348" s="1645"/>
      <c r="Y348" s="1645"/>
      <c r="Z348" s="1645"/>
      <c r="AA348" s="685"/>
      <c r="AB348" s="1645">
        <v>0</v>
      </c>
    </row>
    <row s="1860" customFormat="1" customHeight="1" ht="22.5">
      <c r="A349" s="1645"/>
      <c r="B349" s="2407" t="s">
        <v>1094</v>
      </c>
      <c r="C349" s="2408" t="s">
        <v>105</v>
      </c>
      <c r="D349" s="699" t="str">
        <f>B349&amp;".1"</f>
        <v>3.105.1</v>
      </c>
      <c r="E349" s="1677" t="s">
        <v>966</v>
      </c>
      <c r="F349" s="2273" t="s">
        <v>328</v>
      </c>
      <c r="G349" s="2363" t="s">
        <v>22</v>
      </c>
      <c r="H349" s="828" t="s">
        <v>22</v>
      </c>
      <c r="I349" s="2363" t="s">
        <v>983</v>
      </c>
      <c r="J349" s="828" t="s">
        <v>22</v>
      </c>
      <c r="K349" s="2363" t="s">
        <v>22</v>
      </c>
      <c r="L349" s="828" t="s">
        <v>22</v>
      </c>
      <c r="M349" s="2363" t="s">
        <v>22</v>
      </c>
      <c r="N349" s="828" t="s">
        <v>22</v>
      </c>
      <c r="O349" s="2363" t="s">
        <v>22</v>
      </c>
      <c r="P349" s="828" t="s">
        <v>22</v>
      </c>
      <c r="Q349" s="1535"/>
      <c r="R349" s="1645"/>
      <c r="S349" s="1645"/>
      <c r="T349" s="1645"/>
      <c r="U349" s="1645"/>
      <c r="V349" s="1645"/>
      <c r="W349" s="1645"/>
      <c r="X349" s="1645"/>
      <c r="Y349" s="1645"/>
      <c r="Z349" s="1645"/>
      <c r="AA349" s="685"/>
      <c r="AB349" s="1645">
        <v>0</v>
      </c>
    </row>
    <row s="1860" customFormat="1" customHeight="1" ht="15">
      <c r="A350" s="1645"/>
      <c r="B350" s="2407"/>
      <c r="C350" s="2408"/>
      <c r="D350" s="699" t="str">
        <f>B349&amp;".2"</f>
        <v>3.105.2</v>
      </c>
      <c r="E350" s="1677" t="s">
        <v>967</v>
      </c>
      <c r="F350" s="2273" t="s">
        <v>328</v>
      </c>
      <c r="G350" s="1748" t="s">
        <v>22</v>
      </c>
      <c r="H350" s="828" t="s">
        <v>22</v>
      </c>
      <c r="I350" s="1748">
        <v>46154</v>
      </c>
      <c r="J350" s="828" t="s">
        <v>22</v>
      </c>
      <c r="K350" s="1748" t="s">
        <v>22</v>
      </c>
      <c r="L350" s="828" t="s">
        <v>22</v>
      </c>
      <c r="M350" s="1748" t="s">
        <v>22</v>
      </c>
      <c r="N350" s="828" t="s">
        <v>22</v>
      </c>
      <c r="O350" s="1748" t="s">
        <v>22</v>
      </c>
      <c r="P350" s="828" t="s">
        <v>22</v>
      </c>
      <c r="Q350" s="1535" t="s">
        <v>968</v>
      </c>
      <c r="R350" s="1645"/>
      <c r="S350" s="1645"/>
      <c r="T350" s="1645"/>
      <c r="U350" s="1645"/>
      <c r="V350" s="1645"/>
      <c r="W350" s="1645"/>
      <c r="X350" s="1645"/>
      <c r="Y350" s="1645"/>
      <c r="Z350" s="1645"/>
      <c r="AA350" s="685"/>
      <c r="AB350" s="1645">
        <v>0</v>
      </c>
    </row>
    <row s="1860" customFormat="1" customHeight="1" ht="15">
      <c r="A351" s="1645"/>
      <c r="B351" s="2407"/>
      <c r="C351" s="2408"/>
      <c r="D351" s="699" t="str">
        <f>B349&amp;".3"</f>
        <v>3.105.3</v>
      </c>
      <c r="E351" s="1677" t="s">
        <v>969</v>
      </c>
      <c r="F351" s="2273" t="s">
        <v>328</v>
      </c>
      <c r="G351" s="1748" t="s">
        <v>22</v>
      </c>
      <c r="H351" s="828" t="s">
        <v>22</v>
      </c>
      <c r="I351" s="1748" t="s">
        <v>22</v>
      </c>
      <c r="J351" s="828" t="s">
        <v>22</v>
      </c>
      <c r="K351" s="1748" t="s">
        <v>22</v>
      </c>
      <c r="L351" s="828" t="s">
        <v>22</v>
      </c>
      <c r="M351" s="1748" t="s">
        <v>22</v>
      </c>
      <c r="N351" s="828" t="s">
        <v>22</v>
      </c>
      <c r="O351" s="1748" t="s">
        <v>22</v>
      </c>
      <c r="P351" s="828" t="s">
        <v>22</v>
      </c>
      <c r="Q351" s="1535" t="s">
        <v>970</v>
      </c>
      <c r="R351" s="1645"/>
      <c r="S351" s="1645"/>
      <c r="T351" s="1645"/>
      <c r="U351" s="1645"/>
      <c r="V351" s="1645"/>
      <c r="W351" s="1645"/>
      <c r="X351" s="1645"/>
      <c r="Y351" s="1645"/>
      <c r="Z351" s="1645"/>
      <c r="AA351" s="685"/>
      <c r="AB351" s="1645">
        <v>0</v>
      </c>
    </row>
    <row s="1860" customFormat="1" customHeight="1" ht="22.5">
      <c r="A352" s="1645"/>
      <c r="B352" s="2407" t="s">
        <v>1095</v>
      </c>
      <c r="C352" s="2408" t="s">
        <v>105</v>
      </c>
      <c r="D352" s="699" t="str">
        <f>B352&amp;".1"</f>
        <v>3.106.1</v>
      </c>
      <c r="E352" s="1677" t="s">
        <v>966</v>
      </c>
      <c r="F352" s="2273" t="s">
        <v>328</v>
      </c>
      <c r="G352" s="2363" t="s">
        <v>22</v>
      </c>
      <c r="H352" s="828" t="s">
        <v>22</v>
      </c>
      <c r="I352" s="2363" t="s">
        <v>983</v>
      </c>
      <c r="J352" s="828" t="s">
        <v>22</v>
      </c>
      <c r="K352" s="2363" t="s">
        <v>22</v>
      </c>
      <c r="L352" s="828" t="s">
        <v>22</v>
      </c>
      <c r="M352" s="2363" t="s">
        <v>22</v>
      </c>
      <c r="N352" s="828" t="s">
        <v>22</v>
      </c>
      <c r="O352" s="2363" t="s">
        <v>22</v>
      </c>
      <c r="P352" s="828" t="s">
        <v>22</v>
      </c>
      <c r="Q352" s="1535"/>
      <c r="R352" s="1645"/>
      <c r="S352" s="1645"/>
      <c r="T352" s="1645"/>
      <c r="U352" s="1645"/>
      <c r="V352" s="1645"/>
      <c r="W352" s="1645"/>
      <c r="X352" s="1645"/>
      <c r="Y352" s="1645"/>
      <c r="Z352" s="1645"/>
      <c r="AA352" s="685"/>
      <c r="AB352" s="1645">
        <v>0</v>
      </c>
    </row>
    <row s="1860" customFormat="1" customHeight="1" ht="15">
      <c r="A353" s="1645"/>
      <c r="B353" s="2407"/>
      <c r="C353" s="2408"/>
      <c r="D353" s="699" t="str">
        <f>B352&amp;".2"</f>
        <v>3.106.2</v>
      </c>
      <c r="E353" s="1677" t="s">
        <v>967</v>
      </c>
      <c r="F353" s="2273" t="s">
        <v>328</v>
      </c>
      <c r="G353" s="1748" t="s">
        <v>22</v>
      </c>
      <c r="H353" s="828" t="s">
        <v>22</v>
      </c>
      <c r="I353" s="1748">
        <v>46154</v>
      </c>
      <c r="J353" s="828" t="s">
        <v>22</v>
      </c>
      <c r="K353" s="1748" t="s">
        <v>22</v>
      </c>
      <c r="L353" s="828" t="s">
        <v>22</v>
      </c>
      <c r="M353" s="1748" t="s">
        <v>22</v>
      </c>
      <c r="N353" s="828" t="s">
        <v>22</v>
      </c>
      <c r="O353" s="1748" t="s">
        <v>22</v>
      </c>
      <c r="P353" s="828" t="s">
        <v>22</v>
      </c>
      <c r="Q353" s="1535" t="s">
        <v>968</v>
      </c>
      <c r="R353" s="1645"/>
      <c r="S353" s="1645"/>
      <c r="T353" s="1645"/>
      <c r="U353" s="1645"/>
      <c r="V353" s="1645"/>
      <c r="W353" s="1645"/>
      <c r="X353" s="1645"/>
      <c r="Y353" s="1645"/>
      <c r="Z353" s="1645"/>
      <c r="AA353" s="685"/>
      <c r="AB353" s="1645">
        <v>0</v>
      </c>
    </row>
    <row s="1860" customFormat="1" customHeight="1" ht="15">
      <c r="A354" s="1645"/>
      <c r="B354" s="2407"/>
      <c r="C354" s="2408"/>
      <c r="D354" s="699" t="str">
        <f>B352&amp;".3"</f>
        <v>3.106.3</v>
      </c>
      <c r="E354" s="1677" t="s">
        <v>969</v>
      </c>
      <c r="F354" s="2273" t="s">
        <v>328</v>
      </c>
      <c r="G354" s="1748" t="s">
        <v>22</v>
      </c>
      <c r="H354" s="828" t="s">
        <v>22</v>
      </c>
      <c r="I354" s="1748" t="s">
        <v>22</v>
      </c>
      <c r="J354" s="828" t="s">
        <v>22</v>
      </c>
      <c r="K354" s="1748" t="s">
        <v>22</v>
      </c>
      <c r="L354" s="828" t="s">
        <v>22</v>
      </c>
      <c r="M354" s="1748" t="s">
        <v>22</v>
      </c>
      <c r="N354" s="828" t="s">
        <v>22</v>
      </c>
      <c r="O354" s="1748" t="s">
        <v>22</v>
      </c>
      <c r="P354" s="828" t="s">
        <v>22</v>
      </c>
      <c r="Q354" s="1535" t="s">
        <v>970</v>
      </c>
      <c r="R354" s="1645"/>
      <c r="S354" s="1645"/>
      <c r="T354" s="1645"/>
      <c r="U354" s="1645"/>
      <c r="V354" s="1645"/>
      <c r="W354" s="1645"/>
      <c r="X354" s="1645"/>
      <c r="Y354" s="1645"/>
      <c r="Z354" s="1645"/>
      <c r="AA354" s="685"/>
      <c r="AB354" s="1645">
        <v>0</v>
      </c>
    </row>
    <row s="1860" customFormat="1" customHeight="1" ht="22.5">
      <c r="A355" s="1645"/>
      <c r="B355" s="2407" t="s">
        <v>1096</v>
      </c>
      <c r="C355" s="2408" t="s">
        <v>105</v>
      </c>
      <c r="D355" s="699" t="str">
        <f>B355&amp;".1"</f>
        <v>3.107.1</v>
      </c>
      <c r="E355" s="1677" t="s">
        <v>966</v>
      </c>
      <c r="F355" s="2273" t="s">
        <v>328</v>
      </c>
      <c r="G355" s="2363" t="s">
        <v>22</v>
      </c>
      <c r="H355" s="828" t="s">
        <v>22</v>
      </c>
      <c r="I355" s="2363" t="s">
        <v>983</v>
      </c>
      <c r="J355" s="828" t="s">
        <v>22</v>
      </c>
      <c r="K355" s="2363" t="s">
        <v>22</v>
      </c>
      <c r="L355" s="828" t="s">
        <v>22</v>
      </c>
      <c r="M355" s="2363" t="s">
        <v>22</v>
      </c>
      <c r="N355" s="828" t="s">
        <v>22</v>
      </c>
      <c r="O355" s="2363" t="s">
        <v>22</v>
      </c>
      <c r="P355" s="828" t="s">
        <v>22</v>
      </c>
      <c r="Q355" s="1535"/>
      <c r="R355" s="1645"/>
      <c r="S355" s="1645"/>
      <c r="T355" s="1645"/>
      <c r="U355" s="1645"/>
      <c r="V355" s="1645"/>
      <c r="W355" s="1645"/>
      <c r="X355" s="1645"/>
      <c r="Y355" s="1645"/>
      <c r="Z355" s="1645"/>
      <c r="AA355" s="685"/>
      <c r="AB355" s="1645">
        <v>0</v>
      </c>
    </row>
    <row s="1860" customFormat="1" customHeight="1" ht="15">
      <c r="A356" s="1645"/>
      <c r="B356" s="2407"/>
      <c r="C356" s="2408"/>
      <c r="D356" s="699" t="str">
        <f>B355&amp;".2"</f>
        <v>3.107.2</v>
      </c>
      <c r="E356" s="1677" t="s">
        <v>967</v>
      </c>
      <c r="F356" s="2273" t="s">
        <v>328</v>
      </c>
      <c r="G356" s="1748" t="s">
        <v>22</v>
      </c>
      <c r="H356" s="828" t="s">
        <v>22</v>
      </c>
      <c r="I356" s="1748">
        <v>46154</v>
      </c>
      <c r="J356" s="828" t="s">
        <v>22</v>
      </c>
      <c r="K356" s="1748" t="s">
        <v>22</v>
      </c>
      <c r="L356" s="828" t="s">
        <v>22</v>
      </c>
      <c r="M356" s="1748" t="s">
        <v>22</v>
      </c>
      <c r="N356" s="828" t="s">
        <v>22</v>
      </c>
      <c r="O356" s="1748" t="s">
        <v>22</v>
      </c>
      <c r="P356" s="828" t="s">
        <v>22</v>
      </c>
      <c r="Q356" s="1535" t="s">
        <v>968</v>
      </c>
      <c r="R356" s="1645"/>
      <c r="S356" s="1645"/>
      <c r="T356" s="1645"/>
      <c r="U356" s="1645"/>
      <c r="V356" s="1645"/>
      <c r="W356" s="1645"/>
      <c r="X356" s="1645"/>
      <c r="Y356" s="1645"/>
      <c r="Z356" s="1645"/>
      <c r="AA356" s="685"/>
      <c r="AB356" s="1645">
        <v>0</v>
      </c>
    </row>
    <row s="1860" customFormat="1" customHeight="1" ht="15">
      <c r="A357" s="1645"/>
      <c r="B357" s="2407"/>
      <c r="C357" s="2408"/>
      <c r="D357" s="699" t="str">
        <f>B355&amp;".3"</f>
        <v>3.107.3</v>
      </c>
      <c r="E357" s="1677" t="s">
        <v>969</v>
      </c>
      <c r="F357" s="2273" t="s">
        <v>328</v>
      </c>
      <c r="G357" s="1748" t="s">
        <v>22</v>
      </c>
      <c r="H357" s="828" t="s">
        <v>22</v>
      </c>
      <c r="I357" s="1748" t="s">
        <v>22</v>
      </c>
      <c r="J357" s="828" t="s">
        <v>22</v>
      </c>
      <c r="K357" s="1748" t="s">
        <v>22</v>
      </c>
      <c r="L357" s="828" t="s">
        <v>22</v>
      </c>
      <c r="M357" s="1748" t="s">
        <v>22</v>
      </c>
      <c r="N357" s="828" t="s">
        <v>22</v>
      </c>
      <c r="O357" s="1748" t="s">
        <v>22</v>
      </c>
      <c r="P357" s="828" t="s">
        <v>22</v>
      </c>
      <c r="Q357" s="1535" t="s">
        <v>970</v>
      </c>
      <c r="R357" s="1645"/>
      <c r="S357" s="1645"/>
      <c r="T357" s="1645"/>
      <c r="U357" s="1645"/>
      <c r="V357" s="1645"/>
      <c r="W357" s="1645"/>
      <c r="X357" s="1645"/>
      <c r="Y357" s="1645"/>
      <c r="Z357" s="1645"/>
      <c r="AA357" s="685"/>
      <c r="AB357" s="1645">
        <v>0</v>
      </c>
    </row>
    <row s="1860" customFormat="1" customHeight="1" ht="22.5">
      <c r="A358" s="1645"/>
      <c r="B358" s="2407" t="s">
        <v>1097</v>
      </c>
      <c r="C358" s="2408" t="s">
        <v>105</v>
      </c>
      <c r="D358" s="699" t="str">
        <f>B358&amp;".1"</f>
        <v>3.108.1</v>
      </c>
      <c r="E358" s="1677" t="s">
        <v>966</v>
      </c>
      <c r="F358" s="2273" t="s">
        <v>328</v>
      </c>
      <c r="G358" s="2363" t="s">
        <v>22</v>
      </c>
      <c r="H358" s="828" t="s">
        <v>22</v>
      </c>
      <c r="I358" s="2363" t="s">
        <v>983</v>
      </c>
      <c r="J358" s="828" t="s">
        <v>22</v>
      </c>
      <c r="K358" s="2363" t="s">
        <v>22</v>
      </c>
      <c r="L358" s="828" t="s">
        <v>22</v>
      </c>
      <c r="M358" s="2363" t="s">
        <v>22</v>
      </c>
      <c r="N358" s="828" t="s">
        <v>22</v>
      </c>
      <c r="O358" s="2363" t="s">
        <v>22</v>
      </c>
      <c r="P358" s="828" t="s">
        <v>22</v>
      </c>
      <c r="Q358" s="1535"/>
      <c r="R358" s="1645"/>
      <c r="S358" s="1645"/>
      <c r="T358" s="1645"/>
      <c r="U358" s="1645"/>
      <c r="V358" s="1645"/>
      <c r="W358" s="1645"/>
      <c r="X358" s="1645"/>
      <c r="Y358" s="1645"/>
      <c r="Z358" s="1645"/>
      <c r="AA358" s="685"/>
      <c r="AB358" s="1645">
        <v>0</v>
      </c>
    </row>
    <row s="1860" customFormat="1" customHeight="1" ht="15">
      <c r="A359" s="1645"/>
      <c r="B359" s="2407"/>
      <c r="C359" s="2408"/>
      <c r="D359" s="699" t="str">
        <f>B358&amp;".2"</f>
        <v>3.108.2</v>
      </c>
      <c r="E359" s="1677" t="s">
        <v>967</v>
      </c>
      <c r="F359" s="2273" t="s">
        <v>328</v>
      </c>
      <c r="G359" s="1748" t="s">
        <v>22</v>
      </c>
      <c r="H359" s="828" t="s">
        <v>22</v>
      </c>
      <c r="I359" s="1748">
        <v>46154</v>
      </c>
      <c r="J359" s="828" t="s">
        <v>22</v>
      </c>
      <c r="K359" s="1748" t="s">
        <v>22</v>
      </c>
      <c r="L359" s="828" t="s">
        <v>22</v>
      </c>
      <c r="M359" s="1748" t="s">
        <v>22</v>
      </c>
      <c r="N359" s="828" t="s">
        <v>22</v>
      </c>
      <c r="O359" s="1748" t="s">
        <v>22</v>
      </c>
      <c r="P359" s="828" t="s">
        <v>22</v>
      </c>
      <c r="Q359" s="1535" t="s">
        <v>968</v>
      </c>
      <c r="R359" s="1645"/>
      <c r="S359" s="1645"/>
      <c r="T359" s="1645"/>
      <c r="U359" s="1645"/>
      <c r="V359" s="1645"/>
      <c r="W359" s="1645"/>
      <c r="X359" s="1645"/>
      <c r="Y359" s="1645"/>
      <c r="Z359" s="1645"/>
      <c r="AA359" s="685"/>
      <c r="AB359" s="1645">
        <v>0</v>
      </c>
    </row>
    <row s="1860" customFormat="1" customHeight="1" ht="15">
      <c r="A360" s="1645"/>
      <c r="B360" s="2407"/>
      <c r="C360" s="2408"/>
      <c r="D360" s="699" t="str">
        <f>B358&amp;".3"</f>
        <v>3.108.3</v>
      </c>
      <c r="E360" s="1677" t="s">
        <v>969</v>
      </c>
      <c r="F360" s="2273" t="s">
        <v>328</v>
      </c>
      <c r="G360" s="1748" t="s">
        <v>22</v>
      </c>
      <c r="H360" s="828" t="s">
        <v>22</v>
      </c>
      <c r="I360" s="1748" t="s">
        <v>22</v>
      </c>
      <c r="J360" s="828" t="s">
        <v>22</v>
      </c>
      <c r="K360" s="1748" t="s">
        <v>22</v>
      </c>
      <c r="L360" s="828" t="s">
        <v>22</v>
      </c>
      <c r="M360" s="1748" t="s">
        <v>22</v>
      </c>
      <c r="N360" s="828" t="s">
        <v>22</v>
      </c>
      <c r="O360" s="1748" t="s">
        <v>22</v>
      </c>
      <c r="P360" s="828" t="s">
        <v>22</v>
      </c>
      <c r="Q360" s="1535" t="s">
        <v>970</v>
      </c>
      <c r="R360" s="1645"/>
      <c r="S360" s="1645"/>
      <c r="T360" s="1645"/>
      <c r="U360" s="1645"/>
      <c r="V360" s="1645"/>
      <c r="W360" s="1645"/>
      <c r="X360" s="1645"/>
      <c r="Y360" s="1645"/>
      <c r="Z360" s="1645"/>
      <c r="AA360" s="685"/>
      <c r="AB360" s="1645">
        <v>0</v>
      </c>
    </row>
    <row s="1860" customFormat="1" customHeight="1" ht="22.5">
      <c r="A361" s="1645"/>
      <c r="B361" s="2407" t="s">
        <v>1098</v>
      </c>
      <c r="C361" s="2408" t="s">
        <v>105</v>
      </c>
      <c r="D361" s="699" t="str">
        <f>B361&amp;".1"</f>
        <v>3.109.1</v>
      </c>
      <c r="E361" s="1677" t="s">
        <v>966</v>
      </c>
      <c r="F361" s="2273" t="s">
        <v>328</v>
      </c>
      <c r="G361" s="2363" t="s">
        <v>22</v>
      </c>
      <c r="H361" s="828" t="s">
        <v>22</v>
      </c>
      <c r="I361" s="2363" t="s">
        <v>983</v>
      </c>
      <c r="J361" s="828" t="s">
        <v>22</v>
      </c>
      <c r="K361" s="2363" t="s">
        <v>22</v>
      </c>
      <c r="L361" s="828" t="s">
        <v>22</v>
      </c>
      <c r="M361" s="2363" t="s">
        <v>22</v>
      </c>
      <c r="N361" s="828" t="s">
        <v>22</v>
      </c>
      <c r="O361" s="2363" t="s">
        <v>22</v>
      </c>
      <c r="P361" s="828" t="s">
        <v>22</v>
      </c>
      <c r="Q361" s="1535"/>
      <c r="R361" s="1645"/>
      <c r="S361" s="1645"/>
      <c r="T361" s="1645"/>
      <c r="U361" s="1645"/>
      <c r="V361" s="1645"/>
      <c r="W361" s="1645"/>
      <c r="X361" s="1645"/>
      <c r="Y361" s="1645"/>
      <c r="Z361" s="1645"/>
      <c r="AA361" s="685"/>
      <c r="AB361" s="1645">
        <v>0</v>
      </c>
    </row>
    <row s="1860" customFormat="1" customHeight="1" ht="15">
      <c r="A362" s="1645"/>
      <c r="B362" s="2407"/>
      <c r="C362" s="2408"/>
      <c r="D362" s="699" t="str">
        <f>B361&amp;".2"</f>
        <v>3.109.2</v>
      </c>
      <c r="E362" s="1677" t="s">
        <v>967</v>
      </c>
      <c r="F362" s="2273" t="s">
        <v>328</v>
      </c>
      <c r="G362" s="1748" t="s">
        <v>22</v>
      </c>
      <c r="H362" s="828" t="s">
        <v>22</v>
      </c>
      <c r="I362" s="1748">
        <v>46155</v>
      </c>
      <c r="J362" s="828" t="s">
        <v>22</v>
      </c>
      <c r="K362" s="1748" t="s">
        <v>22</v>
      </c>
      <c r="L362" s="828" t="s">
        <v>22</v>
      </c>
      <c r="M362" s="1748" t="s">
        <v>22</v>
      </c>
      <c r="N362" s="828" t="s">
        <v>22</v>
      </c>
      <c r="O362" s="1748" t="s">
        <v>22</v>
      </c>
      <c r="P362" s="828" t="s">
        <v>22</v>
      </c>
      <c r="Q362" s="1535" t="s">
        <v>968</v>
      </c>
      <c r="R362" s="1645"/>
      <c r="S362" s="1645"/>
      <c r="T362" s="1645"/>
      <c r="U362" s="1645"/>
      <c r="V362" s="1645"/>
      <c r="W362" s="1645"/>
      <c r="X362" s="1645"/>
      <c r="Y362" s="1645"/>
      <c r="Z362" s="1645"/>
      <c r="AA362" s="685"/>
      <c r="AB362" s="1645">
        <v>0</v>
      </c>
    </row>
    <row s="1860" customFormat="1" customHeight="1" ht="15">
      <c r="A363" s="1645"/>
      <c r="B363" s="2407"/>
      <c r="C363" s="2408"/>
      <c r="D363" s="699" t="str">
        <f>B361&amp;".3"</f>
        <v>3.109.3</v>
      </c>
      <c r="E363" s="1677" t="s">
        <v>969</v>
      </c>
      <c r="F363" s="2273" t="s">
        <v>328</v>
      </c>
      <c r="G363" s="1748" t="s">
        <v>22</v>
      </c>
      <c r="H363" s="828" t="s">
        <v>22</v>
      </c>
      <c r="I363" s="1748" t="s">
        <v>22</v>
      </c>
      <c r="J363" s="828" t="s">
        <v>22</v>
      </c>
      <c r="K363" s="1748" t="s">
        <v>22</v>
      </c>
      <c r="L363" s="828" t="s">
        <v>22</v>
      </c>
      <c r="M363" s="1748" t="s">
        <v>22</v>
      </c>
      <c r="N363" s="828" t="s">
        <v>22</v>
      </c>
      <c r="O363" s="1748" t="s">
        <v>22</v>
      </c>
      <c r="P363" s="828" t="s">
        <v>22</v>
      </c>
      <c r="Q363" s="1535" t="s">
        <v>970</v>
      </c>
      <c r="R363" s="1645"/>
      <c r="S363" s="1645"/>
      <c r="T363" s="1645"/>
      <c r="U363" s="1645"/>
      <c r="V363" s="1645"/>
      <c r="W363" s="1645"/>
      <c r="X363" s="1645"/>
      <c r="Y363" s="1645"/>
      <c r="Z363" s="1645"/>
      <c r="AA363" s="685"/>
      <c r="AB363" s="1645">
        <v>0</v>
      </c>
    </row>
    <row s="1860" customFormat="1" customHeight="1" ht="22.5">
      <c r="A364" s="1645"/>
      <c r="B364" s="2407" t="s">
        <v>1099</v>
      </c>
      <c r="C364" s="2408" t="s">
        <v>105</v>
      </c>
      <c r="D364" s="699" t="str">
        <f>B364&amp;".1"</f>
        <v>3.110.1</v>
      </c>
      <c r="E364" s="1677" t="s">
        <v>966</v>
      </c>
      <c r="F364" s="2273" t="s">
        <v>328</v>
      </c>
      <c r="G364" s="2363" t="s">
        <v>22</v>
      </c>
      <c r="H364" s="828" t="s">
        <v>22</v>
      </c>
      <c r="I364" s="2363" t="s">
        <v>1100</v>
      </c>
      <c r="J364" s="828" t="s">
        <v>22</v>
      </c>
      <c r="K364" s="2363" t="s">
        <v>22</v>
      </c>
      <c r="L364" s="828" t="s">
        <v>22</v>
      </c>
      <c r="M364" s="2363" t="s">
        <v>22</v>
      </c>
      <c r="N364" s="828" t="s">
        <v>22</v>
      </c>
      <c r="O364" s="2363" t="s">
        <v>22</v>
      </c>
      <c r="P364" s="828" t="s">
        <v>22</v>
      </c>
      <c r="Q364" s="1535"/>
      <c r="R364" s="1645"/>
      <c r="S364" s="1645"/>
      <c r="T364" s="1645"/>
      <c r="U364" s="1645"/>
      <c r="V364" s="1645"/>
      <c r="W364" s="1645"/>
      <c r="X364" s="1645"/>
      <c r="Y364" s="1645"/>
      <c r="Z364" s="1645"/>
      <c r="AA364" s="685"/>
      <c r="AB364" s="1645">
        <v>0</v>
      </c>
    </row>
    <row s="1860" customFormat="1" customHeight="1" ht="15">
      <c r="A365" s="1645"/>
      <c r="B365" s="2407"/>
      <c r="C365" s="2408"/>
      <c r="D365" s="699" t="str">
        <f>B364&amp;".2"</f>
        <v>3.110.2</v>
      </c>
      <c r="E365" s="1677" t="s">
        <v>967</v>
      </c>
      <c r="F365" s="2273" t="s">
        <v>328</v>
      </c>
      <c r="G365" s="1748" t="s">
        <v>22</v>
      </c>
      <c r="H365" s="828" t="s">
        <v>22</v>
      </c>
      <c r="I365" s="1748">
        <v>46155</v>
      </c>
      <c r="J365" s="828" t="s">
        <v>22</v>
      </c>
      <c r="K365" s="1748" t="s">
        <v>22</v>
      </c>
      <c r="L365" s="828" t="s">
        <v>22</v>
      </c>
      <c r="M365" s="1748" t="s">
        <v>22</v>
      </c>
      <c r="N365" s="828" t="s">
        <v>22</v>
      </c>
      <c r="O365" s="1748" t="s">
        <v>22</v>
      </c>
      <c r="P365" s="828" t="s">
        <v>22</v>
      </c>
      <c r="Q365" s="1535" t="s">
        <v>968</v>
      </c>
      <c r="R365" s="1645"/>
      <c r="S365" s="1645"/>
      <c r="T365" s="1645"/>
      <c r="U365" s="1645"/>
      <c r="V365" s="1645"/>
      <c r="W365" s="1645"/>
      <c r="X365" s="1645"/>
      <c r="Y365" s="1645"/>
      <c r="Z365" s="1645"/>
      <c r="AA365" s="685"/>
      <c r="AB365" s="1645">
        <v>0</v>
      </c>
    </row>
    <row s="1860" customFormat="1" customHeight="1" ht="15">
      <c r="A366" s="1645"/>
      <c r="B366" s="2407"/>
      <c r="C366" s="2408"/>
      <c r="D366" s="699" t="str">
        <f>B364&amp;".3"</f>
        <v>3.110.3</v>
      </c>
      <c r="E366" s="1677" t="s">
        <v>969</v>
      </c>
      <c r="F366" s="2273" t="s">
        <v>328</v>
      </c>
      <c r="G366" s="1748" t="s">
        <v>22</v>
      </c>
      <c r="H366" s="828" t="s">
        <v>22</v>
      </c>
      <c r="I366" s="1748" t="s">
        <v>22</v>
      </c>
      <c r="J366" s="828" t="s">
        <v>22</v>
      </c>
      <c r="K366" s="1748" t="s">
        <v>22</v>
      </c>
      <c r="L366" s="828" t="s">
        <v>22</v>
      </c>
      <c r="M366" s="1748" t="s">
        <v>22</v>
      </c>
      <c r="N366" s="828" t="s">
        <v>22</v>
      </c>
      <c r="O366" s="1748" t="s">
        <v>22</v>
      </c>
      <c r="P366" s="828" t="s">
        <v>22</v>
      </c>
      <c r="Q366" s="1535" t="s">
        <v>970</v>
      </c>
      <c r="R366" s="1645"/>
      <c r="S366" s="1645"/>
      <c r="T366" s="1645"/>
      <c r="U366" s="1645"/>
      <c r="V366" s="1645"/>
      <c r="W366" s="1645"/>
      <c r="X366" s="1645"/>
      <c r="Y366" s="1645"/>
      <c r="Z366" s="1645"/>
      <c r="AA366" s="685"/>
      <c r="AB366" s="1645">
        <v>0</v>
      </c>
    </row>
    <row s="1860" customFormat="1" customHeight="1" ht="22.5">
      <c r="A367" s="1645"/>
      <c r="B367" s="2407" t="s">
        <v>1101</v>
      </c>
      <c r="C367" s="2408" t="s">
        <v>105</v>
      </c>
      <c r="D367" s="699" t="str">
        <f>B367&amp;".1"</f>
        <v>3.111.1</v>
      </c>
      <c r="E367" s="1677" t="s">
        <v>966</v>
      </c>
      <c r="F367" s="2273" t="s">
        <v>328</v>
      </c>
      <c r="G367" s="2363" t="s">
        <v>22</v>
      </c>
      <c r="H367" s="828" t="s">
        <v>22</v>
      </c>
      <c r="I367" s="2363" t="s">
        <v>1102</v>
      </c>
      <c r="J367" s="828" t="s">
        <v>22</v>
      </c>
      <c r="K367" s="2363" t="s">
        <v>22</v>
      </c>
      <c r="L367" s="828" t="s">
        <v>22</v>
      </c>
      <c r="M367" s="2363" t="s">
        <v>22</v>
      </c>
      <c r="N367" s="828" t="s">
        <v>22</v>
      </c>
      <c r="O367" s="2363" t="s">
        <v>22</v>
      </c>
      <c r="P367" s="828" t="s">
        <v>22</v>
      </c>
      <c r="Q367" s="1535"/>
      <c r="R367" s="1645"/>
      <c r="S367" s="1645"/>
      <c r="T367" s="1645"/>
      <c r="U367" s="1645"/>
      <c r="V367" s="1645"/>
      <c r="W367" s="1645"/>
      <c r="X367" s="1645"/>
      <c r="Y367" s="1645"/>
      <c r="Z367" s="1645"/>
      <c r="AA367" s="685"/>
      <c r="AB367" s="1645">
        <v>0</v>
      </c>
    </row>
    <row s="1860" customFormat="1" customHeight="1" ht="15">
      <c r="A368" s="1645"/>
      <c r="B368" s="2407"/>
      <c r="C368" s="2408"/>
      <c r="D368" s="699" t="str">
        <f>B367&amp;".2"</f>
        <v>3.111.2</v>
      </c>
      <c r="E368" s="1677" t="s">
        <v>967</v>
      </c>
      <c r="F368" s="2273" t="s">
        <v>328</v>
      </c>
      <c r="G368" s="1748" t="s">
        <v>22</v>
      </c>
      <c r="H368" s="828" t="s">
        <v>22</v>
      </c>
      <c r="I368" s="1748">
        <v>46155</v>
      </c>
      <c r="J368" s="828" t="s">
        <v>22</v>
      </c>
      <c r="K368" s="1748" t="s">
        <v>22</v>
      </c>
      <c r="L368" s="828" t="s">
        <v>22</v>
      </c>
      <c r="M368" s="1748" t="s">
        <v>22</v>
      </c>
      <c r="N368" s="828" t="s">
        <v>22</v>
      </c>
      <c r="O368" s="1748" t="s">
        <v>22</v>
      </c>
      <c r="P368" s="828" t="s">
        <v>22</v>
      </c>
      <c r="Q368" s="1535" t="s">
        <v>968</v>
      </c>
      <c r="R368" s="1645"/>
      <c r="S368" s="1645"/>
      <c r="T368" s="1645"/>
      <c r="U368" s="1645"/>
      <c r="V368" s="1645"/>
      <c r="W368" s="1645"/>
      <c r="X368" s="1645"/>
      <c r="Y368" s="1645"/>
      <c r="Z368" s="1645"/>
      <c r="AA368" s="685"/>
      <c r="AB368" s="1645">
        <v>0</v>
      </c>
    </row>
    <row s="1860" customFormat="1" customHeight="1" ht="15">
      <c r="A369" s="1645"/>
      <c r="B369" s="2407"/>
      <c r="C369" s="2408"/>
      <c r="D369" s="699" t="str">
        <f>B367&amp;".3"</f>
        <v>3.111.3</v>
      </c>
      <c r="E369" s="1677" t="s">
        <v>969</v>
      </c>
      <c r="F369" s="2273" t="s">
        <v>328</v>
      </c>
      <c r="G369" s="1748" t="s">
        <v>22</v>
      </c>
      <c r="H369" s="828" t="s">
        <v>22</v>
      </c>
      <c r="I369" s="1748" t="s">
        <v>22</v>
      </c>
      <c r="J369" s="828" t="s">
        <v>22</v>
      </c>
      <c r="K369" s="1748" t="s">
        <v>22</v>
      </c>
      <c r="L369" s="828" t="s">
        <v>22</v>
      </c>
      <c r="M369" s="1748" t="s">
        <v>22</v>
      </c>
      <c r="N369" s="828" t="s">
        <v>22</v>
      </c>
      <c r="O369" s="1748" t="s">
        <v>22</v>
      </c>
      <c r="P369" s="828" t="s">
        <v>22</v>
      </c>
      <c r="Q369" s="1535" t="s">
        <v>970</v>
      </c>
      <c r="R369" s="1645"/>
      <c r="S369" s="1645"/>
      <c r="T369" s="1645"/>
      <c r="U369" s="1645"/>
      <c r="V369" s="1645"/>
      <c r="W369" s="1645"/>
      <c r="X369" s="1645"/>
      <c r="Y369" s="1645"/>
      <c r="Z369" s="1645"/>
      <c r="AA369" s="685"/>
      <c r="AB369" s="1645">
        <v>0</v>
      </c>
    </row>
    <row s="1860" customFormat="1" customHeight="1" ht="22.5">
      <c r="A370" s="1645"/>
      <c r="B370" s="2407" t="s">
        <v>1103</v>
      </c>
      <c r="C370" s="2408" t="s">
        <v>105</v>
      </c>
      <c r="D370" s="699" t="str">
        <f>B370&amp;".1"</f>
        <v>3.112.1</v>
      </c>
      <c r="E370" s="1677" t="s">
        <v>966</v>
      </c>
      <c r="F370" s="2273" t="s">
        <v>328</v>
      </c>
      <c r="G370" s="2363" t="s">
        <v>22</v>
      </c>
      <c r="H370" s="828" t="s">
        <v>22</v>
      </c>
      <c r="I370" s="2363" t="s">
        <v>985</v>
      </c>
      <c r="J370" s="828" t="s">
        <v>22</v>
      </c>
      <c r="K370" s="2363" t="s">
        <v>22</v>
      </c>
      <c r="L370" s="828" t="s">
        <v>22</v>
      </c>
      <c r="M370" s="2363" t="s">
        <v>22</v>
      </c>
      <c r="N370" s="828" t="s">
        <v>22</v>
      </c>
      <c r="O370" s="2363" t="s">
        <v>22</v>
      </c>
      <c r="P370" s="828" t="s">
        <v>22</v>
      </c>
      <c r="Q370" s="1535"/>
      <c r="R370" s="1645"/>
      <c r="S370" s="1645"/>
      <c r="T370" s="1645"/>
      <c r="U370" s="1645"/>
      <c r="V370" s="1645"/>
      <c r="W370" s="1645"/>
      <c r="X370" s="1645"/>
      <c r="Y370" s="1645"/>
      <c r="Z370" s="1645"/>
      <c r="AA370" s="685"/>
      <c r="AB370" s="1645">
        <v>0</v>
      </c>
    </row>
    <row s="1860" customFormat="1" customHeight="1" ht="15">
      <c r="A371" s="1645"/>
      <c r="B371" s="2407"/>
      <c r="C371" s="2408"/>
      <c r="D371" s="699" t="str">
        <f>B370&amp;".2"</f>
        <v>3.112.2</v>
      </c>
      <c r="E371" s="1677" t="s">
        <v>967</v>
      </c>
      <c r="F371" s="2273" t="s">
        <v>328</v>
      </c>
      <c r="G371" s="1748" t="s">
        <v>22</v>
      </c>
      <c r="H371" s="828" t="s">
        <v>22</v>
      </c>
      <c r="I371" s="1748">
        <v>46155</v>
      </c>
      <c r="J371" s="828" t="s">
        <v>22</v>
      </c>
      <c r="K371" s="1748" t="s">
        <v>22</v>
      </c>
      <c r="L371" s="828" t="s">
        <v>22</v>
      </c>
      <c r="M371" s="1748" t="s">
        <v>22</v>
      </c>
      <c r="N371" s="828" t="s">
        <v>22</v>
      </c>
      <c r="O371" s="1748" t="s">
        <v>22</v>
      </c>
      <c r="P371" s="828" t="s">
        <v>22</v>
      </c>
      <c r="Q371" s="1535" t="s">
        <v>968</v>
      </c>
      <c r="R371" s="1645"/>
      <c r="S371" s="1645"/>
      <c r="T371" s="1645"/>
      <c r="U371" s="1645"/>
      <c r="V371" s="1645"/>
      <c r="W371" s="1645"/>
      <c r="X371" s="1645"/>
      <c r="Y371" s="1645"/>
      <c r="Z371" s="1645"/>
      <c r="AA371" s="685"/>
      <c r="AB371" s="1645">
        <v>0</v>
      </c>
    </row>
    <row s="1860" customFormat="1" customHeight="1" ht="15">
      <c r="A372" s="1645"/>
      <c r="B372" s="2407"/>
      <c r="C372" s="2408"/>
      <c r="D372" s="699" t="str">
        <f>B370&amp;".3"</f>
        <v>3.112.3</v>
      </c>
      <c r="E372" s="1677" t="s">
        <v>969</v>
      </c>
      <c r="F372" s="2273" t="s">
        <v>328</v>
      </c>
      <c r="G372" s="1748" t="s">
        <v>22</v>
      </c>
      <c r="H372" s="828" t="s">
        <v>22</v>
      </c>
      <c r="I372" s="1748" t="s">
        <v>22</v>
      </c>
      <c r="J372" s="828" t="s">
        <v>22</v>
      </c>
      <c r="K372" s="1748" t="s">
        <v>22</v>
      </c>
      <c r="L372" s="828" t="s">
        <v>22</v>
      </c>
      <c r="M372" s="1748" t="s">
        <v>22</v>
      </c>
      <c r="N372" s="828" t="s">
        <v>22</v>
      </c>
      <c r="O372" s="1748" t="s">
        <v>22</v>
      </c>
      <c r="P372" s="828" t="s">
        <v>22</v>
      </c>
      <c r="Q372" s="1535" t="s">
        <v>970</v>
      </c>
      <c r="R372" s="1645"/>
      <c r="S372" s="1645"/>
      <c r="T372" s="1645"/>
      <c r="U372" s="1645"/>
      <c r="V372" s="1645"/>
      <c r="W372" s="1645"/>
      <c r="X372" s="1645"/>
      <c r="Y372" s="1645"/>
      <c r="Z372" s="1645"/>
      <c r="AA372" s="685"/>
      <c r="AB372" s="1645">
        <v>0</v>
      </c>
    </row>
    <row s="1860" customFormat="1" customHeight="1" ht="22.5">
      <c r="A373" s="1645"/>
      <c r="B373" s="2407" t="s">
        <v>1104</v>
      </c>
      <c r="C373" s="2408" t="s">
        <v>105</v>
      </c>
      <c r="D373" s="699" t="str">
        <f>B373&amp;".1"</f>
        <v>3.113.1</v>
      </c>
      <c r="E373" s="1677" t="s">
        <v>966</v>
      </c>
      <c r="F373" s="2273" t="s">
        <v>328</v>
      </c>
      <c r="G373" s="2363" t="s">
        <v>22</v>
      </c>
      <c r="H373" s="828" t="s">
        <v>22</v>
      </c>
      <c r="I373" s="2363" t="s">
        <v>983</v>
      </c>
      <c r="J373" s="828" t="s">
        <v>22</v>
      </c>
      <c r="K373" s="2363" t="s">
        <v>22</v>
      </c>
      <c r="L373" s="828" t="s">
        <v>22</v>
      </c>
      <c r="M373" s="2363" t="s">
        <v>22</v>
      </c>
      <c r="N373" s="828" t="s">
        <v>22</v>
      </c>
      <c r="O373" s="2363" t="s">
        <v>22</v>
      </c>
      <c r="P373" s="828" t="s">
        <v>22</v>
      </c>
      <c r="Q373" s="1535"/>
      <c r="R373" s="1645"/>
      <c r="S373" s="1645"/>
      <c r="T373" s="1645"/>
      <c r="U373" s="1645"/>
      <c r="V373" s="1645"/>
      <c r="W373" s="1645"/>
      <c r="X373" s="1645"/>
      <c r="Y373" s="1645"/>
      <c r="Z373" s="1645"/>
      <c r="AA373" s="685"/>
      <c r="AB373" s="1645">
        <v>0</v>
      </c>
    </row>
    <row s="1860" customFormat="1" customHeight="1" ht="15">
      <c r="A374" s="1645"/>
      <c r="B374" s="2407"/>
      <c r="C374" s="2408"/>
      <c r="D374" s="699" t="str">
        <f>B373&amp;".2"</f>
        <v>3.113.2</v>
      </c>
      <c r="E374" s="1677" t="s">
        <v>967</v>
      </c>
      <c r="F374" s="2273" t="s">
        <v>328</v>
      </c>
      <c r="G374" s="1748" t="s">
        <v>22</v>
      </c>
      <c r="H374" s="828" t="s">
        <v>22</v>
      </c>
      <c r="I374" s="1748">
        <v>46155</v>
      </c>
      <c r="J374" s="828" t="s">
        <v>22</v>
      </c>
      <c r="K374" s="1748" t="s">
        <v>22</v>
      </c>
      <c r="L374" s="828" t="s">
        <v>22</v>
      </c>
      <c r="M374" s="1748" t="s">
        <v>22</v>
      </c>
      <c r="N374" s="828" t="s">
        <v>22</v>
      </c>
      <c r="O374" s="1748" t="s">
        <v>22</v>
      </c>
      <c r="P374" s="828" t="s">
        <v>22</v>
      </c>
      <c r="Q374" s="1535" t="s">
        <v>968</v>
      </c>
      <c r="R374" s="1645"/>
      <c r="S374" s="1645"/>
      <c r="T374" s="1645"/>
      <c r="U374" s="1645"/>
      <c r="V374" s="1645"/>
      <c r="W374" s="1645"/>
      <c r="X374" s="1645"/>
      <c r="Y374" s="1645"/>
      <c r="Z374" s="1645"/>
      <c r="AA374" s="685"/>
      <c r="AB374" s="1645">
        <v>0</v>
      </c>
    </row>
    <row s="1860" customFormat="1" customHeight="1" ht="15">
      <c r="A375" s="1645"/>
      <c r="B375" s="2407"/>
      <c r="C375" s="2408"/>
      <c r="D375" s="699" t="str">
        <f>B373&amp;".3"</f>
        <v>3.113.3</v>
      </c>
      <c r="E375" s="1677" t="s">
        <v>969</v>
      </c>
      <c r="F375" s="2273" t="s">
        <v>328</v>
      </c>
      <c r="G375" s="1748" t="s">
        <v>22</v>
      </c>
      <c r="H375" s="828" t="s">
        <v>22</v>
      </c>
      <c r="I375" s="1748" t="s">
        <v>22</v>
      </c>
      <c r="J375" s="828" t="s">
        <v>22</v>
      </c>
      <c r="K375" s="1748" t="s">
        <v>22</v>
      </c>
      <c r="L375" s="828" t="s">
        <v>22</v>
      </c>
      <c r="M375" s="1748" t="s">
        <v>22</v>
      </c>
      <c r="N375" s="828" t="s">
        <v>22</v>
      </c>
      <c r="O375" s="1748" t="s">
        <v>22</v>
      </c>
      <c r="P375" s="828" t="s">
        <v>22</v>
      </c>
      <c r="Q375" s="1535" t="s">
        <v>970</v>
      </c>
      <c r="R375" s="1645"/>
      <c r="S375" s="1645"/>
      <c r="T375" s="1645"/>
      <c r="U375" s="1645"/>
      <c r="V375" s="1645"/>
      <c r="W375" s="1645"/>
      <c r="X375" s="1645"/>
      <c r="Y375" s="1645"/>
      <c r="Z375" s="1645"/>
      <c r="AA375" s="685"/>
      <c r="AB375" s="1645">
        <v>0</v>
      </c>
    </row>
    <row s="1860" customFormat="1" customHeight="1" ht="22.5">
      <c r="A376" s="1645"/>
      <c r="B376" s="2407" t="s">
        <v>1105</v>
      </c>
      <c r="C376" s="2408" t="s">
        <v>105</v>
      </c>
      <c r="D376" s="699" t="str">
        <f>B376&amp;".1"</f>
        <v>3.114.1</v>
      </c>
      <c r="E376" s="1677" t="s">
        <v>966</v>
      </c>
      <c r="F376" s="2273" t="s">
        <v>328</v>
      </c>
      <c r="G376" s="2363" t="s">
        <v>22</v>
      </c>
      <c r="H376" s="828" t="s">
        <v>22</v>
      </c>
      <c r="I376" s="2363" t="s">
        <v>983</v>
      </c>
      <c r="J376" s="828" t="s">
        <v>22</v>
      </c>
      <c r="K376" s="2363" t="s">
        <v>22</v>
      </c>
      <c r="L376" s="828" t="s">
        <v>22</v>
      </c>
      <c r="M376" s="2363" t="s">
        <v>22</v>
      </c>
      <c r="N376" s="828" t="s">
        <v>22</v>
      </c>
      <c r="O376" s="2363" t="s">
        <v>22</v>
      </c>
      <c r="P376" s="828" t="s">
        <v>22</v>
      </c>
      <c r="Q376" s="1535"/>
      <c r="R376" s="1645"/>
      <c r="S376" s="1645"/>
      <c r="T376" s="1645"/>
      <c r="U376" s="1645"/>
      <c r="V376" s="1645"/>
      <c r="W376" s="1645"/>
      <c r="X376" s="1645"/>
      <c r="Y376" s="1645"/>
      <c r="Z376" s="1645"/>
      <c r="AA376" s="685"/>
      <c r="AB376" s="1645">
        <v>0</v>
      </c>
    </row>
    <row s="1860" customFormat="1" customHeight="1" ht="15">
      <c r="A377" s="1645"/>
      <c r="B377" s="2407"/>
      <c r="C377" s="2408"/>
      <c r="D377" s="699" t="str">
        <f>B376&amp;".2"</f>
        <v>3.114.2</v>
      </c>
      <c r="E377" s="1677" t="s">
        <v>967</v>
      </c>
      <c r="F377" s="2273" t="s">
        <v>328</v>
      </c>
      <c r="G377" s="1748" t="s">
        <v>22</v>
      </c>
      <c r="H377" s="828" t="s">
        <v>22</v>
      </c>
      <c r="I377" s="1748">
        <v>46155</v>
      </c>
      <c r="J377" s="828" t="s">
        <v>22</v>
      </c>
      <c r="K377" s="1748" t="s">
        <v>22</v>
      </c>
      <c r="L377" s="828" t="s">
        <v>22</v>
      </c>
      <c r="M377" s="1748" t="s">
        <v>22</v>
      </c>
      <c r="N377" s="828" t="s">
        <v>22</v>
      </c>
      <c r="O377" s="1748" t="s">
        <v>22</v>
      </c>
      <c r="P377" s="828" t="s">
        <v>22</v>
      </c>
      <c r="Q377" s="1535" t="s">
        <v>968</v>
      </c>
      <c r="R377" s="1645"/>
      <c r="S377" s="1645"/>
      <c r="T377" s="1645"/>
      <c r="U377" s="1645"/>
      <c r="V377" s="1645"/>
      <c r="W377" s="1645"/>
      <c r="X377" s="1645"/>
      <c r="Y377" s="1645"/>
      <c r="Z377" s="1645"/>
      <c r="AA377" s="685"/>
      <c r="AB377" s="1645">
        <v>0</v>
      </c>
    </row>
    <row s="1860" customFormat="1" customHeight="1" ht="15">
      <c r="A378" s="1645"/>
      <c r="B378" s="2407"/>
      <c r="C378" s="2408"/>
      <c r="D378" s="699" t="str">
        <f>B376&amp;".3"</f>
        <v>3.114.3</v>
      </c>
      <c r="E378" s="1677" t="s">
        <v>969</v>
      </c>
      <c r="F378" s="2273" t="s">
        <v>328</v>
      </c>
      <c r="G378" s="1748" t="s">
        <v>22</v>
      </c>
      <c r="H378" s="828" t="s">
        <v>22</v>
      </c>
      <c r="I378" s="1748" t="s">
        <v>22</v>
      </c>
      <c r="J378" s="828" t="s">
        <v>22</v>
      </c>
      <c r="K378" s="1748" t="s">
        <v>22</v>
      </c>
      <c r="L378" s="828" t="s">
        <v>22</v>
      </c>
      <c r="M378" s="1748" t="s">
        <v>22</v>
      </c>
      <c r="N378" s="828" t="s">
        <v>22</v>
      </c>
      <c r="O378" s="1748" t="s">
        <v>22</v>
      </c>
      <c r="P378" s="828" t="s">
        <v>22</v>
      </c>
      <c r="Q378" s="1535" t="s">
        <v>970</v>
      </c>
      <c r="R378" s="1645"/>
      <c r="S378" s="1645"/>
      <c r="T378" s="1645"/>
      <c r="U378" s="1645"/>
      <c r="V378" s="1645"/>
      <c r="W378" s="1645"/>
      <c r="X378" s="1645"/>
      <c r="Y378" s="1645"/>
      <c r="Z378" s="1645"/>
      <c r="AA378" s="685"/>
      <c r="AB378" s="1645">
        <v>0</v>
      </c>
    </row>
    <row s="1860" customFormat="1" customHeight="1" ht="22.5">
      <c r="A379" s="1645"/>
      <c r="B379" s="2407" t="s">
        <v>1106</v>
      </c>
      <c r="C379" s="2408" t="s">
        <v>105</v>
      </c>
      <c r="D379" s="699" t="str">
        <f>B379&amp;".1"</f>
        <v>3.115.1</v>
      </c>
      <c r="E379" s="1677" t="s">
        <v>966</v>
      </c>
      <c r="F379" s="2273" t="s">
        <v>328</v>
      </c>
      <c r="G379" s="2363" t="s">
        <v>22</v>
      </c>
      <c r="H379" s="828" t="s">
        <v>22</v>
      </c>
      <c r="I379" s="2363" t="s">
        <v>983</v>
      </c>
      <c r="J379" s="828" t="s">
        <v>22</v>
      </c>
      <c r="K379" s="2363" t="s">
        <v>22</v>
      </c>
      <c r="L379" s="828" t="s">
        <v>22</v>
      </c>
      <c r="M379" s="2363" t="s">
        <v>22</v>
      </c>
      <c r="N379" s="828" t="s">
        <v>22</v>
      </c>
      <c r="O379" s="2363" t="s">
        <v>22</v>
      </c>
      <c r="P379" s="828" t="s">
        <v>22</v>
      </c>
      <c r="Q379" s="1535"/>
      <c r="R379" s="1645"/>
      <c r="S379" s="1645"/>
      <c r="T379" s="1645"/>
      <c r="U379" s="1645"/>
      <c r="V379" s="1645"/>
      <c r="W379" s="1645"/>
      <c r="X379" s="1645"/>
      <c r="Y379" s="1645"/>
      <c r="Z379" s="1645"/>
      <c r="AA379" s="685"/>
      <c r="AB379" s="1645">
        <v>0</v>
      </c>
    </row>
    <row s="1860" customFormat="1" customHeight="1" ht="15">
      <c r="A380" s="1645"/>
      <c r="B380" s="2407"/>
      <c r="C380" s="2408"/>
      <c r="D380" s="699" t="str">
        <f>B379&amp;".2"</f>
        <v>3.115.2</v>
      </c>
      <c r="E380" s="1677" t="s">
        <v>967</v>
      </c>
      <c r="F380" s="2273" t="s">
        <v>328</v>
      </c>
      <c r="G380" s="1748" t="s">
        <v>22</v>
      </c>
      <c r="H380" s="828" t="s">
        <v>22</v>
      </c>
      <c r="I380" s="1748">
        <v>46155</v>
      </c>
      <c r="J380" s="828" t="s">
        <v>22</v>
      </c>
      <c r="K380" s="1748" t="s">
        <v>22</v>
      </c>
      <c r="L380" s="828" t="s">
        <v>22</v>
      </c>
      <c r="M380" s="1748" t="s">
        <v>22</v>
      </c>
      <c r="N380" s="828" t="s">
        <v>22</v>
      </c>
      <c r="O380" s="1748" t="s">
        <v>22</v>
      </c>
      <c r="P380" s="828" t="s">
        <v>22</v>
      </c>
      <c r="Q380" s="1535" t="s">
        <v>968</v>
      </c>
      <c r="R380" s="1645"/>
      <c r="S380" s="1645"/>
      <c r="T380" s="1645"/>
      <c r="U380" s="1645"/>
      <c r="V380" s="1645"/>
      <c r="W380" s="1645"/>
      <c r="X380" s="1645"/>
      <c r="Y380" s="1645"/>
      <c r="Z380" s="1645"/>
      <c r="AA380" s="685"/>
      <c r="AB380" s="1645">
        <v>0</v>
      </c>
    </row>
    <row s="1860" customFormat="1" customHeight="1" ht="15">
      <c r="A381" s="1645"/>
      <c r="B381" s="2407"/>
      <c r="C381" s="2408"/>
      <c r="D381" s="699" t="str">
        <f>B379&amp;".3"</f>
        <v>3.115.3</v>
      </c>
      <c r="E381" s="1677" t="s">
        <v>969</v>
      </c>
      <c r="F381" s="2273" t="s">
        <v>328</v>
      </c>
      <c r="G381" s="1748" t="s">
        <v>22</v>
      </c>
      <c r="H381" s="828" t="s">
        <v>22</v>
      </c>
      <c r="I381" s="1748" t="s">
        <v>22</v>
      </c>
      <c r="J381" s="828" t="s">
        <v>22</v>
      </c>
      <c r="K381" s="1748" t="s">
        <v>22</v>
      </c>
      <c r="L381" s="828" t="s">
        <v>22</v>
      </c>
      <c r="M381" s="1748" t="s">
        <v>22</v>
      </c>
      <c r="N381" s="828" t="s">
        <v>22</v>
      </c>
      <c r="O381" s="1748" t="s">
        <v>22</v>
      </c>
      <c r="P381" s="828" t="s">
        <v>22</v>
      </c>
      <c r="Q381" s="1535" t="s">
        <v>970</v>
      </c>
      <c r="R381" s="1645"/>
      <c r="S381" s="1645"/>
      <c r="T381" s="1645"/>
      <c r="U381" s="1645"/>
      <c r="V381" s="1645"/>
      <c r="W381" s="1645"/>
      <c r="X381" s="1645"/>
      <c r="Y381" s="1645"/>
      <c r="Z381" s="1645"/>
      <c r="AA381" s="685"/>
      <c r="AB381" s="1645">
        <v>0</v>
      </c>
    </row>
    <row s="1860" customFormat="1" customHeight="1" ht="22.5">
      <c r="A382" s="1645"/>
      <c r="B382" s="2407" t="s">
        <v>1107</v>
      </c>
      <c r="C382" s="2408" t="s">
        <v>105</v>
      </c>
      <c r="D382" s="699" t="str">
        <f>B382&amp;".1"</f>
        <v>3.116.1</v>
      </c>
      <c r="E382" s="1677" t="s">
        <v>966</v>
      </c>
      <c r="F382" s="2273" t="s">
        <v>328</v>
      </c>
      <c r="G382" s="2363" t="s">
        <v>22</v>
      </c>
      <c r="H382" s="828" t="s">
        <v>22</v>
      </c>
      <c r="I382" s="2363" t="s">
        <v>983</v>
      </c>
      <c r="J382" s="828" t="s">
        <v>22</v>
      </c>
      <c r="K382" s="2363" t="s">
        <v>22</v>
      </c>
      <c r="L382" s="828" t="s">
        <v>22</v>
      </c>
      <c r="M382" s="2363" t="s">
        <v>22</v>
      </c>
      <c r="N382" s="828" t="s">
        <v>22</v>
      </c>
      <c r="O382" s="2363" t="s">
        <v>22</v>
      </c>
      <c r="P382" s="828" t="s">
        <v>22</v>
      </c>
      <c r="Q382" s="1535"/>
      <c r="R382" s="1645"/>
      <c r="S382" s="1645"/>
      <c r="T382" s="1645"/>
      <c r="U382" s="1645"/>
      <c r="V382" s="1645"/>
      <c r="W382" s="1645"/>
      <c r="X382" s="1645"/>
      <c r="Y382" s="1645"/>
      <c r="Z382" s="1645"/>
      <c r="AA382" s="685"/>
      <c r="AB382" s="1645">
        <v>0</v>
      </c>
    </row>
    <row s="1860" customFormat="1" customHeight="1" ht="15">
      <c r="A383" s="1645"/>
      <c r="B383" s="2407"/>
      <c r="C383" s="2408"/>
      <c r="D383" s="699" t="str">
        <f>B382&amp;".2"</f>
        <v>3.116.2</v>
      </c>
      <c r="E383" s="1677" t="s">
        <v>967</v>
      </c>
      <c r="F383" s="2273" t="s">
        <v>328</v>
      </c>
      <c r="G383" s="1748" t="s">
        <v>22</v>
      </c>
      <c r="H383" s="828" t="s">
        <v>22</v>
      </c>
      <c r="I383" s="1748">
        <v>46155</v>
      </c>
      <c r="J383" s="828" t="s">
        <v>22</v>
      </c>
      <c r="K383" s="1748" t="s">
        <v>22</v>
      </c>
      <c r="L383" s="828" t="s">
        <v>22</v>
      </c>
      <c r="M383" s="1748" t="s">
        <v>22</v>
      </c>
      <c r="N383" s="828" t="s">
        <v>22</v>
      </c>
      <c r="O383" s="1748" t="s">
        <v>22</v>
      </c>
      <c r="P383" s="828" t="s">
        <v>22</v>
      </c>
      <c r="Q383" s="1535" t="s">
        <v>968</v>
      </c>
      <c r="R383" s="1645"/>
      <c r="S383" s="1645"/>
      <c r="T383" s="1645"/>
      <c r="U383" s="1645"/>
      <c r="V383" s="1645"/>
      <c r="W383" s="1645"/>
      <c r="X383" s="1645"/>
      <c r="Y383" s="1645"/>
      <c r="Z383" s="1645"/>
      <c r="AA383" s="685"/>
      <c r="AB383" s="1645">
        <v>0</v>
      </c>
    </row>
    <row s="1860" customFormat="1" customHeight="1" ht="15">
      <c r="A384" s="1645"/>
      <c r="B384" s="2407"/>
      <c r="C384" s="2408"/>
      <c r="D384" s="699" t="str">
        <f>B382&amp;".3"</f>
        <v>3.116.3</v>
      </c>
      <c r="E384" s="1677" t="s">
        <v>969</v>
      </c>
      <c r="F384" s="2273" t="s">
        <v>328</v>
      </c>
      <c r="G384" s="1748" t="s">
        <v>22</v>
      </c>
      <c r="H384" s="828" t="s">
        <v>22</v>
      </c>
      <c r="I384" s="1748" t="s">
        <v>22</v>
      </c>
      <c r="J384" s="828" t="s">
        <v>22</v>
      </c>
      <c r="K384" s="1748" t="s">
        <v>22</v>
      </c>
      <c r="L384" s="828" t="s">
        <v>22</v>
      </c>
      <c r="M384" s="1748" t="s">
        <v>22</v>
      </c>
      <c r="N384" s="828" t="s">
        <v>22</v>
      </c>
      <c r="O384" s="1748" t="s">
        <v>22</v>
      </c>
      <c r="P384" s="828" t="s">
        <v>22</v>
      </c>
      <c r="Q384" s="1535" t="s">
        <v>970</v>
      </c>
      <c r="R384" s="1645"/>
      <c r="S384" s="1645"/>
      <c r="T384" s="1645"/>
      <c r="U384" s="1645"/>
      <c r="V384" s="1645"/>
      <c r="W384" s="1645"/>
      <c r="X384" s="1645"/>
      <c r="Y384" s="1645"/>
      <c r="Z384" s="1645"/>
      <c r="AA384" s="685"/>
      <c r="AB384" s="1645">
        <v>0</v>
      </c>
    </row>
    <row s="1860" customFormat="1" customHeight="1" ht="22.5">
      <c r="A385" s="1645"/>
      <c r="B385" s="2407" t="s">
        <v>1108</v>
      </c>
      <c r="C385" s="2408" t="s">
        <v>105</v>
      </c>
      <c r="D385" s="699" t="str">
        <f>B385&amp;".1"</f>
        <v>3.117.1</v>
      </c>
      <c r="E385" s="1677" t="s">
        <v>966</v>
      </c>
      <c r="F385" s="2273" t="s">
        <v>328</v>
      </c>
      <c r="G385" s="2363" t="s">
        <v>22</v>
      </c>
      <c r="H385" s="828" t="s">
        <v>22</v>
      </c>
      <c r="I385" s="2363" t="s">
        <v>983</v>
      </c>
      <c r="J385" s="828" t="s">
        <v>22</v>
      </c>
      <c r="K385" s="2363" t="s">
        <v>22</v>
      </c>
      <c r="L385" s="828" t="s">
        <v>22</v>
      </c>
      <c r="M385" s="2363" t="s">
        <v>22</v>
      </c>
      <c r="N385" s="828" t="s">
        <v>22</v>
      </c>
      <c r="O385" s="2363" t="s">
        <v>22</v>
      </c>
      <c r="P385" s="828" t="s">
        <v>22</v>
      </c>
      <c r="Q385" s="1535"/>
      <c r="R385" s="1645"/>
      <c r="S385" s="1645"/>
      <c r="T385" s="1645"/>
      <c r="U385" s="1645"/>
      <c r="V385" s="1645"/>
      <c r="W385" s="1645"/>
      <c r="X385" s="1645"/>
      <c r="Y385" s="1645"/>
      <c r="Z385" s="1645"/>
      <c r="AA385" s="685"/>
      <c r="AB385" s="1645">
        <v>0</v>
      </c>
    </row>
    <row s="1860" customFormat="1" customHeight="1" ht="15">
      <c r="A386" s="1645"/>
      <c r="B386" s="2407"/>
      <c r="C386" s="2408"/>
      <c r="D386" s="699" t="str">
        <f>B385&amp;".2"</f>
        <v>3.117.2</v>
      </c>
      <c r="E386" s="1677" t="s">
        <v>967</v>
      </c>
      <c r="F386" s="2273" t="s">
        <v>328</v>
      </c>
      <c r="G386" s="1748" t="s">
        <v>22</v>
      </c>
      <c r="H386" s="828" t="s">
        <v>22</v>
      </c>
      <c r="I386" s="1748">
        <v>46155</v>
      </c>
      <c r="J386" s="828" t="s">
        <v>22</v>
      </c>
      <c r="K386" s="1748" t="s">
        <v>22</v>
      </c>
      <c r="L386" s="828" t="s">
        <v>22</v>
      </c>
      <c r="M386" s="1748" t="s">
        <v>22</v>
      </c>
      <c r="N386" s="828" t="s">
        <v>22</v>
      </c>
      <c r="O386" s="1748" t="s">
        <v>22</v>
      </c>
      <c r="P386" s="828" t="s">
        <v>22</v>
      </c>
      <c r="Q386" s="1535" t="s">
        <v>968</v>
      </c>
      <c r="R386" s="1645"/>
      <c r="S386" s="1645"/>
      <c r="T386" s="1645"/>
      <c r="U386" s="1645"/>
      <c r="V386" s="1645"/>
      <c r="W386" s="1645"/>
      <c r="X386" s="1645"/>
      <c r="Y386" s="1645"/>
      <c r="Z386" s="1645"/>
      <c r="AA386" s="685"/>
      <c r="AB386" s="1645">
        <v>0</v>
      </c>
    </row>
    <row s="1860" customFormat="1" customHeight="1" ht="15">
      <c r="A387" s="1645"/>
      <c r="B387" s="2407"/>
      <c r="C387" s="2408"/>
      <c r="D387" s="699" t="str">
        <f>B385&amp;".3"</f>
        <v>3.117.3</v>
      </c>
      <c r="E387" s="1677" t="s">
        <v>969</v>
      </c>
      <c r="F387" s="2273" t="s">
        <v>328</v>
      </c>
      <c r="G387" s="1748" t="s">
        <v>22</v>
      </c>
      <c r="H387" s="828" t="s">
        <v>22</v>
      </c>
      <c r="I387" s="1748" t="s">
        <v>22</v>
      </c>
      <c r="J387" s="828" t="s">
        <v>22</v>
      </c>
      <c r="K387" s="1748" t="s">
        <v>22</v>
      </c>
      <c r="L387" s="828" t="s">
        <v>22</v>
      </c>
      <c r="M387" s="1748" t="s">
        <v>22</v>
      </c>
      <c r="N387" s="828" t="s">
        <v>22</v>
      </c>
      <c r="O387" s="1748" t="s">
        <v>22</v>
      </c>
      <c r="P387" s="828" t="s">
        <v>22</v>
      </c>
      <c r="Q387" s="1535" t="s">
        <v>970</v>
      </c>
      <c r="R387" s="1645"/>
      <c r="S387" s="1645"/>
      <c r="T387" s="1645"/>
      <c r="U387" s="1645"/>
      <c r="V387" s="1645"/>
      <c r="W387" s="1645"/>
      <c r="X387" s="1645"/>
      <c r="Y387" s="1645"/>
      <c r="Z387" s="1645"/>
      <c r="AA387" s="685"/>
      <c r="AB387" s="1645">
        <v>0</v>
      </c>
    </row>
    <row s="1860" customFormat="1" customHeight="1" ht="22.5">
      <c r="A388" s="1645"/>
      <c r="B388" s="2407" t="s">
        <v>1109</v>
      </c>
      <c r="C388" s="2408" t="s">
        <v>105</v>
      </c>
      <c r="D388" s="699" t="str">
        <f>B388&amp;".1"</f>
        <v>3.118.1</v>
      </c>
      <c r="E388" s="1677" t="s">
        <v>966</v>
      </c>
      <c r="F388" s="2273" t="s">
        <v>328</v>
      </c>
      <c r="G388" s="2363" t="s">
        <v>22</v>
      </c>
      <c r="H388" s="828" t="s">
        <v>22</v>
      </c>
      <c r="I388" s="2363" t="s">
        <v>983</v>
      </c>
      <c r="J388" s="828" t="s">
        <v>22</v>
      </c>
      <c r="K388" s="2363" t="s">
        <v>22</v>
      </c>
      <c r="L388" s="828" t="s">
        <v>22</v>
      </c>
      <c r="M388" s="2363" t="s">
        <v>22</v>
      </c>
      <c r="N388" s="828" t="s">
        <v>22</v>
      </c>
      <c r="O388" s="2363" t="s">
        <v>22</v>
      </c>
      <c r="P388" s="828" t="s">
        <v>22</v>
      </c>
      <c r="Q388" s="1535"/>
      <c r="R388" s="1645"/>
      <c r="S388" s="1645"/>
      <c r="T388" s="1645"/>
      <c r="U388" s="1645"/>
      <c r="V388" s="1645"/>
      <c r="W388" s="1645"/>
      <c r="X388" s="1645"/>
      <c r="Y388" s="1645"/>
      <c r="Z388" s="1645"/>
      <c r="AA388" s="685"/>
      <c r="AB388" s="1645">
        <v>0</v>
      </c>
    </row>
    <row s="1860" customFormat="1" customHeight="1" ht="15">
      <c r="A389" s="1645"/>
      <c r="B389" s="2407"/>
      <c r="C389" s="2408"/>
      <c r="D389" s="699" t="str">
        <f>B388&amp;".2"</f>
        <v>3.118.2</v>
      </c>
      <c r="E389" s="1677" t="s">
        <v>967</v>
      </c>
      <c r="F389" s="2273" t="s">
        <v>328</v>
      </c>
      <c r="G389" s="1748" t="s">
        <v>22</v>
      </c>
      <c r="H389" s="828" t="s">
        <v>22</v>
      </c>
      <c r="I389" s="1748">
        <v>46155</v>
      </c>
      <c r="J389" s="828" t="s">
        <v>22</v>
      </c>
      <c r="K389" s="1748" t="s">
        <v>22</v>
      </c>
      <c r="L389" s="828" t="s">
        <v>22</v>
      </c>
      <c r="M389" s="1748" t="s">
        <v>22</v>
      </c>
      <c r="N389" s="828" t="s">
        <v>22</v>
      </c>
      <c r="O389" s="1748" t="s">
        <v>22</v>
      </c>
      <c r="P389" s="828" t="s">
        <v>22</v>
      </c>
      <c r="Q389" s="1535" t="s">
        <v>968</v>
      </c>
      <c r="R389" s="1645"/>
      <c r="S389" s="1645"/>
      <c r="T389" s="1645"/>
      <c r="U389" s="1645"/>
      <c r="V389" s="1645"/>
      <c r="W389" s="1645"/>
      <c r="X389" s="1645"/>
      <c r="Y389" s="1645"/>
      <c r="Z389" s="1645"/>
      <c r="AA389" s="685"/>
      <c r="AB389" s="1645">
        <v>0</v>
      </c>
    </row>
    <row s="1860" customFormat="1" customHeight="1" ht="15">
      <c r="A390" s="1645"/>
      <c r="B390" s="2407"/>
      <c r="C390" s="2408"/>
      <c r="D390" s="699" t="str">
        <f>B388&amp;".3"</f>
        <v>3.118.3</v>
      </c>
      <c r="E390" s="1677" t="s">
        <v>969</v>
      </c>
      <c r="F390" s="2273" t="s">
        <v>328</v>
      </c>
      <c r="G390" s="1748" t="s">
        <v>22</v>
      </c>
      <c r="H390" s="828" t="s">
        <v>22</v>
      </c>
      <c r="I390" s="1748" t="s">
        <v>22</v>
      </c>
      <c r="J390" s="828" t="s">
        <v>22</v>
      </c>
      <c r="K390" s="1748" t="s">
        <v>22</v>
      </c>
      <c r="L390" s="828" t="s">
        <v>22</v>
      </c>
      <c r="M390" s="1748" t="s">
        <v>22</v>
      </c>
      <c r="N390" s="828" t="s">
        <v>22</v>
      </c>
      <c r="O390" s="1748" t="s">
        <v>22</v>
      </c>
      <c r="P390" s="828" t="s">
        <v>22</v>
      </c>
      <c r="Q390" s="1535" t="s">
        <v>970</v>
      </c>
      <c r="R390" s="1645"/>
      <c r="S390" s="1645"/>
      <c r="T390" s="1645"/>
      <c r="U390" s="1645"/>
      <c r="V390" s="1645"/>
      <c r="W390" s="1645"/>
      <c r="X390" s="1645"/>
      <c r="Y390" s="1645"/>
      <c r="Z390" s="1645"/>
      <c r="AA390" s="685"/>
      <c r="AB390" s="1645">
        <v>0</v>
      </c>
    </row>
    <row s="1860" customFormat="1" customHeight="1" ht="22.5">
      <c r="A391" s="1645"/>
      <c r="B391" s="2407" t="s">
        <v>1110</v>
      </c>
      <c r="C391" s="2408" t="s">
        <v>105</v>
      </c>
      <c r="D391" s="699" t="str">
        <f>B391&amp;".1"</f>
        <v>3.119.1</v>
      </c>
      <c r="E391" s="1677" t="s">
        <v>966</v>
      </c>
      <c r="F391" s="2273" t="s">
        <v>328</v>
      </c>
      <c r="G391" s="2363" t="s">
        <v>22</v>
      </c>
      <c r="H391" s="828" t="s">
        <v>22</v>
      </c>
      <c r="I391" s="2363" t="s">
        <v>983</v>
      </c>
      <c r="J391" s="828" t="s">
        <v>22</v>
      </c>
      <c r="K391" s="2363" t="s">
        <v>22</v>
      </c>
      <c r="L391" s="828" t="s">
        <v>22</v>
      </c>
      <c r="M391" s="2363" t="s">
        <v>22</v>
      </c>
      <c r="N391" s="828" t="s">
        <v>22</v>
      </c>
      <c r="O391" s="2363" t="s">
        <v>22</v>
      </c>
      <c r="P391" s="828" t="s">
        <v>22</v>
      </c>
      <c r="Q391" s="1535"/>
      <c r="R391" s="1645"/>
      <c r="S391" s="1645"/>
      <c r="T391" s="1645"/>
      <c r="U391" s="1645"/>
      <c r="V391" s="1645"/>
      <c r="W391" s="1645"/>
      <c r="X391" s="1645"/>
      <c r="Y391" s="1645"/>
      <c r="Z391" s="1645"/>
      <c r="AA391" s="685"/>
      <c r="AB391" s="1645">
        <v>0</v>
      </c>
    </row>
    <row s="1860" customFormat="1" customHeight="1" ht="15">
      <c r="A392" s="1645"/>
      <c r="B392" s="2407"/>
      <c r="C392" s="2408"/>
      <c r="D392" s="699" t="str">
        <f>B391&amp;".2"</f>
        <v>3.119.2</v>
      </c>
      <c r="E392" s="1677" t="s">
        <v>967</v>
      </c>
      <c r="F392" s="2273" t="s">
        <v>328</v>
      </c>
      <c r="G392" s="1748" t="s">
        <v>22</v>
      </c>
      <c r="H392" s="828" t="s">
        <v>22</v>
      </c>
      <c r="I392" s="1748">
        <v>46155</v>
      </c>
      <c r="J392" s="828" t="s">
        <v>22</v>
      </c>
      <c r="K392" s="1748" t="s">
        <v>22</v>
      </c>
      <c r="L392" s="828" t="s">
        <v>22</v>
      </c>
      <c r="M392" s="1748" t="s">
        <v>22</v>
      </c>
      <c r="N392" s="828" t="s">
        <v>22</v>
      </c>
      <c r="O392" s="1748" t="s">
        <v>22</v>
      </c>
      <c r="P392" s="828" t="s">
        <v>22</v>
      </c>
      <c r="Q392" s="1535" t="s">
        <v>968</v>
      </c>
      <c r="R392" s="1645"/>
      <c r="S392" s="1645"/>
      <c r="T392" s="1645"/>
      <c r="U392" s="1645"/>
      <c r="V392" s="1645"/>
      <c r="W392" s="1645"/>
      <c r="X392" s="1645"/>
      <c r="Y392" s="1645"/>
      <c r="Z392" s="1645"/>
      <c r="AA392" s="685"/>
      <c r="AB392" s="1645">
        <v>0</v>
      </c>
    </row>
    <row s="1860" customFormat="1" customHeight="1" ht="15">
      <c r="A393" s="1645"/>
      <c r="B393" s="2407"/>
      <c r="C393" s="2408"/>
      <c r="D393" s="699" t="str">
        <f>B391&amp;".3"</f>
        <v>3.119.3</v>
      </c>
      <c r="E393" s="1677" t="s">
        <v>969</v>
      </c>
      <c r="F393" s="2273" t="s">
        <v>328</v>
      </c>
      <c r="G393" s="1748" t="s">
        <v>22</v>
      </c>
      <c r="H393" s="828" t="s">
        <v>22</v>
      </c>
      <c r="I393" s="1748" t="s">
        <v>22</v>
      </c>
      <c r="J393" s="828" t="s">
        <v>22</v>
      </c>
      <c r="K393" s="1748" t="s">
        <v>22</v>
      </c>
      <c r="L393" s="828" t="s">
        <v>22</v>
      </c>
      <c r="M393" s="1748" t="s">
        <v>22</v>
      </c>
      <c r="N393" s="828" t="s">
        <v>22</v>
      </c>
      <c r="O393" s="1748" t="s">
        <v>22</v>
      </c>
      <c r="P393" s="828" t="s">
        <v>22</v>
      </c>
      <c r="Q393" s="1535" t="s">
        <v>970</v>
      </c>
      <c r="R393" s="1645"/>
      <c r="S393" s="1645"/>
      <c r="T393" s="1645"/>
      <c r="U393" s="1645"/>
      <c r="V393" s="1645"/>
      <c r="W393" s="1645"/>
      <c r="X393" s="1645"/>
      <c r="Y393" s="1645"/>
      <c r="Z393" s="1645"/>
      <c r="AA393" s="685"/>
      <c r="AB393" s="1645">
        <v>0</v>
      </c>
    </row>
    <row s="1860" customFormat="1" customHeight="1" ht="22.5">
      <c r="A394" s="1645"/>
      <c r="B394" s="2407" t="s">
        <v>1111</v>
      </c>
      <c r="C394" s="2408" t="s">
        <v>105</v>
      </c>
      <c r="D394" s="699" t="str">
        <f>B394&amp;".1"</f>
        <v>3.120.1</v>
      </c>
      <c r="E394" s="1677" t="s">
        <v>966</v>
      </c>
      <c r="F394" s="2273" t="s">
        <v>328</v>
      </c>
      <c r="G394" s="2363" t="s">
        <v>22</v>
      </c>
      <c r="H394" s="828" t="s">
        <v>22</v>
      </c>
      <c r="I394" s="2363" t="s">
        <v>983</v>
      </c>
      <c r="J394" s="828" t="s">
        <v>22</v>
      </c>
      <c r="K394" s="2363" t="s">
        <v>22</v>
      </c>
      <c r="L394" s="828" t="s">
        <v>22</v>
      </c>
      <c r="M394" s="2363" t="s">
        <v>22</v>
      </c>
      <c r="N394" s="828" t="s">
        <v>22</v>
      </c>
      <c r="O394" s="2363" t="s">
        <v>22</v>
      </c>
      <c r="P394" s="828" t="s">
        <v>22</v>
      </c>
      <c r="Q394" s="1535"/>
      <c r="R394" s="1645"/>
      <c r="S394" s="1645"/>
      <c r="T394" s="1645"/>
      <c r="U394" s="1645"/>
      <c r="V394" s="1645"/>
      <c r="W394" s="1645"/>
      <c r="X394" s="1645"/>
      <c r="Y394" s="1645"/>
      <c r="Z394" s="1645"/>
      <c r="AA394" s="685"/>
      <c r="AB394" s="1645">
        <v>0</v>
      </c>
    </row>
    <row s="1860" customFormat="1" customHeight="1" ht="15">
      <c r="A395" s="1645"/>
      <c r="B395" s="2407"/>
      <c r="C395" s="2408"/>
      <c r="D395" s="699" t="str">
        <f>B394&amp;".2"</f>
        <v>3.120.2</v>
      </c>
      <c r="E395" s="1677" t="s">
        <v>967</v>
      </c>
      <c r="F395" s="2273" t="s">
        <v>328</v>
      </c>
      <c r="G395" s="1748" t="s">
        <v>22</v>
      </c>
      <c r="H395" s="828" t="s">
        <v>22</v>
      </c>
      <c r="I395" s="1748">
        <v>46155</v>
      </c>
      <c r="J395" s="828" t="s">
        <v>22</v>
      </c>
      <c r="K395" s="1748" t="s">
        <v>22</v>
      </c>
      <c r="L395" s="828" t="s">
        <v>22</v>
      </c>
      <c r="M395" s="1748" t="s">
        <v>22</v>
      </c>
      <c r="N395" s="828" t="s">
        <v>22</v>
      </c>
      <c r="O395" s="1748" t="s">
        <v>22</v>
      </c>
      <c r="P395" s="828" t="s">
        <v>22</v>
      </c>
      <c r="Q395" s="1535" t="s">
        <v>968</v>
      </c>
      <c r="R395" s="1645"/>
      <c r="S395" s="1645"/>
      <c r="T395" s="1645"/>
      <c r="U395" s="1645"/>
      <c r="V395" s="1645"/>
      <c r="W395" s="1645"/>
      <c r="X395" s="1645"/>
      <c r="Y395" s="1645"/>
      <c r="Z395" s="1645"/>
      <c r="AA395" s="685"/>
      <c r="AB395" s="1645">
        <v>0</v>
      </c>
    </row>
    <row s="1860" customFormat="1" customHeight="1" ht="15">
      <c r="A396" s="1645"/>
      <c r="B396" s="2407"/>
      <c r="C396" s="2408"/>
      <c r="D396" s="699" t="str">
        <f>B394&amp;".3"</f>
        <v>3.120.3</v>
      </c>
      <c r="E396" s="1677" t="s">
        <v>969</v>
      </c>
      <c r="F396" s="2273" t="s">
        <v>328</v>
      </c>
      <c r="G396" s="1748" t="s">
        <v>22</v>
      </c>
      <c r="H396" s="828" t="s">
        <v>22</v>
      </c>
      <c r="I396" s="1748" t="s">
        <v>22</v>
      </c>
      <c r="J396" s="828" t="s">
        <v>22</v>
      </c>
      <c r="K396" s="1748" t="s">
        <v>22</v>
      </c>
      <c r="L396" s="828" t="s">
        <v>22</v>
      </c>
      <c r="M396" s="1748" t="s">
        <v>22</v>
      </c>
      <c r="N396" s="828" t="s">
        <v>22</v>
      </c>
      <c r="O396" s="1748" t="s">
        <v>22</v>
      </c>
      <c r="P396" s="828" t="s">
        <v>22</v>
      </c>
      <c r="Q396" s="1535" t="s">
        <v>970</v>
      </c>
      <c r="R396" s="1645"/>
      <c r="S396" s="1645"/>
      <c r="T396" s="1645"/>
      <c r="U396" s="1645"/>
      <c r="V396" s="1645"/>
      <c r="W396" s="1645"/>
      <c r="X396" s="1645"/>
      <c r="Y396" s="1645"/>
      <c r="Z396" s="1645"/>
      <c r="AA396" s="685"/>
      <c r="AB396" s="1645">
        <v>0</v>
      </c>
    </row>
    <row s="1860" customFormat="1" customHeight="1" ht="22.5">
      <c r="A397" s="1645"/>
      <c r="B397" s="2407" t="s">
        <v>1112</v>
      </c>
      <c r="C397" s="2408" t="s">
        <v>105</v>
      </c>
      <c r="D397" s="699" t="str">
        <f>B397&amp;".1"</f>
        <v>3.121.1</v>
      </c>
      <c r="E397" s="1677" t="s">
        <v>966</v>
      </c>
      <c r="F397" s="2273" t="s">
        <v>328</v>
      </c>
      <c r="G397" s="2363" t="s">
        <v>22</v>
      </c>
      <c r="H397" s="828" t="s">
        <v>22</v>
      </c>
      <c r="I397" s="2363" t="s">
        <v>983</v>
      </c>
      <c r="J397" s="828" t="s">
        <v>22</v>
      </c>
      <c r="K397" s="2363" t="s">
        <v>22</v>
      </c>
      <c r="L397" s="828" t="s">
        <v>22</v>
      </c>
      <c r="M397" s="2363" t="s">
        <v>22</v>
      </c>
      <c r="N397" s="828" t="s">
        <v>22</v>
      </c>
      <c r="O397" s="2363" t="s">
        <v>22</v>
      </c>
      <c r="P397" s="828" t="s">
        <v>22</v>
      </c>
      <c r="Q397" s="1535"/>
      <c r="R397" s="1645"/>
      <c r="S397" s="1645"/>
      <c r="T397" s="1645"/>
      <c r="U397" s="1645"/>
      <c r="V397" s="1645"/>
      <c r="W397" s="1645"/>
      <c r="X397" s="1645"/>
      <c r="Y397" s="1645"/>
      <c r="Z397" s="1645"/>
      <c r="AA397" s="685"/>
      <c r="AB397" s="1645">
        <v>0</v>
      </c>
    </row>
    <row s="1860" customFormat="1" customHeight="1" ht="15">
      <c r="A398" s="1645"/>
      <c r="B398" s="2407"/>
      <c r="C398" s="2408"/>
      <c r="D398" s="699" t="str">
        <f>B397&amp;".2"</f>
        <v>3.121.2</v>
      </c>
      <c r="E398" s="1677" t="s">
        <v>967</v>
      </c>
      <c r="F398" s="2273" t="s">
        <v>328</v>
      </c>
      <c r="G398" s="1748" t="s">
        <v>22</v>
      </c>
      <c r="H398" s="828" t="s">
        <v>22</v>
      </c>
      <c r="I398" s="1748">
        <v>46156</v>
      </c>
      <c r="J398" s="828" t="s">
        <v>22</v>
      </c>
      <c r="K398" s="1748" t="s">
        <v>22</v>
      </c>
      <c r="L398" s="828" t="s">
        <v>22</v>
      </c>
      <c r="M398" s="1748" t="s">
        <v>22</v>
      </c>
      <c r="N398" s="828" t="s">
        <v>22</v>
      </c>
      <c r="O398" s="1748" t="s">
        <v>22</v>
      </c>
      <c r="P398" s="828" t="s">
        <v>22</v>
      </c>
      <c r="Q398" s="1535" t="s">
        <v>968</v>
      </c>
      <c r="R398" s="1645"/>
      <c r="S398" s="1645"/>
      <c r="T398" s="1645"/>
      <c r="U398" s="1645"/>
      <c r="V398" s="1645"/>
      <c r="W398" s="1645"/>
      <c r="X398" s="1645"/>
      <c r="Y398" s="1645"/>
      <c r="Z398" s="1645"/>
      <c r="AA398" s="685"/>
      <c r="AB398" s="1645">
        <v>0</v>
      </c>
    </row>
    <row s="1860" customFormat="1" customHeight="1" ht="15">
      <c r="A399" s="1645"/>
      <c r="B399" s="2407"/>
      <c r="C399" s="2408"/>
      <c r="D399" s="699" t="str">
        <f>B397&amp;".3"</f>
        <v>3.121.3</v>
      </c>
      <c r="E399" s="1677" t="s">
        <v>969</v>
      </c>
      <c r="F399" s="2273" t="s">
        <v>328</v>
      </c>
      <c r="G399" s="1748" t="s">
        <v>22</v>
      </c>
      <c r="H399" s="828" t="s">
        <v>22</v>
      </c>
      <c r="I399" s="1748" t="s">
        <v>22</v>
      </c>
      <c r="J399" s="828" t="s">
        <v>22</v>
      </c>
      <c r="K399" s="1748" t="s">
        <v>22</v>
      </c>
      <c r="L399" s="828" t="s">
        <v>22</v>
      </c>
      <c r="M399" s="1748" t="s">
        <v>22</v>
      </c>
      <c r="N399" s="828" t="s">
        <v>22</v>
      </c>
      <c r="O399" s="1748" t="s">
        <v>22</v>
      </c>
      <c r="P399" s="828" t="s">
        <v>22</v>
      </c>
      <c r="Q399" s="1535" t="s">
        <v>970</v>
      </c>
      <c r="R399" s="1645"/>
      <c r="S399" s="1645"/>
      <c r="T399" s="1645"/>
      <c r="U399" s="1645"/>
      <c r="V399" s="1645"/>
      <c r="W399" s="1645"/>
      <c r="X399" s="1645"/>
      <c r="Y399" s="1645"/>
      <c r="Z399" s="1645"/>
      <c r="AA399" s="685"/>
      <c r="AB399" s="1645">
        <v>0</v>
      </c>
    </row>
    <row s="1860" customFormat="1" customHeight="1" ht="22.5">
      <c r="A400" s="1645"/>
      <c r="B400" s="2407" t="s">
        <v>1113</v>
      </c>
      <c r="C400" s="2408" t="s">
        <v>105</v>
      </c>
      <c r="D400" s="699" t="str">
        <f>B400&amp;".1"</f>
        <v>3.122.1</v>
      </c>
      <c r="E400" s="1677" t="s">
        <v>966</v>
      </c>
      <c r="F400" s="2273" t="s">
        <v>328</v>
      </c>
      <c r="G400" s="2363" t="s">
        <v>22</v>
      </c>
      <c r="H400" s="828" t="s">
        <v>22</v>
      </c>
      <c r="I400" s="2363" t="s">
        <v>983</v>
      </c>
      <c r="J400" s="828" t="s">
        <v>22</v>
      </c>
      <c r="K400" s="2363" t="s">
        <v>22</v>
      </c>
      <c r="L400" s="828" t="s">
        <v>22</v>
      </c>
      <c r="M400" s="2363" t="s">
        <v>22</v>
      </c>
      <c r="N400" s="828" t="s">
        <v>22</v>
      </c>
      <c r="O400" s="2363" t="s">
        <v>22</v>
      </c>
      <c r="P400" s="828" t="s">
        <v>22</v>
      </c>
      <c r="Q400" s="1535"/>
      <c r="R400" s="1645"/>
      <c r="S400" s="1645"/>
      <c r="T400" s="1645"/>
      <c r="U400" s="1645"/>
      <c r="V400" s="1645"/>
      <c r="W400" s="1645"/>
      <c r="X400" s="1645"/>
      <c r="Y400" s="1645"/>
      <c r="Z400" s="1645"/>
      <c r="AA400" s="685"/>
      <c r="AB400" s="1645">
        <v>0</v>
      </c>
    </row>
    <row s="1860" customFormat="1" customHeight="1" ht="15">
      <c r="A401" s="1645"/>
      <c r="B401" s="2407"/>
      <c r="C401" s="2408"/>
      <c r="D401" s="699" t="str">
        <f>B400&amp;".2"</f>
        <v>3.122.2</v>
      </c>
      <c r="E401" s="1677" t="s">
        <v>967</v>
      </c>
      <c r="F401" s="2273" t="s">
        <v>328</v>
      </c>
      <c r="G401" s="1748" t="s">
        <v>22</v>
      </c>
      <c r="H401" s="828" t="s">
        <v>22</v>
      </c>
      <c r="I401" s="1748">
        <v>46156</v>
      </c>
      <c r="J401" s="828" t="s">
        <v>22</v>
      </c>
      <c r="K401" s="1748" t="s">
        <v>22</v>
      </c>
      <c r="L401" s="828" t="s">
        <v>22</v>
      </c>
      <c r="M401" s="1748" t="s">
        <v>22</v>
      </c>
      <c r="N401" s="828" t="s">
        <v>22</v>
      </c>
      <c r="O401" s="1748" t="s">
        <v>22</v>
      </c>
      <c r="P401" s="828" t="s">
        <v>22</v>
      </c>
      <c r="Q401" s="1535" t="s">
        <v>968</v>
      </c>
      <c r="R401" s="1645"/>
      <c r="S401" s="1645"/>
      <c r="T401" s="1645"/>
      <c r="U401" s="1645"/>
      <c r="V401" s="1645"/>
      <c r="W401" s="1645"/>
      <c r="X401" s="1645"/>
      <c r="Y401" s="1645"/>
      <c r="Z401" s="1645"/>
      <c r="AA401" s="685"/>
      <c r="AB401" s="1645">
        <v>0</v>
      </c>
    </row>
    <row s="1860" customFormat="1" customHeight="1" ht="15">
      <c r="A402" s="1645"/>
      <c r="B402" s="2407"/>
      <c r="C402" s="2408"/>
      <c r="D402" s="699" t="str">
        <f>B400&amp;".3"</f>
        <v>3.122.3</v>
      </c>
      <c r="E402" s="1677" t="s">
        <v>969</v>
      </c>
      <c r="F402" s="2273" t="s">
        <v>328</v>
      </c>
      <c r="G402" s="1748" t="s">
        <v>22</v>
      </c>
      <c r="H402" s="828" t="s">
        <v>22</v>
      </c>
      <c r="I402" s="1748" t="s">
        <v>22</v>
      </c>
      <c r="J402" s="828" t="s">
        <v>22</v>
      </c>
      <c r="K402" s="1748" t="s">
        <v>22</v>
      </c>
      <c r="L402" s="828" t="s">
        <v>22</v>
      </c>
      <c r="M402" s="1748" t="s">
        <v>22</v>
      </c>
      <c r="N402" s="828" t="s">
        <v>22</v>
      </c>
      <c r="O402" s="1748" t="s">
        <v>22</v>
      </c>
      <c r="P402" s="828" t="s">
        <v>22</v>
      </c>
      <c r="Q402" s="1535" t="s">
        <v>970</v>
      </c>
      <c r="R402" s="1645"/>
      <c r="S402" s="1645"/>
      <c r="T402" s="1645"/>
      <c r="U402" s="1645"/>
      <c r="V402" s="1645"/>
      <c r="W402" s="1645"/>
      <c r="X402" s="1645"/>
      <c r="Y402" s="1645"/>
      <c r="Z402" s="1645"/>
      <c r="AA402" s="685"/>
      <c r="AB402" s="1645">
        <v>0</v>
      </c>
    </row>
    <row s="1860" customFormat="1" customHeight="1" ht="22.5">
      <c r="A403" s="1645"/>
      <c r="B403" s="2407" t="s">
        <v>1114</v>
      </c>
      <c r="C403" s="2408" t="s">
        <v>105</v>
      </c>
      <c r="D403" s="699" t="str">
        <f>B403&amp;".1"</f>
        <v>3.123.1</v>
      </c>
      <c r="E403" s="1677" t="s">
        <v>966</v>
      </c>
      <c r="F403" s="2273" t="s">
        <v>328</v>
      </c>
      <c r="G403" s="2363" t="s">
        <v>22</v>
      </c>
      <c r="H403" s="828" t="s">
        <v>22</v>
      </c>
      <c r="I403" s="2363" t="s">
        <v>983</v>
      </c>
      <c r="J403" s="828" t="s">
        <v>22</v>
      </c>
      <c r="K403" s="2363" t="s">
        <v>22</v>
      </c>
      <c r="L403" s="828" t="s">
        <v>22</v>
      </c>
      <c r="M403" s="2363" t="s">
        <v>22</v>
      </c>
      <c r="N403" s="828" t="s">
        <v>22</v>
      </c>
      <c r="O403" s="2363" t="s">
        <v>22</v>
      </c>
      <c r="P403" s="828" t="s">
        <v>22</v>
      </c>
      <c r="Q403" s="1535"/>
      <c r="R403" s="1645"/>
      <c r="S403" s="1645"/>
      <c r="T403" s="1645"/>
      <c r="U403" s="1645"/>
      <c r="V403" s="1645"/>
      <c r="W403" s="1645"/>
      <c r="X403" s="1645"/>
      <c r="Y403" s="1645"/>
      <c r="Z403" s="1645"/>
      <c r="AA403" s="685"/>
      <c r="AB403" s="1645">
        <v>0</v>
      </c>
    </row>
    <row s="1860" customFormat="1" customHeight="1" ht="15">
      <c r="A404" s="1645"/>
      <c r="B404" s="2407"/>
      <c r="C404" s="2408"/>
      <c r="D404" s="699" t="str">
        <f>B403&amp;".2"</f>
        <v>3.123.2</v>
      </c>
      <c r="E404" s="1677" t="s">
        <v>967</v>
      </c>
      <c r="F404" s="2273" t="s">
        <v>328</v>
      </c>
      <c r="G404" s="1748" t="s">
        <v>22</v>
      </c>
      <c r="H404" s="828" t="s">
        <v>22</v>
      </c>
      <c r="I404" s="1748">
        <v>46156</v>
      </c>
      <c r="J404" s="828" t="s">
        <v>22</v>
      </c>
      <c r="K404" s="1748" t="s">
        <v>22</v>
      </c>
      <c r="L404" s="828" t="s">
        <v>22</v>
      </c>
      <c r="M404" s="1748" t="s">
        <v>22</v>
      </c>
      <c r="N404" s="828" t="s">
        <v>22</v>
      </c>
      <c r="O404" s="1748" t="s">
        <v>22</v>
      </c>
      <c r="P404" s="828" t="s">
        <v>22</v>
      </c>
      <c r="Q404" s="1535" t="s">
        <v>968</v>
      </c>
      <c r="R404" s="1645"/>
      <c r="S404" s="1645"/>
      <c r="T404" s="1645"/>
      <c r="U404" s="1645"/>
      <c r="V404" s="1645"/>
      <c r="W404" s="1645"/>
      <c r="X404" s="1645"/>
      <c r="Y404" s="1645"/>
      <c r="Z404" s="1645"/>
      <c r="AA404" s="685"/>
      <c r="AB404" s="1645">
        <v>0</v>
      </c>
    </row>
    <row s="1860" customFormat="1" customHeight="1" ht="15">
      <c r="A405" s="1645"/>
      <c r="B405" s="2407"/>
      <c r="C405" s="2408"/>
      <c r="D405" s="699" t="str">
        <f>B403&amp;".3"</f>
        <v>3.123.3</v>
      </c>
      <c r="E405" s="1677" t="s">
        <v>969</v>
      </c>
      <c r="F405" s="2273" t="s">
        <v>328</v>
      </c>
      <c r="G405" s="1748" t="s">
        <v>22</v>
      </c>
      <c r="H405" s="828" t="s">
        <v>22</v>
      </c>
      <c r="I405" s="1748" t="s">
        <v>22</v>
      </c>
      <c r="J405" s="828" t="s">
        <v>22</v>
      </c>
      <c r="K405" s="1748" t="s">
        <v>22</v>
      </c>
      <c r="L405" s="828" t="s">
        <v>22</v>
      </c>
      <c r="M405" s="1748" t="s">
        <v>22</v>
      </c>
      <c r="N405" s="828" t="s">
        <v>22</v>
      </c>
      <c r="O405" s="1748" t="s">
        <v>22</v>
      </c>
      <c r="P405" s="828" t="s">
        <v>22</v>
      </c>
      <c r="Q405" s="1535" t="s">
        <v>970</v>
      </c>
      <c r="R405" s="1645"/>
      <c r="S405" s="1645"/>
      <c r="T405" s="1645"/>
      <c r="U405" s="1645"/>
      <c r="V405" s="1645"/>
      <c r="W405" s="1645"/>
      <c r="X405" s="1645"/>
      <c r="Y405" s="1645"/>
      <c r="Z405" s="1645"/>
      <c r="AA405" s="685"/>
      <c r="AB405" s="1645">
        <v>0</v>
      </c>
    </row>
    <row s="1860" customFormat="1" customHeight="1" ht="22.5">
      <c r="A406" s="1645"/>
      <c r="B406" s="2407" t="s">
        <v>1115</v>
      </c>
      <c r="C406" s="2408" t="s">
        <v>105</v>
      </c>
      <c r="D406" s="699" t="str">
        <f>B406&amp;".1"</f>
        <v>3.124.1</v>
      </c>
      <c r="E406" s="1677" t="s">
        <v>966</v>
      </c>
      <c r="F406" s="2273" t="s">
        <v>328</v>
      </c>
      <c r="G406" s="2363" t="s">
        <v>22</v>
      </c>
      <c r="H406" s="828" t="s">
        <v>22</v>
      </c>
      <c r="I406" s="2363" t="s">
        <v>983</v>
      </c>
      <c r="J406" s="828" t="s">
        <v>22</v>
      </c>
      <c r="K406" s="2363" t="s">
        <v>22</v>
      </c>
      <c r="L406" s="828" t="s">
        <v>22</v>
      </c>
      <c r="M406" s="2363" t="s">
        <v>22</v>
      </c>
      <c r="N406" s="828" t="s">
        <v>22</v>
      </c>
      <c r="O406" s="2363" t="s">
        <v>22</v>
      </c>
      <c r="P406" s="828" t="s">
        <v>22</v>
      </c>
      <c r="Q406" s="1535"/>
      <c r="R406" s="1645"/>
      <c r="S406" s="1645"/>
      <c r="T406" s="1645"/>
      <c r="U406" s="1645"/>
      <c r="V406" s="1645"/>
      <c r="W406" s="1645"/>
      <c r="X406" s="1645"/>
      <c r="Y406" s="1645"/>
      <c r="Z406" s="1645"/>
      <c r="AA406" s="685"/>
      <c r="AB406" s="1645">
        <v>0</v>
      </c>
    </row>
    <row s="1860" customFormat="1" customHeight="1" ht="15">
      <c r="A407" s="1645"/>
      <c r="B407" s="2407"/>
      <c r="C407" s="2408"/>
      <c r="D407" s="699" t="str">
        <f>B406&amp;".2"</f>
        <v>3.124.2</v>
      </c>
      <c r="E407" s="1677" t="s">
        <v>967</v>
      </c>
      <c r="F407" s="2273" t="s">
        <v>328</v>
      </c>
      <c r="G407" s="1748" t="s">
        <v>22</v>
      </c>
      <c r="H407" s="828" t="s">
        <v>22</v>
      </c>
      <c r="I407" s="1748">
        <v>46156</v>
      </c>
      <c r="J407" s="828" t="s">
        <v>22</v>
      </c>
      <c r="K407" s="1748" t="s">
        <v>22</v>
      </c>
      <c r="L407" s="828" t="s">
        <v>22</v>
      </c>
      <c r="M407" s="1748" t="s">
        <v>22</v>
      </c>
      <c r="N407" s="828" t="s">
        <v>22</v>
      </c>
      <c r="O407" s="1748" t="s">
        <v>22</v>
      </c>
      <c r="P407" s="828" t="s">
        <v>22</v>
      </c>
      <c r="Q407" s="1535" t="s">
        <v>968</v>
      </c>
      <c r="R407" s="1645"/>
      <c r="S407" s="1645"/>
      <c r="T407" s="1645"/>
      <c r="U407" s="1645"/>
      <c r="V407" s="1645"/>
      <c r="W407" s="1645"/>
      <c r="X407" s="1645"/>
      <c r="Y407" s="1645"/>
      <c r="Z407" s="1645"/>
      <c r="AA407" s="685"/>
      <c r="AB407" s="1645">
        <v>0</v>
      </c>
    </row>
    <row s="1860" customFormat="1" customHeight="1" ht="15">
      <c r="A408" s="1645"/>
      <c r="B408" s="2407"/>
      <c r="C408" s="2408"/>
      <c r="D408" s="699" t="str">
        <f>B406&amp;".3"</f>
        <v>3.124.3</v>
      </c>
      <c r="E408" s="1677" t="s">
        <v>969</v>
      </c>
      <c r="F408" s="2273" t="s">
        <v>328</v>
      </c>
      <c r="G408" s="1748" t="s">
        <v>22</v>
      </c>
      <c r="H408" s="828" t="s">
        <v>22</v>
      </c>
      <c r="I408" s="1748" t="s">
        <v>22</v>
      </c>
      <c r="J408" s="828" t="s">
        <v>22</v>
      </c>
      <c r="K408" s="1748" t="s">
        <v>22</v>
      </c>
      <c r="L408" s="828" t="s">
        <v>22</v>
      </c>
      <c r="M408" s="1748" t="s">
        <v>22</v>
      </c>
      <c r="N408" s="828" t="s">
        <v>22</v>
      </c>
      <c r="O408" s="1748" t="s">
        <v>22</v>
      </c>
      <c r="P408" s="828" t="s">
        <v>22</v>
      </c>
      <c r="Q408" s="1535" t="s">
        <v>970</v>
      </c>
      <c r="R408" s="1645"/>
      <c r="S408" s="1645"/>
      <c r="T408" s="1645"/>
      <c r="U408" s="1645"/>
      <c r="V408" s="1645"/>
      <c r="W408" s="1645"/>
      <c r="X408" s="1645"/>
      <c r="Y408" s="1645"/>
      <c r="Z408" s="1645"/>
      <c r="AA408" s="685"/>
      <c r="AB408" s="1645">
        <v>0</v>
      </c>
    </row>
    <row s="1860" customFormat="1" customHeight="1" ht="22.5">
      <c r="A409" s="1645"/>
      <c r="B409" s="2407" t="s">
        <v>1116</v>
      </c>
      <c r="C409" s="2408" t="s">
        <v>105</v>
      </c>
      <c r="D409" s="699" t="str">
        <f>B409&amp;".1"</f>
        <v>3.125.1</v>
      </c>
      <c r="E409" s="1677" t="s">
        <v>966</v>
      </c>
      <c r="F409" s="2273" t="s">
        <v>328</v>
      </c>
      <c r="G409" s="2363" t="s">
        <v>22</v>
      </c>
      <c r="H409" s="828" t="s">
        <v>22</v>
      </c>
      <c r="I409" s="2363" t="s">
        <v>983</v>
      </c>
      <c r="J409" s="828" t="s">
        <v>22</v>
      </c>
      <c r="K409" s="2363" t="s">
        <v>22</v>
      </c>
      <c r="L409" s="828" t="s">
        <v>22</v>
      </c>
      <c r="M409" s="2363" t="s">
        <v>22</v>
      </c>
      <c r="N409" s="828" t="s">
        <v>22</v>
      </c>
      <c r="O409" s="2363" t="s">
        <v>22</v>
      </c>
      <c r="P409" s="828" t="s">
        <v>22</v>
      </c>
      <c r="Q409" s="1535"/>
      <c r="R409" s="1645"/>
      <c r="S409" s="1645"/>
      <c r="T409" s="1645"/>
      <c r="U409" s="1645"/>
      <c r="V409" s="1645"/>
      <c r="W409" s="1645"/>
      <c r="X409" s="1645"/>
      <c r="Y409" s="1645"/>
      <c r="Z409" s="1645"/>
      <c r="AA409" s="685"/>
      <c r="AB409" s="1645">
        <v>0</v>
      </c>
    </row>
    <row s="1860" customFormat="1" customHeight="1" ht="15">
      <c r="A410" s="1645"/>
      <c r="B410" s="2407"/>
      <c r="C410" s="2408"/>
      <c r="D410" s="699" t="str">
        <f>B409&amp;".2"</f>
        <v>3.125.2</v>
      </c>
      <c r="E410" s="1677" t="s">
        <v>967</v>
      </c>
      <c r="F410" s="2273" t="s">
        <v>328</v>
      </c>
      <c r="G410" s="1748" t="s">
        <v>22</v>
      </c>
      <c r="H410" s="828" t="s">
        <v>22</v>
      </c>
      <c r="I410" s="1748">
        <v>46156</v>
      </c>
      <c r="J410" s="828" t="s">
        <v>22</v>
      </c>
      <c r="K410" s="1748" t="s">
        <v>22</v>
      </c>
      <c r="L410" s="828" t="s">
        <v>22</v>
      </c>
      <c r="M410" s="1748" t="s">
        <v>22</v>
      </c>
      <c r="N410" s="828" t="s">
        <v>22</v>
      </c>
      <c r="O410" s="1748" t="s">
        <v>22</v>
      </c>
      <c r="P410" s="828" t="s">
        <v>22</v>
      </c>
      <c r="Q410" s="1535" t="s">
        <v>968</v>
      </c>
      <c r="R410" s="1645"/>
      <c r="S410" s="1645"/>
      <c r="T410" s="1645"/>
      <c r="U410" s="1645"/>
      <c r="V410" s="1645"/>
      <c r="W410" s="1645"/>
      <c r="X410" s="1645"/>
      <c r="Y410" s="1645"/>
      <c r="Z410" s="1645"/>
      <c r="AA410" s="685"/>
      <c r="AB410" s="1645">
        <v>0</v>
      </c>
    </row>
    <row s="1860" customFormat="1" customHeight="1" ht="15">
      <c r="A411" s="1645"/>
      <c r="B411" s="2407"/>
      <c r="C411" s="2408"/>
      <c r="D411" s="699" t="str">
        <f>B409&amp;".3"</f>
        <v>3.125.3</v>
      </c>
      <c r="E411" s="1677" t="s">
        <v>969</v>
      </c>
      <c r="F411" s="2273" t="s">
        <v>328</v>
      </c>
      <c r="G411" s="1748" t="s">
        <v>22</v>
      </c>
      <c r="H411" s="828" t="s">
        <v>22</v>
      </c>
      <c r="I411" s="1748" t="s">
        <v>22</v>
      </c>
      <c r="J411" s="828" t="s">
        <v>22</v>
      </c>
      <c r="K411" s="1748" t="s">
        <v>22</v>
      </c>
      <c r="L411" s="828" t="s">
        <v>22</v>
      </c>
      <c r="M411" s="1748" t="s">
        <v>22</v>
      </c>
      <c r="N411" s="828" t="s">
        <v>22</v>
      </c>
      <c r="O411" s="1748" t="s">
        <v>22</v>
      </c>
      <c r="P411" s="828" t="s">
        <v>22</v>
      </c>
      <c r="Q411" s="1535" t="s">
        <v>970</v>
      </c>
      <c r="R411" s="1645"/>
      <c r="S411" s="1645"/>
      <c r="T411" s="1645"/>
      <c r="U411" s="1645"/>
      <c r="V411" s="1645"/>
      <c r="W411" s="1645"/>
      <c r="X411" s="1645"/>
      <c r="Y411" s="1645"/>
      <c r="Z411" s="1645"/>
      <c r="AA411" s="685"/>
      <c r="AB411" s="1645">
        <v>0</v>
      </c>
    </row>
    <row s="1860" customFormat="1" customHeight="1" ht="22.5">
      <c r="A412" s="1645"/>
      <c r="B412" s="2407" t="s">
        <v>1117</v>
      </c>
      <c r="C412" s="2408" t="s">
        <v>105</v>
      </c>
      <c r="D412" s="699" t="str">
        <f>B412&amp;".1"</f>
        <v>3.126.1</v>
      </c>
      <c r="E412" s="1677" t="s">
        <v>966</v>
      </c>
      <c r="F412" s="2273" t="s">
        <v>328</v>
      </c>
      <c r="G412" s="2363" t="s">
        <v>22</v>
      </c>
      <c r="H412" s="828" t="s">
        <v>22</v>
      </c>
      <c r="I412" s="2363" t="s">
        <v>983</v>
      </c>
      <c r="J412" s="828" t="s">
        <v>22</v>
      </c>
      <c r="K412" s="2363" t="s">
        <v>22</v>
      </c>
      <c r="L412" s="828" t="s">
        <v>22</v>
      </c>
      <c r="M412" s="2363" t="s">
        <v>22</v>
      </c>
      <c r="N412" s="828" t="s">
        <v>22</v>
      </c>
      <c r="O412" s="2363" t="s">
        <v>22</v>
      </c>
      <c r="P412" s="828" t="s">
        <v>22</v>
      </c>
      <c r="Q412" s="1535"/>
      <c r="R412" s="1645"/>
      <c r="S412" s="1645"/>
      <c r="T412" s="1645"/>
      <c r="U412" s="1645"/>
      <c r="V412" s="1645"/>
      <c r="W412" s="1645"/>
      <c r="X412" s="1645"/>
      <c r="Y412" s="1645"/>
      <c r="Z412" s="1645"/>
      <c r="AA412" s="685"/>
      <c r="AB412" s="1645">
        <v>0</v>
      </c>
    </row>
    <row s="1860" customFormat="1" customHeight="1" ht="15">
      <c r="A413" s="1645"/>
      <c r="B413" s="2407"/>
      <c r="C413" s="2408"/>
      <c r="D413" s="699" t="str">
        <f>B412&amp;".2"</f>
        <v>3.126.2</v>
      </c>
      <c r="E413" s="1677" t="s">
        <v>967</v>
      </c>
      <c r="F413" s="2273" t="s">
        <v>328</v>
      </c>
      <c r="G413" s="1748" t="s">
        <v>22</v>
      </c>
      <c r="H413" s="828" t="s">
        <v>22</v>
      </c>
      <c r="I413" s="1748">
        <v>46156</v>
      </c>
      <c r="J413" s="828" t="s">
        <v>22</v>
      </c>
      <c r="K413" s="1748" t="s">
        <v>22</v>
      </c>
      <c r="L413" s="828" t="s">
        <v>22</v>
      </c>
      <c r="M413" s="1748" t="s">
        <v>22</v>
      </c>
      <c r="N413" s="828" t="s">
        <v>22</v>
      </c>
      <c r="O413" s="1748" t="s">
        <v>22</v>
      </c>
      <c r="P413" s="828" t="s">
        <v>22</v>
      </c>
      <c r="Q413" s="1535" t="s">
        <v>968</v>
      </c>
      <c r="R413" s="1645"/>
      <c r="S413" s="1645"/>
      <c r="T413" s="1645"/>
      <c r="U413" s="1645"/>
      <c r="V413" s="1645"/>
      <c r="W413" s="1645"/>
      <c r="X413" s="1645"/>
      <c r="Y413" s="1645"/>
      <c r="Z413" s="1645"/>
      <c r="AA413" s="685"/>
      <c r="AB413" s="1645">
        <v>0</v>
      </c>
    </row>
    <row s="1860" customFormat="1" customHeight="1" ht="15">
      <c r="A414" s="1645"/>
      <c r="B414" s="2407"/>
      <c r="C414" s="2408"/>
      <c r="D414" s="699" t="str">
        <f>B412&amp;".3"</f>
        <v>3.126.3</v>
      </c>
      <c r="E414" s="1677" t="s">
        <v>969</v>
      </c>
      <c r="F414" s="2273" t="s">
        <v>328</v>
      </c>
      <c r="G414" s="1748" t="s">
        <v>22</v>
      </c>
      <c r="H414" s="828" t="s">
        <v>22</v>
      </c>
      <c r="I414" s="1748" t="s">
        <v>22</v>
      </c>
      <c r="J414" s="828" t="s">
        <v>22</v>
      </c>
      <c r="K414" s="1748" t="s">
        <v>22</v>
      </c>
      <c r="L414" s="828" t="s">
        <v>22</v>
      </c>
      <c r="M414" s="1748" t="s">
        <v>22</v>
      </c>
      <c r="N414" s="828" t="s">
        <v>22</v>
      </c>
      <c r="O414" s="1748" t="s">
        <v>22</v>
      </c>
      <c r="P414" s="828" t="s">
        <v>22</v>
      </c>
      <c r="Q414" s="1535" t="s">
        <v>970</v>
      </c>
      <c r="R414" s="1645"/>
      <c r="S414" s="1645"/>
      <c r="T414" s="1645"/>
      <c r="U414" s="1645"/>
      <c r="V414" s="1645"/>
      <c r="W414" s="1645"/>
      <c r="X414" s="1645"/>
      <c r="Y414" s="1645"/>
      <c r="Z414" s="1645"/>
      <c r="AA414" s="685"/>
      <c r="AB414" s="1645">
        <v>0</v>
      </c>
    </row>
    <row s="1860" customFormat="1" customHeight="1" ht="22.5">
      <c r="A415" s="1645"/>
      <c r="B415" s="2407" t="s">
        <v>1118</v>
      </c>
      <c r="C415" s="2408" t="s">
        <v>105</v>
      </c>
      <c r="D415" s="699" t="str">
        <f>B415&amp;".1"</f>
        <v>3.127.1</v>
      </c>
      <c r="E415" s="1677" t="s">
        <v>966</v>
      </c>
      <c r="F415" s="2273" t="s">
        <v>328</v>
      </c>
      <c r="G415" s="2363" t="s">
        <v>22</v>
      </c>
      <c r="H415" s="828" t="s">
        <v>22</v>
      </c>
      <c r="I415" s="2363" t="s">
        <v>983</v>
      </c>
      <c r="J415" s="828" t="s">
        <v>22</v>
      </c>
      <c r="K415" s="2363" t="s">
        <v>22</v>
      </c>
      <c r="L415" s="828" t="s">
        <v>22</v>
      </c>
      <c r="M415" s="2363" t="s">
        <v>22</v>
      </c>
      <c r="N415" s="828" t="s">
        <v>22</v>
      </c>
      <c r="O415" s="2363" t="s">
        <v>22</v>
      </c>
      <c r="P415" s="828" t="s">
        <v>22</v>
      </c>
      <c r="Q415" s="1535"/>
      <c r="R415" s="1645"/>
      <c r="S415" s="1645"/>
      <c r="T415" s="1645"/>
      <c r="U415" s="1645"/>
      <c r="V415" s="1645"/>
      <c r="W415" s="1645"/>
      <c r="X415" s="1645"/>
      <c r="Y415" s="1645"/>
      <c r="Z415" s="1645"/>
      <c r="AA415" s="685"/>
      <c r="AB415" s="1645">
        <v>0</v>
      </c>
    </row>
    <row s="1860" customFormat="1" customHeight="1" ht="15">
      <c r="A416" s="1645"/>
      <c r="B416" s="2407"/>
      <c r="C416" s="2408"/>
      <c r="D416" s="699" t="str">
        <f>B415&amp;".2"</f>
        <v>3.127.2</v>
      </c>
      <c r="E416" s="1677" t="s">
        <v>967</v>
      </c>
      <c r="F416" s="2273" t="s">
        <v>328</v>
      </c>
      <c r="G416" s="1748" t="s">
        <v>22</v>
      </c>
      <c r="H416" s="828" t="s">
        <v>22</v>
      </c>
      <c r="I416" s="1748">
        <v>46156</v>
      </c>
      <c r="J416" s="828" t="s">
        <v>22</v>
      </c>
      <c r="K416" s="1748" t="s">
        <v>22</v>
      </c>
      <c r="L416" s="828" t="s">
        <v>22</v>
      </c>
      <c r="M416" s="1748" t="s">
        <v>22</v>
      </c>
      <c r="N416" s="828" t="s">
        <v>22</v>
      </c>
      <c r="O416" s="1748" t="s">
        <v>22</v>
      </c>
      <c r="P416" s="828" t="s">
        <v>22</v>
      </c>
      <c r="Q416" s="1535" t="s">
        <v>968</v>
      </c>
      <c r="R416" s="1645"/>
      <c r="S416" s="1645"/>
      <c r="T416" s="1645"/>
      <c r="U416" s="1645"/>
      <c r="V416" s="1645"/>
      <c r="W416" s="1645"/>
      <c r="X416" s="1645"/>
      <c r="Y416" s="1645"/>
      <c r="Z416" s="1645"/>
      <c r="AA416" s="685"/>
      <c r="AB416" s="1645">
        <v>0</v>
      </c>
    </row>
    <row s="1860" customFormat="1" customHeight="1" ht="15">
      <c r="A417" s="1645"/>
      <c r="B417" s="2407"/>
      <c r="C417" s="2408"/>
      <c r="D417" s="699" t="str">
        <f>B415&amp;".3"</f>
        <v>3.127.3</v>
      </c>
      <c r="E417" s="1677" t="s">
        <v>969</v>
      </c>
      <c r="F417" s="2273" t="s">
        <v>328</v>
      </c>
      <c r="G417" s="1748" t="s">
        <v>22</v>
      </c>
      <c r="H417" s="828" t="s">
        <v>22</v>
      </c>
      <c r="I417" s="1748" t="s">
        <v>22</v>
      </c>
      <c r="J417" s="828" t="s">
        <v>22</v>
      </c>
      <c r="K417" s="1748" t="s">
        <v>22</v>
      </c>
      <c r="L417" s="828" t="s">
        <v>22</v>
      </c>
      <c r="M417" s="1748" t="s">
        <v>22</v>
      </c>
      <c r="N417" s="828" t="s">
        <v>22</v>
      </c>
      <c r="O417" s="1748" t="s">
        <v>22</v>
      </c>
      <c r="P417" s="828" t="s">
        <v>22</v>
      </c>
      <c r="Q417" s="1535" t="s">
        <v>970</v>
      </c>
      <c r="R417" s="1645"/>
      <c r="S417" s="1645"/>
      <c r="T417" s="1645"/>
      <c r="U417" s="1645"/>
      <c r="V417" s="1645"/>
      <c r="W417" s="1645"/>
      <c r="X417" s="1645"/>
      <c r="Y417" s="1645"/>
      <c r="Z417" s="1645"/>
      <c r="AA417" s="685"/>
      <c r="AB417" s="1645">
        <v>0</v>
      </c>
    </row>
    <row s="1860" customFormat="1" customHeight="1" ht="22.5">
      <c r="A418" s="1645"/>
      <c r="B418" s="2407" t="s">
        <v>1119</v>
      </c>
      <c r="C418" s="2408" t="s">
        <v>105</v>
      </c>
      <c r="D418" s="699" t="str">
        <f>B418&amp;".1"</f>
        <v>3.128.1</v>
      </c>
      <c r="E418" s="1677" t="s">
        <v>966</v>
      </c>
      <c r="F418" s="2273" t="s">
        <v>328</v>
      </c>
      <c r="G418" s="2363" t="s">
        <v>22</v>
      </c>
      <c r="H418" s="828" t="s">
        <v>22</v>
      </c>
      <c r="I418" s="2363" t="s">
        <v>983</v>
      </c>
      <c r="J418" s="828" t="s">
        <v>22</v>
      </c>
      <c r="K418" s="2363" t="s">
        <v>22</v>
      </c>
      <c r="L418" s="828" t="s">
        <v>22</v>
      </c>
      <c r="M418" s="2363" t="s">
        <v>22</v>
      </c>
      <c r="N418" s="828" t="s">
        <v>22</v>
      </c>
      <c r="O418" s="2363" t="s">
        <v>22</v>
      </c>
      <c r="P418" s="828" t="s">
        <v>22</v>
      </c>
      <c r="Q418" s="1535"/>
      <c r="R418" s="1645"/>
      <c r="S418" s="1645"/>
      <c r="T418" s="1645"/>
      <c r="U418" s="1645"/>
      <c r="V418" s="1645"/>
      <c r="W418" s="1645"/>
      <c r="X418" s="1645"/>
      <c r="Y418" s="1645"/>
      <c r="Z418" s="1645"/>
      <c r="AA418" s="685"/>
      <c r="AB418" s="1645">
        <v>0</v>
      </c>
    </row>
    <row s="1860" customFormat="1" customHeight="1" ht="15">
      <c r="A419" s="1645"/>
      <c r="B419" s="2407"/>
      <c r="C419" s="2408"/>
      <c r="D419" s="699" t="str">
        <f>B418&amp;".2"</f>
        <v>3.128.2</v>
      </c>
      <c r="E419" s="1677" t="s">
        <v>967</v>
      </c>
      <c r="F419" s="2273" t="s">
        <v>328</v>
      </c>
      <c r="G419" s="1748" t="s">
        <v>22</v>
      </c>
      <c r="H419" s="828" t="s">
        <v>22</v>
      </c>
      <c r="I419" s="1748">
        <v>46156</v>
      </c>
      <c r="J419" s="828" t="s">
        <v>22</v>
      </c>
      <c r="K419" s="1748" t="s">
        <v>22</v>
      </c>
      <c r="L419" s="828" t="s">
        <v>22</v>
      </c>
      <c r="M419" s="1748" t="s">
        <v>22</v>
      </c>
      <c r="N419" s="828" t="s">
        <v>22</v>
      </c>
      <c r="O419" s="1748" t="s">
        <v>22</v>
      </c>
      <c r="P419" s="828" t="s">
        <v>22</v>
      </c>
      <c r="Q419" s="1535" t="s">
        <v>968</v>
      </c>
      <c r="R419" s="1645"/>
      <c r="S419" s="1645"/>
      <c r="T419" s="1645"/>
      <c r="U419" s="1645"/>
      <c r="V419" s="1645"/>
      <c r="W419" s="1645"/>
      <c r="X419" s="1645"/>
      <c r="Y419" s="1645"/>
      <c r="Z419" s="1645"/>
      <c r="AA419" s="685"/>
      <c r="AB419" s="1645">
        <v>0</v>
      </c>
    </row>
    <row s="1860" customFormat="1" customHeight="1" ht="15">
      <c r="A420" s="1645"/>
      <c r="B420" s="2407"/>
      <c r="C420" s="2408"/>
      <c r="D420" s="699" t="str">
        <f>B418&amp;".3"</f>
        <v>3.128.3</v>
      </c>
      <c r="E420" s="1677" t="s">
        <v>969</v>
      </c>
      <c r="F420" s="2273" t="s">
        <v>328</v>
      </c>
      <c r="G420" s="1748" t="s">
        <v>22</v>
      </c>
      <c r="H420" s="828" t="s">
        <v>22</v>
      </c>
      <c r="I420" s="1748" t="s">
        <v>22</v>
      </c>
      <c r="J420" s="828" t="s">
        <v>22</v>
      </c>
      <c r="K420" s="1748" t="s">
        <v>22</v>
      </c>
      <c r="L420" s="828" t="s">
        <v>22</v>
      </c>
      <c r="M420" s="1748" t="s">
        <v>22</v>
      </c>
      <c r="N420" s="828" t="s">
        <v>22</v>
      </c>
      <c r="O420" s="1748" t="s">
        <v>22</v>
      </c>
      <c r="P420" s="828" t="s">
        <v>22</v>
      </c>
      <c r="Q420" s="1535" t="s">
        <v>970</v>
      </c>
      <c r="R420" s="1645"/>
      <c r="S420" s="1645"/>
      <c r="T420" s="1645"/>
      <c r="U420" s="1645"/>
      <c r="V420" s="1645"/>
      <c r="W420" s="1645"/>
      <c r="X420" s="1645"/>
      <c r="Y420" s="1645"/>
      <c r="Z420" s="1645"/>
      <c r="AA420" s="685"/>
      <c r="AB420" s="1645">
        <v>0</v>
      </c>
    </row>
    <row s="1860" customFormat="1" customHeight="1" ht="22.5">
      <c r="A421" s="1645"/>
      <c r="B421" s="2407" t="s">
        <v>1120</v>
      </c>
      <c r="C421" s="2408" t="s">
        <v>105</v>
      </c>
      <c r="D421" s="699" t="str">
        <f>B421&amp;".1"</f>
        <v>3.129.1</v>
      </c>
      <c r="E421" s="1677" t="s">
        <v>966</v>
      </c>
      <c r="F421" s="2273" t="s">
        <v>328</v>
      </c>
      <c r="G421" s="2363" t="s">
        <v>22</v>
      </c>
      <c r="H421" s="828" t="s">
        <v>22</v>
      </c>
      <c r="I421" s="2363" t="s">
        <v>983</v>
      </c>
      <c r="J421" s="828" t="s">
        <v>22</v>
      </c>
      <c r="K421" s="2363" t="s">
        <v>22</v>
      </c>
      <c r="L421" s="828" t="s">
        <v>22</v>
      </c>
      <c r="M421" s="2363" t="s">
        <v>22</v>
      </c>
      <c r="N421" s="828" t="s">
        <v>22</v>
      </c>
      <c r="O421" s="2363" t="s">
        <v>22</v>
      </c>
      <c r="P421" s="828" t="s">
        <v>22</v>
      </c>
      <c r="Q421" s="1535"/>
      <c r="R421" s="1645"/>
      <c r="S421" s="1645"/>
      <c r="T421" s="1645"/>
      <c r="U421" s="1645"/>
      <c r="V421" s="1645"/>
      <c r="W421" s="1645"/>
      <c r="X421" s="1645"/>
      <c r="Y421" s="1645"/>
      <c r="Z421" s="1645"/>
      <c r="AA421" s="685"/>
      <c r="AB421" s="1645">
        <v>0</v>
      </c>
    </row>
    <row s="1860" customFormat="1" customHeight="1" ht="15">
      <c r="A422" s="1645"/>
      <c r="B422" s="2407"/>
      <c r="C422" s="2408"/>
      <c r="D422" s="699" t="str">
        <f>B421&amp;".2"</f>
        <v>3.129.2</v>
      </c>
      <c r="E422" s="1677" t="s">
        <v>967</v>
      </c>
      <c r="F422" s="2273" t="s">
        <v>328</v>
      </c>
      <c r="G422" s="1748" t="s">
        <v>22</v>
      </c>
      <c r="H422" s="828" t="s">
        <v>22</v>
      </c>
      <c r="I422" s="1748">
        <v>46156</v>
      </c>
      <c r="J422" s="828" t="s">
        <v>22</v>
      </c>
      <c r="K422" s="1748" t="s">
        <v>22</v>
      </c>
      <c r="L422" s="828" t="s">
        <v>22</v>
      </c>
      <c r="M422" s="1748" t="s">
        <v>22</v>
      </c>
      <c r="N422" s="828" t="s">
        <v>22</v>
      </c>
      <c r="O422" s="1748" t="s">
        <v>22</v>
      </c>
      <c r="P422" s="828" t="s">
        <v>22</v>
      </c>
      <c r="Q422" s="1535" t="s">
        <v>968</v>
      </c>
      <c r="R422" s="1645"/>
      <c r="S422" s="1645"/>
      <c r="T422" s="1645"/>
      <c r="U422" s="1645"/>
      <c r="V422" s="1645"/>
      <c r="W422" s="1645"/>
      <c r="X422" s="1645"/>
      <c r="Y422" s="1645"/>
      <c r="Z422" s="1645"/>
      <c r="AA422" s="685"/>
      <c r="AB422" s="1645">
        <v>0</v>
      </c>
    </row>
    <row s="1860" customFormat="1" customHeight="1" ht="15">
      <c r="A423" s="1645"/>
      <c r="B423" s="2407"/>
      <c r="C423" s="2408"/>
      <c r="D423" s="699" t="str">
        <f>B421&amp;".3"</f>
        <v>3.129.3</v>
      </c>
      <c r="E423" s="1677" t="s">
        <v>969</v>
      </c>
      <c r="F423" s="2273" t="s">
        <v>328</v>
      </c>
      <c r="G423" s="1748" t="s">
        <v>22</v>
      </c>
      <c r="H423" s="828" t="s">
        <v>22</v>
      </c>
      <c r="I423" s="1748" t="s">
        <v>22</v>
      </c>
      <c r="J423" s="828" t="s">
        <v>22</v>
      </c>
      <c r="K423" s="1748" t="s">
        <v>22</v>
      </c>
      <c r="L423" s="828" t="s">
        <v>22</v>
      </c>
      <c r="M423" s="1748" t="s">
        <v>22</v>
      </c>
      <c r="N423" s="828" t="s">
        <v>22</v>
      </c>
      <c r="O423" s="1748" t="s">
        <v>22</v>
      </c>
      <c r="P423" s="828" t="s">
        <v>22</v>
      </c>
      <c r="Q423" s="1535" t="s">
        <v>970</v>
      </c>
      <c r="R423" s="1645"/>
      <c r="S423" s="1645"/>
      <c r="T423" s="1645"/>
      <c r="U423" s="1645"/>
      <c r="V423" s="1645"/>
      <c r="W423" s="1645"/>
      <c r="X423" s="1645"/>
      <c r="Y423" s="1645"/>
      <c r="Z423" s="1645"/>
      <c r="AA423" s="685"/>
      <c r="AB423" s="1645">
        <v>0</v>
      </c>
    </row>
    <row s="1860" customFormat="1" customHeight="1" ht="22.5">
      <c r="A424" s="1645"/>
      <c r="B424" s="2407" t="s">
        <v>1121</v>
      </c>
      <c r="C424" s="2408" t="s">
        <v>105</v>
      </c>
      <c r="D424" s="699" t="str">
        <f>B424&amp;".1"</f>
        <v>3.130.1</v>
      </c>
      <c r="E424" s="1677" t="s">
        <v>966</v>
      </c>
      <c r="F424" s="2273" t="s">
        <v>328</v>
      </c>
      <c r="G424" s="2363" t="s">
        <v>22</v>
      </c>
      <c r="H424" s="828" t="s">
        <v>22</v>
      </c>
      <c r="I424" s="2363" t="s">
        <v>983</v>
      </c>
      <c r="J424" s="828" t="s">
        <v>22</v>
      </c>
      <c r="K424" s="2363" t="s">
        <v>22</v>
      </c>
      <c r="L424" s="828" t="s">
        <v>22</v>
      </c>
      <c r="M424" s="2363" t="s">
        <v>22</v>
      </c>
      <c r="N424" s="828" t="s">
        <v>22</v>
      </c>
      <c r="O424" s="2363" t="s">
        <v>22</v>
      </c>
      <c r="P424" s="828" t="s">
        <v>22</v>
      </c>
      <c r="Q424" s="1535"/>
      <c r="R424" s="1645"/>
      <c r="S424" s="1645"/>
      <c r="T424" s="1645"/>
      <c r="U424" s="1645"/>
      <c r="V424" s="1645"/>
      <c r="W424" s="1645"/>
      <c r="X424" s="1645"/>
      <c r="Y424" s="1645"/>
      <c r="Z424" s="1645"/>
      <c r="AA424" s="685"/>
      <c r="AB424" s="1645">
        <v>0</v>
      </c>
    </row>
    <row s="1860" customFormat="1" customHeight="1" ht="15">
      <c r="A425" s="1645"/>
      <c r="B425" s="2407"/>
      <c r="C425" s="2408"/>
      <c r="D425" s="699" t="str">
        <f>B424&amp;".2"</f>
        <v>3.130.2</v>
      </c>
      <c r="E425" s="1677" t="s">
        <v>967</v>
      </c>
      <c r="F425" s="2273" t="s">
        <v>328</v>
      </c>
      <c r="G425" s="1748" t="s">
        <v>22</v>
      </c>
      <c r="H425" s="828" t="s">
        <v>22</v>
      </c>
      <c r="I425" s="1748">
        <v>46157</v>
      </c>
      <c r="J425" s="828" t="s">
        <v>22</v>
      </c>
      <c r="K425" s="1748" t="s">
        <v>22</v>
      </c>
      <c r="L425" s="828" t="s">
        <v>22</v>
      </c>
      <c r="M425" s="1748" t="s">
        <v>22</v>
      </c>
      <c r="N425" s="828" t="s">
        <v>22</v>
      </c>
      <c r="O425" s="1748" t="s">
        <v>22</v>
      </c>
      <c r="P425" s="828" t="s">
        <v>22</v>
      </c>
      <c r="Q425" s="1535" t="s">
        <v>968</v>
      </c>
      <c r="R425" s="1645"/>
      <c r="S425" s="1645"/>
      <c r="T425" s="1645"/>
      <c r="U425" s="1645"/>
      <c r="V425" s="1645"/>
      <c r="W425" s="1645"/>
      <c r="X425" s="1645"/>
      <c r="Y425" s="1645"/>
      <c r="Z425" s="1645"/>
      <c r="AA425" s="685"/>
      <c r="AB425" s="1645">
        <v>0</v>
      </c>
    </row>
    <row s="1860" customFormat="1" customHeight="1" ht="15">
      <c r="A426" s="1645"/>
      <c r="B426" s="2407"/>
      <c r="C426" s="2408"/>
      <c r="D426" s="699" t="str">
        <f>B424&amp;".3"</f>
        <v>3.130.3</v>
      </c>
      <c r="E426" s="1677" t="s">
        <v>969</v>
      </c>
      <c r="F426" s="2273" t="s">
        <v>328</v>
      </c>
      <c r="G426" s="1748" t="s">
        <v>22</v>
      </c>
      <c r="H426" s="828" t="s">
        <v>22</v>
      </c>
      <c r="I426" s="1748" t="s">
        <v>22</v>
      </c>
      <c r="J426" s="828" t="s">
        <v>22</v>
      </c>
      <c r="K426" s="1748" t="s">
        <v>22</v>
      </c>
      <c r="L426" s="828" t="s">
        <v>22</v>
      </c>
      <c r="M426" s="1748" t="s">
        <v>22</v>
      </c>
      <c r="N426" s="828" t="s">
        <v>22</v>
      </c>
      <c r="O426" s="1748" t="s">
        <v>22</v>
      </c>
      <c r="P426" s="828" t="s">
        <v>22</v>
      </c>
      <c r="Q426" s="1535" t="s">
        <v>970</v>
      </c>
      <c r="R426" s="1645"/>
      <c r="S426" s="1645"/>
      <c r="T426" s="1645"/>
      <c r="U426" s="1645"/>
      <c r="V426" s="1645"/>
      <c r="W426" s="1645"/>
      <c r="X426" s="1645"/>
      <c r="Y426" s="1645"/>
      <c r="Z426" s="1645"/>
      <c r="AA426" s="685"/>
      <c r="AB426" s="1645">
        <v>0</v>
      </c>
    </row>
    <row s="1860" customFormat="1" customHeight="1" ht="22.5">
      <c r="A427" s="1645"/>
      <c r="B427" s="2407" t="s">
        <v>1122</v>
      </c>
      <c r="C427" s="2408" t="s">
        <v>105</v>
      </c>
      <c r="D427" s="699" t="str">
        <f>B427&amp;".1"</f>
        <v>3.131.1</v>
      </c>
      <c r="E427" s="1677" t="s">
        <v>966</v>
      </c>
      <c r="F427" s="2273" t="s">
        <v>328</v>
      </c>
      <c r="G427" s="2363" t="s">
        <v>22</v>
      </c>
      <c r="H427" s="828" t="s">
        <v>22</v>
      </c>
      <c r="I427" s="2363" t="s">
        <v>983</v>
      </c>
      <c r="J427" s="828" t="s">
        <v>22</v>
      </c>
      <c r="K427" s="2363" t="s">
        <v>22</v>
      </c>
      <c r="L427" s="828" t="s">
        <v>22</v>
      </c>
      <c r="M427" s="2363" t="s">
        <v>22</v>
      </c>
      <c r="N427" s="828" t="s">
        <v>22</v>
      </c>
      <c r="O427" s="2363" t="s">
        <v>22</v>
      </c>
      <c r="P427" s="828" t="s">
        <v>22</v>
      </c>
      <c r="Q427" s="1535"/>
      <c r="R427" s="1645"/>
      <c r="S427" s="1645"/>
      <c r="T427" s="1645"/>
      <c r="U427" s="1645"/>
      <c r="V427" s="1645"/>
      <c r="W427" s="1645"/>
      <c r="X427" s="1645"/>
      <c r="Y427" s="1645"/>
      <c r="Z427" s="1645"/>
      <c r="AA427" s="685"/>
      <c r="AB427" s="1645">
        <v>0</v>
      </c>
    </row>
    <row s="1860" customFormat="1" customHeight="1" ht="15">
      <c r="A428" s="1645"/>
      <c r="B428" s="2407"/>
      <c r="C428" s="2408"/>
      <c r="D428" s="699" t="str">
        <f>B427&amp;".2"</f>
        <v>3.131.2</v>
      </c>
      <c r="E428" s="1677" t="s">
        <v>967</v>
      </c>
      <c r="F428" s="2273" t="s">
        <v>328</v>
      </c>
      <c r="G428" s="1748" t="s">
        <v>22</v>
      </c>
      <c r="H428" s="828" t="s">
        <v>22</v>
      </c>
      <c r="I428" s="1748">
        <v>46157</v>
      </c>
      <c r="J428" s="828" t="s">
        <v>22</v>
      </c>
      <c r="K428" s="1748" t="s">
        <v>22</v>
      </c>
      <c r="L428" s="828" t="s">
        <v>22</v>
      </c>
      <c r="M428" s="1748" t="s">
        <v>22</v>
      </c>
      <c r="N428" s="828" t="s">
        <v>22</v>
      </c>
      <c r="O428" s="1748" t="s">
        <v>22</v>
      </c>
      <c r="P428" s="828" t="s">
        <v>22</v>
      </c>
      <c r="Q428" s="1535" t="s">
        <v>968</v>
      </c>
      <c r="R428" s="1645"/>
      <c r="S428" s="1645"/>
      <c r="T428" s="1645"/>
      <c r="U428" s="1645"/>
      <c r="V428" s="1645"/>
      <c r="W428" s="1645"/>
      <c r="X428" s="1645"/>
      <c r="Y428" s="1645"/>
      <c r="Z428" s="1645"/>
      <c r="AA428" s="685"/>
      <c r="AB428" s="1645">
        <v>0</v>
      </c>
    </row>
    <row s="1860" customFormat="1" customHeight="1" ht="15">
      <c r="A429" s="1645"/>
      <c r="B429" s="2407"/>
      <c r="C429" s="2408"/>
      <c r="D429" s="699" t="str">
        <f>B427&amp;".3"</f>
        <v>3.131.3</v>
      </c>
      <c r="E429" s="1677" t="s">
        <v>969</v>
      </c>
      <c r="F429" s="2273" t="s">
        <v>328</v>
      </c>
      <c r="G429" s="1748" t="s">
        <v>22</v>
      </c>
      <c r="H429" s="828" t="s">
        <v>22</v>
      </c>
      <c r="I429" s="1748" t="s">
        <v>22</v>
      </c>
      <c r="J429" s="828" t="s">
        <v>22</v>
      </c>
      <c r="K429" s="1748" t="s">
        <v>22</v>
      </c>
      <c r="L429" s="828" t="s">
        <v>22</v>
      </c>
      <c r="M429" s="1748" t="s">
        <v>22</v>
      </c>
      <c r="N429" s="828" t="s">
        <v>22</v>
      </c>
      <c r="O429" s="1748" t="s">
        <v>22</v>
      </c>
      <c r="P429" s="828" t="s">
        <v>22</v>
      </c>
      <c r="Q429" s="1535" t="s">
        <v>970</v>
      </c>
      <c r="R429" s="1645"/>
      <c r="S429" s="1645"/>
      <c r="T429" s="1645"/>
      <c r="U429" s="1645"/>
      <c r="V429" s="1645"/>
      <c r="W429" s="1645"/>
      <c r="X429" s="1645"/>
      <c r="Y429" s="1645"/>
      <c r="Z429" s="1645"/>
      <c r="AA429" s="685"/>
      <c r="AB429" s="1645">
        <v>0</v>
      </c>
    </row>
    <row s="1860" customFormat="1" customHeight="1" ht="22.5">
      <c r="A430" s="1645"/>
      <c r="B430" s="2407" t="s">
        <v>1123</v>
      </c>
      <c r="C430" s="2408" t="s">
        <v>105</v>
      </c>
      <c r="D430" s="699" t="str">
        <f>B430&amp;".1"</f>
        <v>3.132.1</v>
      </c>
      <c r="E430" s="1677" t="s">
        <v>966</v>
      </c>
      <c r="F430" s="2273" t="s">
        <v>328</v>
      </c>
      <c r="G430" s="2363" t="s">
        <v>22</v>
      </c>
      <c r="H430" s="828" t="s">
        <v>22</v>
      </c>
      <c r="I430" s="2363" t="s">
        <v>983</v>
      </c>
      <c r="J430" s="828" t="s">
        <v>22</v>
      </c>
      <c r="K430" s="2363" t="s">
        <v>22</v>
      </c>
      <c r="L430" s="828" t="s">
        <v>22</v>
      </c>
      <c r="M430" s="2363" t="s">
        <v>22</v>
      </c>
      <c r="N430" s="828" t="s">
        <v>22</v>
      </c>
      <c r="O430" s="2363" t="s">
        <v>22</v>
      </c>
      <c r="P430" s="828" t="s">
        <v>22</v>
      </c>
      <c r="Q430" s="1535"/>
      <c r="R430" s="1645"/>
      <c r="S430" s="1645"/>
      <c r="T430" s="1645"/>
      <c r="U430" s="1645"/>
      <c r="V430" s="1645"/>
      <c r="W430" s="1645"/>
      <c r="X430" s="1645"/>
      <c r="Y430" s="1645"/>
      <c r="Z430" s="1645"/>
      <c r="AA430" s="685"/>
      <c r="AB430" s="1645">
        <v>0</v>
      </c>
    </row>
    <row s="1860" customFormat="1" customHeight="1" ht="15">
      <c r="A431" s="1645"/>
      <c r="B431" s="2407"/>
      <c r="C431" s="2408"/>
      <c r="D431" s="699" t="str">
        <f>B430&amp;".2"</f>
        <v>3.132.2</v>
      </c>
      <c r="E431" s="1677" t="s">
        <v>967</v>
      </c>
      <c r="F431" s="2273" t="s">
        <v>328</v>
      </c>
      <c r="G431" s="1748" t="s">
        <v>22</v>
      </c>
      <c r="H431" s="828" t="s">
        <v>22</v>
      </c>
      <c r="I431" s="1748">
        <v>46157</v>
      </c>
      <c r="J431" s="828" t="s">
        <v>22</v>
      </c>
      <c r="K431" s="1748" t="s">
        <v>22</v>
      </c>
      <c r="L431" s="828" t="s">
        <v>22</v>
      </c>
      <c r="M431" s="1748" t="s">
        <v>22</v>
      </c>
      <c r="N431" s="828" t="s">
        <v>22</v>
      </c>
      <c r="O431" s="1748" t="s">
        <v>22</v>
      </c>
      <c r="P431" s="828" t="s">
        <v>22</v>
      </c>
      <c r="Q431" s="1535" t="s">
        <v>968</v>
      </c>
      <c r="R431" s="1645"/>
      <c r="S431" s="1645"/>
      <c r="T431" s="1645"/>
      <c r="U431" s="1645"/>
      <c r="V431" s="1645"/>
      <c r="W431" s="1645"/>
      <c r="X431" s="1645"/>
      <c r="Y431" s="1645"/>
      <c r="Z431" s="1645"/>
      <c r="AA431" s="685"/>
      <c r="AB431" s="1645">
        <v>0</v>
      </c>
    </row>
    <row s="1860" customFormat="1" customHeight="1" ht="15">
      <c r="A432" s="1645"/>
      <c r="B432" s="2407"/>
      <c r="C432" s="2408"/>
      <c r="D432" s="699" t="str">
        <f>B430&amp;".3"</f>
        <v>3.132.3</v>
      </c>
      <c r="E432" s="1677" t="s">
        <v>969</v>
      </c>
      <c r="F432" s="2273" t="s">
        <v>328</v>
      </c>
      <c r="G432" s="1748" t="s">
        <v>22</v>
      </c>
      <c r="H432" s="828" t="s">
        <v>22</v>
      </c>
      <c r="I432" s="1748" t="s">
        <v>22</v>
      </c>
      <c r="J432" s="828" t="s">
        <v>22</v>
      </c>
      <c r="K432" s="1748" t="s">
        <v>22</v>
      </c>
      <c r="L432" s="828" t="s">
        <v>22</v>
      </c>
      <c r="M432" s="1748" t="s">
        <v>22</v>
      </c>
      <c r="N432" s="828" t="s">
        <v>22</v>
      </c>
      <c r="O432" s="1748" t="s">
        <v>22</v>
      </c>
      <c r="P432" s="828" t="s">
        <v>22</v>
      </c>
      <c r="Q432" s="1535" t="s">
        <v>970</v>
      </c>
      <c r="R432" s="1645"/>
      <c r="S432" s="1645"/>
      <c r="T432" s="1645"/>
      <c r="U432" s="1645"/>
      <c r="V432" s="1645"/>
      <c r="W432" s="1645"/>
      <c r="X432" s="1645"/>
      <c r="Y432" s="1645"/>
      <c r="Z432" s="1645"/>
      <c r="AA432" s="685"/>
      <c r="AB432" s="1645">
        <v>0</v>
      </c>
    </row>
    <row s="1860" customFormat="1" customHeight="1" ht="22.5">
      <c r="A433" s="1645"/>
      <c r="B433" s="2407" t="s">
        <v>1124</v>
      </c>
      <c r="C433" s="2408" t="s">
        <v>105</v>
      </c>
      <c r="D433" s="699" t="str">
        <f>B433&amp;".1"</f>
        <v>3.133.1</v>
      </c>
      <c r="E433" s="1677" t="s">
        <v>966</v>
      </c>
      <c r="F433" s="2273" t="s">
        <v>328</v>
      </c>
      <c r="G433" s="2363" t="s">
        <v>22</v>
      </c>
      <c r="H433" s="828" t="s">
        <v>22</v>
      </c>
      <c r="I433" s="2363" t="s">
        <v>983</v>
      </c>
      <c r="J433" s="828" t="s">
        <v>22</v>
      </c>
      <c r="K433" s="2363" t="s">
        <v>22</v>
      </c>
      <c r="L433" s="828" t="s">
        <v>22</v>
      </c>
      <c r="M433" s="2363" t="s">
        <v>22</v>
      </c>
      <c r="N433" s="828" t="s">
        <v>22</v>
      </c>
      <c r="O433" s="2363" t="s">
        <v>22</v>
      </c>
      <c r="P433" s="828" t="s">
        <v>22</v>
      </c>
      <c r="Q433" s="1535"/>
      <c r="R433" s="1645"/>
      <c r="S433" s="1645"/>
      <c r="T433" s="1645"/>
      <c r="U433" s="1645"/>
      <c r="V433" s="1645"/>
      <c r="W433" s="1645"/>
      <c r="X433" s="1645"/>
      <c r="Y433" s="1645"/>
      <c r="Z433" s="1645"/>
      <c r="AA433" s="685"/>
      <c r="AB433" s="1645">
        <v>0</v>
      </c>
    </row>
    <row s="1860" customFormat="1" customHeight="1" ht="15">
      <c r="A434" s="1645"/>
      <c r="B434" s="2407"/>
      <c r="C434" s="2408"/>
      <c r="D434" s="699" t="str">
        <f>B433&amp;".2"</f>
        <v>3.133.2</v>
      </c>
      <c r="E434" s="1677" t="s">
        <v>967</v>
      </c>
      <c r="F434" s="2273" t="s">
        <v>328</v>
      </c>
      <c r="G434" s="1748" t="s">
        <v>22</v>
      </c>
      <c r="H434" s="828" t="s">
        <v>22</v>
      </c>
      <c r="I434" s="1748">
        <v>46157</v>
      </c>
      <c r="J434" s="828" t="s">
        <v>22</v>
      </c>
      <c r="K434" s="1748" t="s">
        <v>22</v>
      </c>
      <c r="L434" s="828" t="s">
        <v>22</v>
      </c>
      <c r="M434" s="1748" t="s">
        <v>22</v>
      </c>
      <c r="N434" s="828" t="s">
        <v>22</v>
      </c>
      <c r="O434" s="1748" t="s">
        <v>22</v>
      </c>
      <c r="P434" s="828" t="s">
        <v>22</v>
      </c>
      <c r="Q434" s="1535" t="s">
        <v>968</v>
      </c>
      <c r="R434" s="1645"/>
      <c r="S434" s="1645"/>
      <c r="T434" s="1645"/>
      <c r="U434" s="1645"/>
      <c r="V434" s="1645"/>
      <c r="W434" s="1645"/>
      <c r="X434" s="1645"/>
      <c r="Y434" s="1645"/>
      <c r="Z434" s="1645"/>
      <c r="AA434" s="685"/>
      <c r="AB434" s="1645">
        <v>0</v>
      </c>
    </row>
    <row s="1860" customFormat="1" customHeight="1" ht="15">
      <c r="A435" s="1645"/>
      <c r="B435" s="2407"/>
      <c r="C435" s="2408"/>
      <c r="D435" s="699" t="str">
        <f>B433&amp;".3"</f>
        <v>3.133.3</v>
      </c>
      <c r="E435" s="1677" t="s">
        <v>969</v>
      </c>
      <c r="F435" s="2273" t="s">
        <v>328</v>
      </c>
      <c r="G435" s="1748" t="s">
        <v>22</v>
      </c>
      <c r="H435" s="828" t="s">
        <v>22</v>
      </c>
      <c r="I435" s="1748" t="s">
        <v>22</v>
      </c>
      <c r="J435" s="828" t="s">
        <v>22</v>
      </c>
      <c r="K435" s="1748" t="s">
        <v>22</v>
      </c>
      <c r="L435" s="828" t="s">
        <v>22</v>
      </c>
      <c r="M435" s="1748" t="s">
        <v>22</v>
      </c>
      <c r="N435" s="828" t="s">
        <v>22</v>
      </c>
      <c r="O435" s="1748" t="s">
        <v>22</v>
      </c>
      <c r="P435" s="828" t="s">
        <v>22</v>
      </c>
      <c r="Q435" s="1535" t="s">
        <v>970</v>
      </c>
      <c r="R435" s="1645"/>
      <c r="S435" s="1645"/>
      <c r="T435" s="1645"/>
      <c r="U435" s="1645"/>
      <c r="V435" s="1645"/>
      <c r="W435" s="1645"/>
      <c r="X435" s="1645"/>
      <c r="Y435" s="1645"/>
      <c r="Z435" s="1645"/>
      <c r="AA435" s="685"/>
      <c r="AB435" s="1645">
        <v>0</v>
      </c>
    </row>
    <row s="1860" customFormat="1" customHeight="1" ht="22.5">
      <c r="A436" s="1645"/>
      <c r="B436" s="2407" t="s">
        <v>1125</v>
      </c>
      <c r="C436" s="2408" t="s">
        <v>105</v>
      </c>
      <c r="D436" s="699" t="str">
        <f>B436&amp;".1"</f>
        <v>3.134.1</v>
      </c>
      <c r="E436" s="1677" t="s">
        <v>966</v>
      </c>
      <c r="F436" s="2273" t="s">
        <v>328</v>
      </c>
      <c r="G436" s="2363" t="s">
        <v>22</v>
      </c>
      <c r="H436" s="828" t="s">
        <v>22</v>
      </c>
      <c r="I436" s="2363" t="s">
        <v>983</v>
      </c>
      <c r="J436" s="828" t="s">
        <v>22</v>
      </c>
      <c r="K436" s="2363" t="s">
        <v>22</v>
      </c>
      <c r="L436" s="828" t="s">
        <v>22</v>
      </c>
      <c r="M436" s="2363" t="s">
        <v>22</v>
      </c>
      <c r="N436" s="828" t="s">
        <v>22</v>
      </c>
      <c r="O436" s="2363" t="s">
        <v>22</v>
      </c>
      <c r="P436" s="828" t="s">
        <v>22</v>
      </c>
      <c r="Q436" s="1535"/>
      <c r="R436" s="1645"/>
      <c r="S436" s="1645"/>
      <c r="T436" s="1645"/>
      <c r="U436" s="1645"/>
      <c r="V436" s="1645"/>
      <c r="W436" s="1645"/>
      <c r="X436" s="1645"/>
      <c r="Y436" s="1645"/>
      <c r="Z436" s="1645"/>
      <c r="AA436" s="685"/>
      <c r="AB436" s="1645">
        <v>0</v>
      </c>
    </row>
    <row s="1860" customFormat="1" customHeight="1" ht="15">
      <c r="A437" s="1645"/>
      <c r="B437" s="2407"/>
      <c r="C437" s="2408"/>
      <c r="D437" s="699" t="str">
        <f>B436&amp;".2"</f>
        <v>3.134.2</v>
      </c>
      <c r="E437" s="1677" t="s">
        <v>967</v>
      </c>
      <c r="F437" s="2273" t="s">
        <v>328</v>
      </c>
      <c r="G437" s="1748" t="s">
        <v>22</v>
      </c>
      <c r="H437" s="828" t="s">
        <v>22</v>
      </c>
      <c r="I437" s="1748">
        <v>46157</v>
      </c>
      <c r="J437" s="828" t="s">
        <v>22</v>
      </c>
      <c r="K437" s="1748" t="s">
        <v>22</v>
      </c>
      <c r="L437" s="828" t="s">
        <v>22</v>
      </c>
      <c r="M437" s="1748" t="s">
        <v>22</v>
      </c>
      <c r="N437" s="828" t="s">
        <v>22</v>
      </c>
      <c r="O437" s="1748" t="s">
        <v>22</v>
      </c>
      <c r="P437" s="828" t="s">
        <v>22</v>
      </c>
      <c r="Q437" s="1535" t="s">
        <v>968</v>
      </c>
      <c r="R437" s="1645"/>
      <c r="S437" s="1645"/>
      <c r="T437" s="1645"/>
      <c r="U437" s="1645"/>
      <c r="V437" s="1645"/>
      <c r="W437" s="1645"/>
      <c r="X437" s="1645"/>
      <c r="Y437" s="1645"/>
      <c r="Z437" s="1645"/>
      <c r="AA437" s="685"/>
      <c r="AB437" s="1645">
        <v>0</v>
      </c>
    </row>
    <row s="1860" customFormat="1" customHeight="1" ht="15">
      <c r="A438" s="1645"/>
      <c r="B438" s="2407"/>
      <c r="C438" s="2408"/>
      <c r="D438" s="699" t="str">
        <f>B436&amp;".3"</f>
        <v>3.134.3</v>
      </c>
      <c r="E438" s="1677" t="s">
        <v>969</v>
      </c>
      <c r="F438" s="2273" t="s">
        <v>328</v>
      </c>
      <c r="G438" s="1748" t="s">
        <v>22</v>
      </c>
      <c r="H438" s="828" t="s">
        <v>22</v>
      </c>
      <c r="I438" s="1748" t="s">
        <v>22</v>
      </c>
      <c r="J438" s="828" t="s">
        <v>22</v>
      </c>
      <c r="K438" s="1748" t="s">
        <v>22</v>
      </c>
      <c r="L438" s="828" t="s">
        <v>22</v>
      </c>
      <c r="M438" s="1748" t="s">
        <v>22</v>
      </c>
      <c r="N438" s="828" t="s">
        <v>22</v>
      </c>
      <c r="O438" s="1748" t="s">
        <v>22</v>
      </c>
      <c r="P438" s="828" t="s">
        <v>22</v>
      </c>
      <c r="Q438" s="1535" t="s">
        <v>970</v>
      </c>
      <c r="R438" s="1645"/>
      <c r="S438" s="1645"/>
      <c r="T438" s="1645"/>
      <c r="U438" s="1645"/>
      <c r="V438" s="1645"/>
      <c r="W438" s="1645"/>
      <c r="X438" s="1645"/>
      <c r="Y438" s="1645"/>
      <c r="Z438" s="1645"/>
      <c r="AA438" s="685"/>
      <c r="AB438" s="1645">
        <v>0</v>
      </c>
    </row>
    <row s="1860" customFormat="1" customHeight="1" ht="22.5">
      <c r="A439" s="1645"/>
      <c r="B439" s="2407" t="s">
        <v>1126</v>
      </c>
      <c r="C439" s="2408" t="s">
        <v>105</v>
      </c>
      <c r="D439" s="699" t="str">
        <f>B439&amp;".1"</f>
        <v>3.135.1</v>
      </c>
      <c r="E439" s="1677" t="s">
        <v>966</v>
      </c>
      <c r="F439" s="2273" t="s">
        <v>328</v>
      </c>
      <c r="G439" s="2363" t="s">
        <v>22</v>
      </c>
      <c r="H439" s="828" t="s">
        <v>22</v>
      </c>
      <c r="I439" s="2363" t="s">
        <v>983</v>
      </c>
      <c r="J439" s="828" t="s">
        <v>22</v>
      </c>
      <c r="K439" s="2363" t="s">
        <v>22</v>
      </c>
      <c r="L439" s="828" t="s">
        <v>22</v>
      </c>
      <c r="M439" s="2363" t="s">
        <v>22</v>
      </c>
      <c r="N439" s="828" t="s">
        <v>22</v>
      </c>
      <c r="O439" s="2363" t="s">
        <v>22</v>
      </c>
      <c r="P439" s="828" t="s">
        <v>22</v>
      </c>
      <c r="Q439" s="1535"/>
      <c r="R439" s="1645"/>
      <c r="S439" s="1645"/>
      <c r="T439" s="1645"/>
      <c r="U439" s="1645"/>
      <c r="V439" s="1645"/>
      <c r="W439" s="1645"/>
      <c r="X439" s="1645"/>
      <c r="Y439" s="1645"/>
      <c r="Z439" s="1645"/>
      <c r="AA439" s="685"/>
      <c r="AB439" s="1645">
        <v>0</v>
      </c>
    </row>
    <row s="1860" customFormat="1" customHeight="1" ht="15">
      <c r="A440" s="1645"/>
      <c r="B440" s="2407"/>
      <c r="C440" s="2408"/>
      <c r="D440" s="699" t="str">
        <f>B439&amp;".2"</f>
        <v>3.135.2</v>
      </c>
      <c r="E440" s="1677" t="s">
        <v>967</v>
      </c>
      <c r="F440" s="2273" t="s">
        <v>328</v>
      </c>
      <c r="G440" s="1748" t="s">
        <v>22</v>
      </c>
      <c r="H440" s="828" t="s">
        <v>22</v>
      </c>
      <c r="I440" s="1748">
        <v>46157</v>
      </c>
      <c r="J440" s="828" t="s">
        <v>22</v>
      </c>
      <c r="K440" s="1748" t="s">
        <v>22</v>
      </c>
      <c r="L440" s="828" t="s">
        <v>22</v>
      </c>
      <c r="M440" s="1748" t="s">
        <v>22</v>
      </c>
      <c r="N440" s="828" t="s">
        <v>22</v>
      </c>
      <c r="O440" s="1748" t="s">
        <v>22</v>
      </c>
      <c r="P440" s="828" t="s">
        <v>22</v>
      </c>
      <c r="Q440" s="1535" t="s">
        <v>968</v>
      </c>
      <c r="R440" s="1645"/>
      <c r="S440" s="1645"/>
      <c r="T440" s="1645"/>
      <c r="U440" s="1645"/>
      <c r="V440" s="1645"/>
      <c r="W440" s="1645"/>
      <c r="X440" s="1645"/>
      <c r="Y440" s="1645"/>
      <c r="Z440" s="1645"/>
      <c r="AA440" s="685"/>
      <c r="AB440" s="1645">
        <v>0</v>
      </c>
    </row>
    <row s="1860" customFormat="1" customHeight="1" ht="15">
      <c r="A441" s="1645"/>
      <c r="B441" s="2407"/>
      <c r="C441" s="2408"/>
      <c r="D441" s="699" t="str">
        <f>B439&amp;".3"</f>
        <v>3.135.3</v>
      </c>
      <c r="E441" s="1677" t="s">
        <v>969</v>
      </c>
      <c r="F441" s="2273" t="s">
        <v>328</v>
      </c>
      <c r="G441" s="1748" t="s">
        <v>22</v>
      </c>
      <c r="H441" s="828" t="s">
        <v>22</v>
      </c>
      <c r="I441" s="1748" t="s">
        <v>22</v>
      </c>
      <c r="J441" s="828" t="s">
        <v>22</v>
      </c>
      <c r="K441" s="1748" t="s">
        <v>22</v>
      </c>
      <c r="L441" s="828" t="s">
        <v>22</v>
      </c>
      <c r="M441" s="1748" t="s">
        <v>22</v>
      </c>
      <c r="N441" s="828" t="s">
        <v>22</v>
      </c>
      <c r="O441" s="1748" t="s">
        <v>22</v>
      </c>
      <c r="P441" s="828" t="s">
        <v>22</v>
      </c>
      <c r="Q441" s="1535" t="s">
        <v>970</v>
      </c>
      <c r="R441" s="1645"/>
      <c r="S441" s="1645"/>
      <c r="T441" s="1645"/>
      <c r="U441" s="1645"/>
      <c r="V441" s="1645"/>
      <c r="W441" s="1645"/>
      <c r="X441" s="1645"/>
      <c r="Y441" s="1645"/>
      <c r="Z441" s="1645"/>
      <c r="AA441" s="685"/>
      <c r="AB441" s="1645">
        <v>0</v>
      </c>
    </row>
    <row s="1860" customFormat="1" customHeight="1" ht="22.5">
      <c r="A442" s="1645"/>
      <c r="B442" s="2407" t="s">
        <v>1127</v>
      </c>
      <c r="C442" s="2408" t="s">
        <v>105</v>
      </c>
      <c r="D442" s="699" t="str">
        <f>B442&amp;".1"</f>
        <v>3.136.1</v>
      </c>
      <c r="E442" s="1677" t="s">
        <v>966</v>
      </c>
      <c r="F442" s="2273" t="s">
        <v>328</v>
      </c>
      <c r="G442" s="2363" t="s">
        <v>22</v>
      </c>
      <c r="H442" s="828" t="s">
        <v>22</v>
      </c>
      <c r="I442" s="2363" t="s">
        <v>983</v>
      </c>
      <c r="J442" s="828" t="s">
        <v>22</v>
      </c>
      <c r="K442" s="2363" t="s">
        <v>22</v>
      </c>
      <c r="L442" s="828" t="s">
        <v>22</v>
      </c>
      <c r="M442" s="2363" t="s">
        <v>22</v>
      </c>
      <c r="N442" s="828" t="s">
        <v>22</v>
      </c>
      <c r="O442" s="2363" t="s">
        <v>22</v>
      </c>
      <c r="P442" s="828" t="s">
        <v>22</v>
      </c>
      <c r="Q442" s="1535"/>
      <c r="R442" s="1645"/>
      <c r="S442" s="1645"/>
      <c r="T442" s="1645"/>
      <c r="U442" s="1645"/>
      <c r="V442" s="1645"/>
      <c r="W442" s="1645"/>
      <c r="X442" s="1645"/>
      <c r="Y442" s="1645"/>
      <c r="Z442" s="1645"/>
      <c r="AA442" s="685"/>
      <c r="AB442" s="1645">
        <v>0</v>
      </c>
    </row>
    <row s="1860" customFormat="1" customHeight="1" ht="15">
      <c r="A443" s="1645"/>
      <c r="B443" s="2407"/>
      <c r="C443" s="2408"/>
      <c r="D443" s="699" t="str">
        <f>B442&amp;".2"</f>
        <v>3.136.2</v>
      </c>
      <c r="E443" s="1677" t="s">
        <v>967</v>
      </c>
      <c r="F443" s="2273" t="s">
        <v>328</v>
      </c>
      <c r="G443" s="1748" t="s">
        <v>22</v>
      </c>
      <c r="H443" s="828" t="s">
        <v>22</v>
      </c>
      <c r="I443" s="1748">
        <v>46157</v>
      </c>
      <c r="J443" s="828" t="s">
        <v>22</v>
      </c>
      <c r="K443" s="1748" t="s">
        <v>22</v>
      </c>
      <c r="L443" s="828" t="s">
        <v>22</v>
      </c>
      <c r="M443" s="1748" t="s">
        <v>22</v>
      </c>
      <c r="N443" s="828" t="s">
        <v>22</v>
      </c>
      <c r="O443" s="1748" t="s">
        <v>22</v>
      </c>
      <c r="P443" s="828" t="s">
        <v>22</v>
      </c>
      <c r="Q443" s="1535" t="s">
        <v>968</v>
      </c>
      <c r="R443" s="1645"/>
      <c r="S443" s="1645"/>
      <c r="T443" s="1645"/>
      <c r="U443" s="1645"/>
      <c r="V443" s="1645"/>
      <c r="W443" s="1645"/>
      <c r="X443" s="1645"/>
      <c r="Y443" s="1645"/>
      <c r="Z443" s="1645"/>
      <c r="AA443" s="685"/>
      <c r="AB443" s="1645">
        <v>0</v>
      </c>
    </row>
    <row s="1860" customFormat="1" customHeight="1" ht="15">
      <c r="A444" s="1645"/>
      <c r="B444" s="2407"/>
      <c r="C444" s="2408"/>
      <c r="D444" s="699" t="str">
        <f>B442&amp;".3"</f>
        <v>3.136.3</v>
      </c>
      <c r="E444" s="1677" t="s">
        <v>969</v>
      </c>
      <c r="F444" s="2273" t="s">
        <v>328</v>
      </c>
      <c r="G444" s="1748" t="s">
        <v>22</v>
      </c>
      <c r="H444" s="828" t="s">
        <v>22</v>
      </c>
      <c r="I444" s="1748" t="s">
        <v>22</v>
      </c>
      <c r="J444" s="828" t="s">
        <v>22</v>
      </c>
      <c r="K444" s="1748" t="s">
        <v>22</v>
      </c>
      <c r="L444" s="828" t="s">
        <v>22</v>
      </c>
      <c r="M444" s="1748" t="s">
        <v>22</v>
      </c>
      <c r="N444" s="828" t="s">
        <v>22</v>
      </c>
      <c r="O444" s="1748" t="s">
        <v>22</v>
      </c>
      <c r="P444" s="828" t="s">
        <v>22</v>
      </c>
      <c r="Q444" s="1535" t="s">
        <v>970</v>
      </c>
      <c r="R444" s="1645"/>
      <c r="S444" s="1645"/>
      <c r="T444" s="1645"/>
      <c r="U444" s="1645"/>
      <c r="V444" s="1645"/>
      <c r="W444" s="1645"/>
      <c r="X444" s="1645"/>
      <c r="Y444" s="1645"/>
      <c r="Z444" s="1645"/>
      <c r="AA444" s="685"/>
      <c r="AB444" s="1645">
        <v>0</v>
      </c>
    </row>
    <row s="1860" customFormat="1" customHeight="1" ht="22.5">
      <c r="A445" s="1645"/>
      <c r="B445" s="2407" t="s">
        <v>1128</v>
      </c>
      <c r="C445" s="2408" t="s">
        <v>105</v>
      </c>
      <c r="D445" s="699" t="str">
        <f>B445&amp;".1"</f>
        <v>3.137.1</v>
      </c>
      <c r="E445" s="1677" t="s">
        <v>966</v>
      </c>
      <c r="F445" s="2273" t="s">
        <v>328</v>
      </c>
      <c r="G445" s="2363" t="s">
        <v>22</v>
      </c>
      <c r="H445" s="828" t="s">
        <v>22</v>
      </c>
      <c r="I445" s="2363" t="s">
        <v>983</v>
      </c>
      <c r="J445" s="828" t="s">
        <v>22</v>
      </c>
      <c r="K445" s="2363" t="s">
        <v>22</v>
      </c>
      <c r="L445" s="828" t="s">
        <v>22</v>
      </c>
      <c r="M445" s="2363" t="s">
        <v>22</v>
      </c>
      <c r="N445" s="828" t="s">
        <v>22</v>
      </c>
      <c r="O445" s="2363" t="s">
        <v>22</v>
      </c>
      <c r="P445" s="828" t="s">
        <v>22</v>
      </c>
      <c r="Q445" s="1535"/>
      <c r="R445" s="1645"/>
      <c r="S445" s="1645"/>
      <c r="T445" s="1645"/>
      <c r="U445" s="1645"/>
      <c r="V445" s="1645"/>
      <c r="W445" s="1645"/>
      <c r="X445" s="1645"/>
      <c r="Y445" s="1645"/>
      <c r="Z445" s="1645"/>
      <c r="AA445" s="685"/>
      <c r="AB445" s="1645">
        <v>0</v>
      </c>
    </row>
    <row s="1860" customFormat="1" customHeight="1" ht="15">
      <c r="A446" s="1645"/>
      <c r="B446" s="2407"/>
      <c r="C446" s="2408"/>
      <c r="D446" s="699" t="str">
        <f>B445&amp;".2"</f>
        <v>3.137.2</v>
      </c>
      <c r="E446" s="1677" t="s">
        <v>967</v>
      </c>
      <c r="F446" s="2273" t="s">
        <v>328</v>
      </c>
      <c r="G446" s="1748" t="s">
        <v>22</v>
      </c>
      <c r="H446" s="828" t="s">
        <v>22</v>
      </c>
      <c r="I446" s="1748">
        <v>46157</v>
      </c>
      <c r="J446" s="828" t="s">
        <v>22</v>
      </c>
      <c r="K446" s="1748" t="s">
        <v>22</v>
      </c>
      <c r="L446" s="828" t="s">
        <v>22</v>
      </c>
      <c r="M446" s="1748" t="s">
        <v>22</v>
      </c>
      <c r="N446" s="828" t="s">
        <v>22</v>
      </c>
      <c r="O446" s="1748" t="s">
        <v>22</v>
      </c>
      <c r="P446" s="828" t="s">
        <v>22</v>
      </c>
      <c r="Q446" s="1535" t="s">
        <v>968</v>
      </c>
      <c r="R446" s="1645"/>
      <c r="S446" s="1645"/>
      <c r="T446" s="1645"/>
      <c r="U446" s="1645"/>
      <c r="V446" s="1645"/>
      <c r="W446" s="1645"/>
      <c r="X446" s="1645"/>
      <c r="Y446" s="1645"/>
      <c r="Z446" s="1645"/>
      <c r="AA446" s="685"/>
      <c r="AB446" s="1645">
        <v>0</v>
      </c>
    </row>
    <row s="1860" customFormat="1" customHeight="1" ht="15">
      <c r="A447" s="1645"/>
      <c r="B447" s="2407"/>
      <c r="C447" s="2408"/>
      <c r="D447" s="699" t="str">
        <f>B445&amp;".3"</f>
        <v>3.137.3</v>
      </c>
      <c r="E447" s="1677" t="s">
        <v>969</v>
      </c>
      <c r="F447" s="2273" t="s">
        <v>328</v>
      </c>
      <c r="G447" s="1748" t="s">
        <v>22</v>
      </c>
      <c r="H447" s="828" t="s">
        <v>22</v>
      </c>
      <c r="I447" s="1748" t="s">
        <v>22</v>
      </c>
      <c r="J447" s="828" t="s">
        <v>22</v>
      </c>
      <c r="K447" s="1748" t="s">
        <v>22</v>
      </c>
      <c r="L447" s="828" t="s">
        <v>22</v>
      </c>
      <c r="M447" s="1748" t="s">
        <v>22</v>
      </c>
      <c r="N447" s="828" t="s">
        <v>22</v>
      </c>
      <c r="O447" s="1748" t="s">
        <v>22</v>
      </c>
      <c r="P447" s="828" t="s">
        <v>22</v>
      </c>
      <c r="Q447" s="1535" t="s">
        <v>970</v>
      </c>
      <c r="R447" s="1645"/>
      <c r="S447" s="1645"/>
      <c r="T447" s="1645"/>
      <c r="U447" s="1645"/>
      <c r="V447" s="1645"/>
      <c r="W447" s="1645"/>
      <c r="X447" s="1645"/>
      <c r="Y447" s="1645"/>
      <c r="Z447" s="1645"/>
      <c r="AA447" s="685"/>
      <c r="AB447" s="1645">
        <v>0</v>
      </c>
    </row>
    <row s="1860" customFormat="1" customHeight="1" ht="22.5">
      <c r="A448" s="1645"/>
      <c r="B448" s="2407" t="s">
        <v>1129</v>
      </c>
      <c r="C448" s="2408" t="s">
        <v>105</v>
      </c>
      <c r="D448" s="699" t="str">
        <f>B448&amp;".1"</f>
        <v>3.138.1</v>
      </c>
      <c r="E448" s="1677" t="s">
        <v>966</v>
      </c>
      <c r="F448" s="2273" t="s">
        <v>328</v>
      </c>
      <c r="G448" s="2363" t="s">
        <v>22</v>
      </c>
      <c r="H448" s="828" t="s">
        <v>22</v>
      </c>
      <c r="I448" s="2363" t="s">
        <v>983</v>
      </c>
      <c r="J448" s="828" t="s">
        <v>22</v>
      </c>
      <c r="K448" s="2363" t="s">
        <v>22</v>
      </c>
      <c r="L448" s="828" t="s">
        <v>22</v>
      </c>
      <c r="M448" s="2363" t="s">
        <v>22</v>
      </c>
      <c r="N448" s="828" t="s">
        <v>22</v>
      </c>
      <c r="O448" s="2363" t="s">
        <v>22</v>
      </c>
      <c r="P448" s="828" t="s">
        <v>22</v>
      </c>
      <c r="Q448" s="1535"/>
      <c r="R448" s="1645"/>
      <c r="S448" s="1645"/>
      <c r="T448" s="1645"/>
      <c r="U448" s="1645"/>
      <c r="V448" s="1645"/>
      <c r="W448" s="1645"/>
      <c r="X448" s="1645"/>
      <c r="Y448" s="1645"/>
      <c r="Z448" s="1645"/>
      <c r="AA448" s="685"/>
      <c r="AB448" s="1645">
        <v>0</v>
      </c>
    </row>
    <row s="1860" customFormat="1" customHeight="1" ht="15">
      <c r="A449" s="1645"/>
      <c r="B449" s="2407"/>
      <c r="C449" s="2408"/>
      <c r="D449" s="699" t="str">
        <f>B448&amp;".2"</f>
        <v>3.138.2</v>
      </c>
      <c r="E449" s="1677" t="s">
        <v>967</v>
      </c>
      <c r="F449" s="2273" t="s">
        <v>328</v>
      </c>
      <c r="G449" s="1748" t="s">
        <v>22</v>
      </c>
      <c r="H449" s="828" t="s">
        <v>22</v>
      </c>
      <c r="I449" s="1748">
        <v>46157</v>
      </c>
      <c r="J449" s="828" t="s">
        <v>22</v>
      </c>
      <c r="K449" s="1748" t="s">
        <v>22</v>
      </c>
      <c r="L449" s="828" t="s">
        <v>22</v>
      </c>
      <c r="M449" s="1748" t="s">
        <v>22</v>
      </c>
      <c r="N449" s="828" t="s">
        <v>22</v>
      </c>
      <c r="O449" s="1748" t="s">
        <v>22</v>
      </c>
      <c r="P449" s="828" t="s">
        <v>22</v>
      </c>
      <c r="Q449" s="1535" t="s">
        <v>968</v>
      </c>
      <c r="R449" s="1645"/>
      <c r="S449" s="1645"/>
      <c r="T449" s="1645"/>
      <c r="U449" s="1645"/>
      <c r="V449" s="1645"/>
      <c r="W449" s="1645"/>
      <c r="X449" s="1645"/>
      <c r="Y449" s="1645"/>
      <c r="Z449" s="1645"/>
      <c r="AA449" s="685"/>
      <c r="AB449" s="1645">
        <v>0</v>
      </c>
    </row>
    <row s="1860" customFormat="1" customHeight="1" ht="15">
      <c r="A450" s="1645"/>
      <c r="B450" s="2407"/>
      <c r="C450" s="2408"/>
      <c r="D450" s="699" t="str">
        <f>B448&amp;".3"</f>
        <v>3.138.3</v>
      </c>
      <c r="E450" s="1677" t="s">
        <v>969</v>
      </c>
      <c r="F450" s="2273" t="s">
        <v>328</v>
      </c>
      <c r="G450" s="1748" t="s">
        <v>22</v>
      </c>
      <c r="H450" s="828" t="s">
        <v>22</v>
      </c>
      <c r="I450" s="1748" t="s">
        <v>22</v>
      </c>
      <c r="J450" s="828" t="s">
        <v>22</v>
      </c>
      <c r="K450" s="1748" t="s">
        <v>22</v>
      </c>
      <c r="L450" s="828" t="s">
        <v>22</v>
      </c>
      <c r="M450" s="1748" t="s">
        <v>22</v>
      </c>
      <c r="N450" s="828" t="s">
        <v>22</v>
      </c>
      <c r="O450" s="1748" t="s">
        <v>22</v>
      </c>
      <c r="P450" s="828" t="s">
        <v>22</v>
      </c>
      <c r="Q450" s="1535" t="s">
        <v>970</v>
      </c>
      <c r="R450" s="1645"/>
      <c r="S450" s="1645"/>
      <c r="T450" s="1645"/>
      <c r="U450" s="1645"/>
      <c r="V450" s="1645"/>
      <c r="W450" s="1645"/>
      <c r="X450" s="1645"/>
      <c r="Y450" s="1645"/>
      <c r="Z450" s="1645"/>
      <c r="AA450" s="685"/>
      <c r="AB450" s="1645">
        <v>0</v>
      </c>
    </row>
    <row s="1860" customFormat="1" customHeight="1" ht="22.5">
      <c r="A451" s="1645"/>
      <c r="B451" s="2407" t="s">
        <v>1130</v>
      </c>
      <c r="C451" s="2408" t="s">
        <v>105</v>
      </c>
      <c r="D451" s="699" t="str">
        <f>B451&amp;".1"</f>
        <v>3.139.1</v>
      </c>
      <c r="E451" s="1677" t="s">
        <v>966</v>
      </c>
      <c r="F451" s="2273" t="s">
        <v>328</v>
      </c>
      <c r="G451" s="2363" t="s">
        <v>22</v>
      </c>
      <c r="H451" s="828" t="s">
        <v>22</v>
      </c>
      <c r="I451" s="2363" t="s">
        <v>983</v>
      </c>
      <c r="J451" s="828" t="s">
        <v>22</v>
      </c>
      <c r="K451" s="2363" t="s">
        <v>22</v>
      </c>
      <c r="L451" s="828" t="s">
        <v>22</v>
      </c>
      <c r="M451" s="2363" t="s">
        <v>22</v>
      </c>
      <c r="N451" s="828" t="s">
        <v>22</v>
      </c>
      <c r="O451" s="2363" t="s">
        <v>22</v>
      </c>
      <c r="P451" s="828" t="s">
        <v>22</v>
      </c>
      <c r="Q451" s="1535"/>
      <c r="R451" s="1645"/>
      <c r="S451" s="1645"/>
      <c r="T451" s="1645"/>
      <c r="U451" s="1645"/>
      <c r="V451" s="1645"/>
      <c r="W451" s="1645"/>
      <c r="X451" s="1645"/>
      <c r="Y451" s="1645"/>
      <c r="Z451" s="1645"/>
      <c r="AA451" s="685"/>
      <c r="AB451" s="1645">
        <v>0</v>
      </c>
    </row>
    <row s="1860" customFormat="1" customHeight="1" ht="15">
      <c r="A452" s="1645"/>
      <c r="B452" s="2407"/>
      <c r="C452" s="2408"/>
      <c r="D452" s="699" t="str">
        <f>B451&amp;".2"</f>
        <v>3.139.2</v>
      </c>
      <c r="E452" s="1677" t="s">
        <v>967</v>
      </c>
      <c r="F452" s="2273" t="s">
        <v>328</v>
      </c>
      <c r="G452" s="1748" t="s">
        <v>22</v>
      </c>
      <c r="H452" s="828" t="s">
        <v>22</v>
      </c>
      <c r="I452" s="1748">
        <v>46157</v>
      </c>
      <c r="J452" s="828" t="s">
        <v>22</v>
      </c>
      <c r="K452" s="1748" t="s">
        <v>22</v>
      </c>
      <c r="L452" s="828" t="s">
        <v>22</v>
      </c>
      <c r="M452" s="1748" t="s">
        <v>22</v>
      </c>
      <c r="N452" s="828" t="s">
        <v>22</v>
      </c>
      <c r="O452" s="1748" t="s">
        <v>22</v>
      </c>
      <c r="P452" s="828" t="s">
        <v>22</v>
      </c>
      <c r="Q452" s="1535" t="s">
        <v>968</v>
      </c>
      <c r="R452" s="1645"/>
      <c r="S452" s="1645"/>
      <c r="T452" s="1645"/>
      <c r="U452" s="1645"/>
      <c r="V452" s="1645"/>
      <c r="W452" s="1645"/>
      <c r="X452" s="1645"/>
      <c r="Y452" s="1645"/>
      <c r="Z452" s="1645"/>
      <c r="AA452" s="685"/>
      <c r="AB452" s="1645">
        <v>0</v>
      </c>
    </row>
    <row s="1860" customFormat="1" customHeight="1" ht="15">
      <c r="A453" s="1645"/>
      <c r="B453" s="2407"/>
      <c r="C453" s="2408"/>
      <c r="D453" s="699" t="str">
        <f>B451&amp;".3"</f>
        <v>3.139.3</v>
      </c>
      <c r="E453" s="1677" t="s">
        <v>969</v>
      </c>
      <c r="F453" s="2273" t="s">
        <v>328</v>
      </c>
      <c r="G453" s="1748" t="s">
        <v>22</v>
      </c>
      <c r="H453" s="828" t="s">
        <v>22</v>
      </c>
      <c r="I453" s="1748" t="s">
        <v>22</v>
      </c>
      <c r="J453" s="828" t="s">
        <v>22</v>
      </c>
      <c r="K453" s="1748" t="s">
        <v>22</v>
      </c>
      <c r="L453" s="828" t="s">
        <v>22</v>
      </c>
      <c r="M453" s="1748" t="s">
        <v>22</v>
      </c>
      <c r="N453" s="828" t="s">
        <v>22</v>
      </c>
      <c r="O453" s="1748" t="s">
        <v>22</v>
      </c>
      <c r="P453" s="828" t="s">
        <v>22</v>
      </c>
      <c r="Q453" s="1535" t="s">
        <v>970</v>
      </c>
      <c r="R453" s="1645"/>
      <c r="S453" s="1645"/>
      <c r="T453" s="1645"/>
      <c r="U453" s="1645"/>
      <c r="V453" s="1645"/>
      <c r="W453" s="1645"/>
      <c r="X453" s="1645"/>
      <c r="Y453" s="1645"/>
      <c r="Z453" s="1645"/>
      <c r="AA453" s="685"/>
      <c r="AB453" s="1645">
        <v>0</v>
      </c>
    </row>
    <row s="1860" customFormat="1" customHeight="1" ht="22.5">
      <c r="A454" s="1645"/>
      <c r="B454" s="2407" t="s">
        <v>1131</v>
      </c>
      <c r="C454" s="2408" t="s">
        <v>105</v>
      </c>
      <c r="D454" s="699" t="str">
        <f>B454&amp;".1"</f>
        <v>3.140.1</v>
      </c>
      <c r="E454" s="1677" t="s">
        <v>966</v>
      </c>
      <c r="F454" s="2273" t="s">
        <v>328</v>
      </c>
      <c r="G454" s="2363" t="s">
        <v>22</v>
      </c>
      <c r="H454" s="828" t="s">
        <v>22</v>
      </c>
      <c r="I454" s="2363" t="s">
        <v>983</v>
      </c>
      <c r="J454" s="828" t="s">
        <v>22</v>
      </c>
      <c r="K454" s="2363" t="s">
        <v>22</v>
      </c>
      <c r="L454" s="828" t="s">
        <v>22</v>
      </c>
      <c r="M454" s="2363" t="s">
        <v>22</v>
      </c>
      <c r="N454" s="828" t="s">
        <v>22</v>
      </c>
      <c r="O454" s="2363" t="s">
        <v>22</v>
      </c>
      <c r="P454" s="828" t="s">
        <v>22</v>
      </c>
      <c r="Q454" s="1535"/>
      <c r="R454" s="1645"/>
      <c r="S454" s="1645"/>
      <c r="T454" s="1645"/>
      <c r="U454" s="1645"/>
      <c r="V454" s="1645"/>
      <c r="W454" s="1645"/>
      <c r="X454" s="1645"/>
      <c r="Y454" s="1645"/>
      <c r="Z454" s="1645"/>
      <c r="AA454" s="685"/>
      <c r="AB454" s="1645">
        <v>0</v>
      </c>
    </row>
    <row s="1860" customFormat="1" customHeight="1" ht="15">
      <c r="A455" s="1645"/>
      <c r="B455" s="2407"/>
      <c r="C455" s="2408"/>
      <c r="D455" s="699" t="str">
        <f>B454&amp;".2"</f>
        <v>3.140.2</v>
      </c>
      <c r="E455" s="1677" t="s">
        <v>967</v>
      </c>
      <c r="F455" s="2273" t="s">
        <v>328</v>
      </c>
      <c r="G455" s="1748" t="s">
        <v>22</v>
      </c>
      <c r="H455" s="828" t="s">
        <v>22</v>
      </c>
      <c r="I455" s="1748">
        <v>46160</v>
      </c>
      <c r="J455" s="828" t="s">
        <v>22</v>
      </c>
      <c r="K455" s="1748" t="s">
        <v>22</v>
      </c>
      <c r="L455" s="828" t="s">
        <v>22</v>
      </c>
      <c r="M455" s="1748" t="s">
        <v>22</v>
      </c>
      <c r="N455" s="828" t="s">
        <v>22</v>
      </c>
      <c r="O455" s="1748" t="s">
        <v>22</v>
      </c>
      <c r="P455" s="828" t="s">
        <v>22</v>
      </c>
      <c r="Q455" s="1535" t="s">
        <v>968</v>
      </c>
      <c r="R455" s="1645"/>
      <c r="S455" s="1645"/>
      <c r="T455" s="1645"/>
      <c r="U455" s="1645"/>
      <c r="V455" s="1645"/>
      <c r="W455" s="1645"/>
      <c r="X455" s="1645"/>
      <c r="Y455" s="1645"/>
      <c r="Z455" s="1645"/>
      <c r="AA455" s="685"/>
      <c r="AB455" s="1645">
        <v>0</v>
      </c>
    </row>
    <row s="1860" customFormat="1" customHeight="1" ht="15">
      <c r="A456" s="1645"/>
      <c r="B456" s="2407"/>
      <c r="C456" s="2408"/>
      <c r="D456" s="699" t="str">
        <f>B454&amp;".3"</f>
        <v>3.140.3</v>
      </c>
      <c r="E456" s="1677" t="s">
        <v>969</v>
      </c>
      <c r="F456" s="2273" t="s">
        <v>328</v>
      </c>
      <c r="G456" s="1748" t="s">
        <v>22</v>
      </c>
      <c r="H456" s="828" t="s">
        <v>22</v>
      </c>
      <c r="I456" s="1748" t="s">
        <v>22</v>
      </c>
      <c r="J456" s="828" t="s">
        <v>22</v>
      </c>
      <c r="K456" s="1748" t="s">
        <v>22</v>
      </c>
      <c r="L456" s="828" t="s">
        <v>22</v>
      </c>
      <c r="M456" s="1748" t="s">
        <v>22</v>
      </c>
      <c r="N456" s="828" t="s">
        <v>22</v>
      </c>
      <c r="O456" s="1748" t="s">
        <v>22</v>
      </c>
      <c r="P456" s="828" t="s">
        <v>22</v>
      </c>
      <c r="Q456" s="1535" t="s">
        <v>970</v>
      </c>
      <c r="R456" s="1645"/>
      <c r="S456" s="1645"/>
      <c r="T456" s="1645"/>
      <c r="U456" s="1645"/>
      <c r="V456" s="1645"/>
      <c r="W456" s="1645"/>
      <c r="X456" s="1645"/>
      <c r="Y456" s="1645"/>
      <c r="Z456" s="1645"/>
      <c r="AA456" s="685"/>
      <c r="AB456" s="1645">
        <v>0</v>
      </c>
    </row>
    <row s="1860" customFormat="1" customHeight="1" ht="22.5">
      <c r="A457" s="1645"/>
      <c r="B457" s="2407" t="s">
        <v>1132</v>
      </c>
      <c r="C457" s="2408" t="s">
        <v>105</v>
      </c>
      <c r="D457" s="699" t="str">
        <f>B457&amp;".1"</f>
        <v>3.141.1</v>
      </c>
      <c r="E457" s="1677" t="s">
        <v>966</v>
      </c>
      <c r="F457" s="2273" t="s">
        <v>328</v>
      </c>
      <c r="G457" s="2363" t="s">
        <v>22</v>
      </c>
      <c r="H457" s="828" t="s">
        <v>22</v>
      </c>
      <c r="I457" s="2363" t="s">
        <v>983</v>
      </c>
      <c r="J457" s="828" t="s">
        <v>22</v>
      </c>
      <c r="K457" s="2363" t="s">
        <v>22</v>
      </c>
      <c r="L457" s="828" t="s">
        <v>22</v>
      </c>
      <c r="M457" s="2363" t="s">
        <v>22</v>
      </c>
      <c r="N457" s="828" t="s">
        <v>22</v>
      </c>
      <c r="O457" s="2363" t="s">
        <v>22</v>
      </c>
      <c r="P457" s="828" t="s">
        <v>22</v>
      </c>
      <c r="Q457" s="1535"/>
      <c r="R457" s="1645"/>
      <c r="S457" s="1645"/>
      <c r="T457" s="1645"/>
      <c r="U457" s="1645"/>
      <c r="V457" s="1645"/>
      <c r="W457" s="1645"/>
      <c r="X457" s="1645"/>
      <c r="Y457" s="1645"/>
      <c r="Z457" s="1645"/>
      <c r="AA457" s="685"/>
      <c r="AB457" s="1645">
        <v>0</v>
      </c>
    </row>
    <row s="1860" customFormat="1" customHeight="1" ht="15">
      <c r="A458" s="1645"/>
      <c r="B458" s="2407"/>
      <c r="C458" s="2408"/>
      <c r="D458" s="699" t="str">
        <f>B457&amp;".2"</f>
        <v>3.141.2</v>
      </c>
      <c r="E458" s="1677" t="s">
        <v>967</v>
      </c>
      <c r="F458" s="2273" t="s">
        <v>328</v>
      </c>
      <c r="G458" s="1748" t="s">
        <v>22</v>
      </c>
      <c r="H458" s="828" t="s">
        <v>22</v>
      </c>
      <c r="I458" s="1748">
        <v>46160</v>
      </c>
      <c r="J458" s="828" t="s">
        <v>22</v>
      </c>
      <c r="K458" s="1748" t="s">
        <v>22</v>
      </c>
      <c r="L458" s="828" t="s">
        <v>22</v>
      </c>
      <c r="M458" s="1748" t="s">
        <v>22</v>
      </c>
      <c r="N458" s="828" t="s">
        <v>22</v>
      </c>
      <c r="O458" s="1748" t="s">
        <v>22</v>
      </c>
      <c r="P458" s="828" t="s">
        <v>22</v>
      </c>
      <c r="Q458" s="1535" t="s">
        <v>968</v>
      </c>
      <c r="R458" s="1645"/>
      <c r="S458" s="1645"/>
      <c r="T458" s="1645"/>
      <c r="U458" s="1645"/>
      <c r="V458" s="1645"/>
      <c r="W458" s="1645"/>
      <c r="X458" s="1645"/>
      <c r="Y458" s="1645"/>
      <c r="Z458" s="1645"/>
      <c r="AA458" s="685"/>
      <c r="AB458" s="1645">
        <v>0</v>
      </c>
    </row>
    <row s="1860" customFormat="1" customHeight="1" ht="15">
      <c r="A459" s="1645"/>
      <c r="B459" s="2407"/>
      <c r="C459" s="2408"/>
      <c r="D459" s="699" t="str">
        <f>B457&amp;".3"</f>
        <v>3.141.3</v>
      </c>
      <c r="E459" s="1677" t="s">
        <v>969</v>
      </c>
      <c r="F459" s="2273" t="s">
        <v>328</v>
      </c>
      <c r="G459" s="1748" t="s">
        <v>22</v>
      </c>
      <c r="H459" s="828" t="s">
        <v>22</v>
      </c>
      <c r="I459" s="1748" t="s">
        <v>22</v>
      </c>
      <c r="J459" s="828" t="s">
        <v>22</v>
      </c>
      <c r="K459" s="1748" t="s">
        <v>22</v>
      </c>
      <c r="L459" s="828" t="s">
        <v>22</v>
      </c>
      <c r="M459" s="1748" t="s">
        <v>22</v>
      </c>
      <c r="N459" s="828" t="s">
        <v>22</v>
      </c>
      <c r="O459" s="1748" t="s">
        <v>22</v>
      </c>
      <c r="P459" s="828" t="s">
        <v>22</v>
      </c>
      <c r="Q459" s="1535" t="s">
        <v>970</v>
      </c>
      <c r="R459" s="1645"/>
      <c r="S459" s="1645"/>
      <c r="T459" s="1645"/>
      <c r="U459" s="1645"/>
      <c r="V459" s="1645"/>
      <c r="W459" s="1645"/>
      <c r="X459" s="1645"/>
      <c r="Y459" s="1645"/>
      <c r="Z459" s="1645"/>
      <c r="AA459" s="685"/>
      <c r="AB459" s="1645">
        <v>0</v>
      </c>
    </row>
    <row s="1860" customFormat="1" customHeight="1" ht="22.5">
      <c r="A460" s="1645"/>
      <c r="B460" s="2407" t="s">
        <v>1133</v>
      </c>
      <c r="C460" s="2408" t="s">
        <v>105</v>
      </c>
      <c r="D460" s="699" t="str">
        <f>B460&amp;".1"</f>
        <v>3.142.1</v>
      </c>
      <c r="E460" s="1677" t="s">
        <v>966</v>
      </c>
      <c r="F460" s="2273" t="s">
        <v>328</v>
      </c>
      <c r="G460" s="2363" t="s">
        <v>22</v>
      </c>
      <c r="H460" s="828" t="s">
        <v>22</v>
      </c>
      <c r="I460" s="2363" t="s">
        <v>983</v>
      </c>
      <c r="J460" s="828" t="s">
        <v>22</v>
      </c>
      <c r="K460" s="2363" t="s">
        <v>22</v>
      </c>
      <c r="L460" s="828" t="s">
        <v>22</v>
      </c>
      <c r="M460" s="2363" t="s">
        <v>22</v>
      </c>
      <c r="N460" s="828" t="s">
        <v>22</v>
      </c>
      <c r="O460" s="2363" t="s">
        <v>22</v>
      </c>
      <c r="P460" s="828" t="s">
        <v>22</v>
      </c>
      <c r="Q460" s="1535"/>
      <c r="R460" s="1645"/>
      <c r="S460" s="1645"/>
      <c r="T460" s="1645"/>
      <c r="U460" s="1645"/>
      <c r="V460" s="1645"/>
      <c r="W460" s="1645"/>
      <c r="X460" s="1645"/>
      <c r="Y460" s="1645"/>
      <c r="Z460" s="1645"/>
      <c r="AA460" s="685"/>
      <c r="AB460" s="1645">
        <v>0</v>
      </c>
    </row>
    <row s="1860" customFormat="1" customHeight="1" ht="15">
      <c r="A461" s="1645"/>
      <c r="B461" s="2407"/>
      <c r="C461" s="2408"/>
      <c r="D461" s="699" t="str">
        <f>B460&amp;".2"</f>
        <v>3.142.2</v>
      </c>
      <c r="E461" s="1677" t="s">
        <v>967</v>
      </c>
      <c r="F461" s="2273" t="s">
        <v>328</v>
      </c>
      <c r="G461" s="1748" t="s">
        <v>22</v>
      </c>
      <c r="H461" s="828" t="s">
        <v>22</v>
      </c>
      <c r="I461" s="1748">
        <v>46160</v>
      </c>
      <c r="J461" s="828" t="s">
        <v>22</v>
      </c>
      <c r="K461" s="1748" t="s">
        <v>22</v>
      </c>
      <c r="L461" s="828" t="s">
        <v>22</v>
      </c>
      <c r="M461" s="1748" t="s">
        <v>22</v>
      </c>
      <c r="N461" s="828" t="s">
        <v>22</v>
      </c>
      <c r="O461" s="1748" t="s">
        <v>22</v>
      </c>
      <c r="P461" s="828" t="s">
        <v>22</v>
      </c>
      <c r="Q461" s="1535" t="s">
        <v>968</v>
      </c>
      <c r="R461" s="1645"/>
      <c r="S461" s="1645"/>
      <c r="T461" s="1645"/>
      <c r="U461" s="1645"/>
      <c r="V461" s="1645"/>
      <c r="W461" s="1645"/>
      <c r="X461" s="1645"/>
      <c r="Y461" s="1645"/>
      <c r="Z461" s="1645"/>
      <c r="AA461" s="685"/>
      <c r="AB461" s="1645">
        <v>0</v>
      </c>
    </row>
    <row s="1860" customFormat="1" customHeight="1" ht="15">
      <c r="A462" s="1645"/>
      <c r="B462" s="2407"/>
      <c r="C462" s="2408"/>
      <c r="D462" s="699" t="str">
        <f>B460&amp;".3"</f>
        <v>3.142.3</v>
      </c>
      <c r="E462" s="1677" t="s">
        <v>969</v>
      </c>
      <c r="F462" s="2273" t="s">
        <v>328</v>
      </c>
      <c r="G462" s="1748" t="s">
        <v>22</v>
      </c>
      <c r="H462" s="828" t="s">
        <v>22</v>
      </c>
      <c r="I462" s="1748" t="s">
        <v>22</v>
      </c>
      <c r="J462" s="828" t="s">
        <v>22</v>
      </c>
      <c r="K462" s="1748" t="s">
        <v>22</v>
      </c>
      <c r="L462" s="828" t="s">
        <v>22</v>
      </c>
      <c r="M462" s="1748" t="s">
        <v>22</v>
      </c>
      <c r="N462" s="828" t="s">
        <v>22</v>
      </c>
      <c r="O462" s="1748" t="s">
        <v>22</v>
      </c>
      <c r="P462" s="828" t="s">
        <v>22</v>
      </c>
      <c r="Q462" s="1535" t="s">
        <v>970</v>
      </c>
      <c r="R462" s="1645"/>
      <c r="S462" s="1645"/>
      <c r="T462" s="1645"/>
      <c r="U462" s="1645"/>
      <c r="V462" s="1645"/>
      <c r="W462" s="1645"/>
      <c r="X462" s="1645"/>
      <c r="Y462" s="1645"/>
      <c r="Z462" s="1645"/>
      <c r="AA462" s="685"/>
      <c r="AB462" s="1645">
        <v>0</v>
      </c>
    </row>
    <row s="1860" customFormat="1" customHeight="1" ht="22.5">
      <c r="A463" s="1645"/>
      <c r="B463" s="2407" t="s">
        <v>1134</v>
      </c>
      <c r="C463" s="2408" t="s">
        <v>105</v>
      </c>
      <c r="D463" s="699" t="str">
        <f>B463&amp;".1"</f>
        <v>3.143.1</v>
      </c>
      <c r="E463" s="1677" t="s">
        <v>966</v>
      </c>
      <c r="F463" s="2273" t="s">
        <v>328</v>
      </c>
      <c r="G463" s="2363" t="s">
        <v>22</v>
      </c>
      <c r="H463" s="828" t="s">
        <v>22</v>
      </c>
      <c r="I463" s="2363" t="s">
        <v>983</v>
      </c>
      <c r="J463" s="828" t="s">
        <v>22</v>
      </c>
      <c r="K463" s="2363" t="s">
        <v>22</v>
      </c>
      <c r="L463" s="828" t="s">
        <v>22</v>
      </c>
      <c r="M463" s="2363" t="s">
        <v>22</v>
      </c>
      <c r="N463" s="828" t="s">
        <v>22</v>
      </c>
      <c r="O463" s="2363" t="s">
        <v>22</v>
      </c>
      <c r="P463" s="828" t="s">
        <v>22</v>
      </c>
      <c r="Q463" s="1535"/>
      <c r="R463" s="1645"/>
      <c r="S463" s="1645"/>
      <c r="T463" s="1645"/>
      <c r="U463" s="1645"/>
      <c r="V463" s="1645"/>
      <c r="W463" s="1645"/>
      <c r="X463" s="1645"/>
      <c r="Y463" s="1645"/>
      <c r="Z463" s="1645"/>
      <c r="AA463" s="685"/>
      <c r="AB463" s="1645">
        <v>0</v>
      </c>
    </row>
    <row s="1860" customFormat="1" customHeight="1" ht="15">
      <c r="A464" s="1645"/>
      <c r="B464" s="2407"/>
      <c r="C464" s="2408"/>
      <c r="D464" s="699" t="str">
        <f>B463&amp;".2"</f>
        <v>3.143.2</v>
      </c>
      <c r="E464" s="1677" t="s">
        <v>967</v>
      </c>
      <c r="F464" s="2273" t="s">
        <v>328</v>
      </c>
      <c r="G464" s="1748" t="s">
        <v>22</v>
      </c>
      <c r="H464" s="828" t="s">
        <v>22</v>
      </c>
      <c r="I464" s="1748">
        <v>46160</v>
      </c>
      <c r="J464" s="828" t="s">
        <v>22</v>
      </c>
      <c r="K464" s="1748" t="s">
        <v>22</v>
      </c>
      <c r="L464" s="828" t="s">
        <v>22</v>
      </c>
      <c r="M464" s="1748" t="s">
        <v>22</v>
      </c>
      <c r="N464" s="828" t="s">
        <v>22</v>
      </c>
      <c r="O464" s="1748" t="s">
        <v>22</v>
      </c>
      <c r="P464" s="828" t="s">
        <v>22</v>
      </c>
      <c r="Q464" s="1535" t="s">
        <v>968</v>
      </c>
      <c r="R464" s="1645"/>
      <c r="S464" s="1645"/>
      <c r="T464" s="1645"/>
      <c r="U464" s="1645"/>
      <c r="V464" s="1645"/>
      <c r="W464" s="1645"/>
      <c r="X464" s="1645"/>
      <c r="Y464" s="1645"/>
      <c r="Z464" s="1645"/>
      <c r="AA464" s="685"/>
      <c r="AB464" s="1645">
        <v>0</v>
      </c>
    </row>
    <row s="1860" customFormat="1" customHeight="1" ht="15">
      <c r="A465" s="1645"/>
      <c r="B465" s="2407"/>
      <c r="C465" s="2408"/>
      <c r="D465" s="699" t="str">
        <f>B463&amp;".3"</f>
        <v>3.143.3</v>
      </c>
      <c r="E465" s="1677" t="s">
        <v>969</v>
      </c>
      <c r="F465" s="2273" t="s">
        <v>328</v>
      </c>
      <c r="G465" s="1748" t="s">
        <v>22</v>
      </c>
      <c r="H465" s="828" t="s">
        <v>22</v>
      </c>
      <c r="I465" s="1748" t="s">
        <v>22</v>
      </c>
      <c r="J465" s="828" t="s">
        <v>22</v>
      </c>
      <c r="K465" s="1748" t="s">
        <v>22</v>
      </c>
      <c r="L465" s="828" t="s">
        <v>22</v>
      </c>
      <c r="M465" s="1748" t="s">
        <v>22</v>
      </c>
      <c r="N465" s="828" t="s">
        <v>22</v>
      </c>
      <c r="O465" s="1748" t="s">
        <v>22</v>
      </c>
      <c r="P465" s="828" t="s">
        <v>22</v>
      </c>
      <c r="Q465" s="1535" t="s">
        <v>970</v>
      </c>
      <c r="R465" s="1645"/>
      <c r="S465" s="1645"/>
      <c r="T465" s="1645"/>
      <c r="U465" s="1645"/>
      <c r="V465" s="1645"/>
      <c r="W465" s="1645"/>
      <c r="X465" s="1645"/>
      <c r="Y465" s="1645"/>
      <c r="Z465" s="1645"/>
      <c r="AA465" s="685"/>
      <c r="AB465" s="1645">
        <v>0</v>
      </c>
    </row>
    <row s="1860" customFormat="1" customHeight="1" ht="22.5">
      <c r="A466" s="1645"/>
      <c r="B466" s="2407" t="s">
        <v>1135</v>
      </c>
      <c r="C466" s="2408" t="s">
        <v>105</v>
      </c>
      <c r="D466" s="699" t="str">
        <f>B466&amp;".1"</f>
        <v>3.144.1</v>
      </c>
      <c r="E466" s="1677" t="s">
        <v>966</v>
      </c>
      <c r="F466" s="2273" t="s">
        <v>328</v>
      </c>
      <c r="G466" s="2363" t="s">
        <v>22</v>
      </c>
      <c r="H466" s="828" t="s">
        <v>22</v>
      </c>
      <c r="I466" s="2363" t="s">
        <v>983</v>
      </c>
      <c r="J466" s="828" t="s">
        <v>22</v>
      </c>
      <c r="K466" s="2363" t="s">
        <v>22</v>
      </c>
      <c r="L466" s="828" t="s">
        <v>22</v>
      </c>
      <c r="M466" s="2363" t="s">
        <v>22</v>
      </c>
      <c r="N466" s="828" t="s">
        <v>22</v>
      </c>
      <c r="O466" s="2363" t="s">
        <v>22</v>
      </c>
      <c r="P466" s="828" t="s">
        <v>22</v>
      </c>
      <c r="Q466" s="1535"/>
      <c r="R466" s="1645"/>
      <c r="S466" s="1645"/>
      <c r="T466" s="1645"/>
      <c r="U466" s="1645"/>
      <c r="V466" s="1645"/>
      <c r="W466" s="1645"/>
      <c r="X466" s="1645"/>
      <c r="Y466" s="1645"/>
      <c r="Z466" s="1645"/>
      <c r="AA466" s="685"/>
      <c r="AB466" s="1645">
        <v>0</v>
      </c>
    </row>
    <row s="1860" customFormat="1" customHeight="1" ht="15">
      <c r="A467" s="1645"/>
      <c r="B467" s="2407"/>
      <c r="C467" s="2408"/>
      <c r="D467" s="699" t="str">
        <f>B466&amp;".2"</f>
        <v>3.144.2</v>
      </c>
      <c r="E467" s="1677" t="s">
        <v>967</v>
      </c>
      <c r="F467" s="2273" t="s">
        <v>328</v>
      </c>
      <c r="G467" s="1748" t="s">
        <v>22</v>
      </c>
      <c r="H467" s="828" t="s">
        <v>22</v>
      </c>
      <c r="I467" s="1748">
        <v>46160</v>
      </c>
      <c r="J467" s="828" t="s">
        <v>22</v>
      </c>
      <c r="K467" s="1748" t="s">
        <v>22</v>
      </c>
      <c r="L467" s="828" t="s">
        <v>22</v>
      </c>
      <c r="M467" s="1748" t="s">
        <v>22</v>
      </c>
      <c r="N467" s="828" t="s">
        <v>22</v>
      </c>
      <c r="O467" s="1748" t="s">
        <v>22</v>
      </c>
      <c r="P467" s="828" t="s">
        <v>22</v>
      </c>
      <c r="Q467" s="1535" t="s">
        <v>968</v>
      </c>
      <c r="R467" s="1645"/>
      <c r="S467" s="1645"/>
      <c r="T467" s="1645"/>
      <c r="U467" s="1645"/>
      <c r="V467" s="1645"/>
      <c r="W467" s="1645"/>
      <c r="X467" s="1645"/>
      <c r="Y467" s="1645"/>
      <c r="Z467" s="1645"/>
      <c r="AA467" s="685"/>
      <c r="AB467" s="1645">
        <v>0</v>
      </c>
    </row>
    <row s="1860" customFormat="1" customHeight="1" ht="15">
      <c r="A468" s="1645"/>
      <c r="B468" s="2407"/>
      <c r="C468" s="2408"/>
      <c r="D468" s="699" t="str">
        <f>B466&amp;".3"</f>
        <v>3.144.3</v>
      </c>
      <c r="E468" s="1677" t="s">
        <v>969</v>
      </c>
      <c r="F468" s="2273" t="s">
        <v>328</v>
      </c>
      <c r="G468" s="1748" t="s">
        <v>22</v>
      </c>
      <c r="H468" s="828" t="s">
        <v>22</v>
      </c>
      <c r="I468" s="1748" t="s">
        <v>22</v>
      </c>
      <c r="J468" s="828" t="s">
        <v>22</v>
      </c>
      <c r="K468" s="1748" t="s">
        <v>22</v>
      </c>
      <c r="L468" s="828" t="s">
        <v>22</v>
      </c>
      <c r="M468" s="1748" t="s">
        <v>22</v>
      </c>
      <c r="N468" s="828" t="s">
        <v>22</v>
      </c>
      <c r="O468" s="1748" t="s">
        <v>22</v>
      </c>
      <c r="P468" s="828" t="s">
        <v>22</v>
      </c>
      <c r="Q468" s="1535" t="s">
        <v>970</v>
      </c>
      <c r="R468" s="1645"/>
      <c r="S468" s="1645"/>
      <c r="T468" s="1645"/>
      <c r="U468" s="1645"/>
      <c r="V468" s="1645"/>
      <c r="W468" s="1645"/>
      <c r="X468" s="1645"/>
      <c r="Y468" s="1645"/>
      <c r="Z468" s="1645"/>
      <c r="AA468" s="685"/>
      <c r="AB468" s="1645">
        <v>0</v>
      </c>
    </row>
    <row s="1860" customFormat="1" customHeight="1" ht="22.5">
      <c r="A469" s="1645"/>
      <c r="B469" s="2407" t="s">
        <v>1136</v>
      </c>
      <c r="C469" s="2408" t="s">
        <v>105</v>
      </c>
      <c r="D469" s="699" t="str">
        <f>B469&amp;".1"</f>
        <v>3.145.1</v>
      </c>
      <c r="E469" s="1677" t="s">
        <v>966</v>
      </c>
      <c r="F469" s="2273" t="s">
        <v>328</v>
      </c>
      <c r="G469" s="2363" t="s">
        <v>22</v>
      </c>
      <c r="H469" s="828" t="s">
        <v>22</v>
      </c>
      <c r="I469" s="2363" t="s">
        <v>983</v>
      </c>
      <c r="J469" s="828" t="s">
        <v>22</v>
      </c>
      <c r="K469" s="2363" t="s">
        <v>22</v>
      </c>
      <c r="L469" s="828" t="s">
        <v>22</v>
      </c>
      <c r="M469" s="2363" t="s">
        <v>22</v>
      </c>
      <c r="N469" s="828" t="s">
        <v>22</v>
      </c>
      <c r="O469" s="2363" t="s">
        <v>22</v>
      </c>
      <c r="P469" s="828" t="s">
        <v>22</v>
      </c>
      <c r="Q469" s="1535"/>
      <c r="R469" s="1645"/>
      <c r="S469" s="1645"/>
      <c r="T469" s="1645"/>
      <c r="U469" s="1645"/>
      <c r="V469" s="1645"/>
      <c r="W469" s="1645"/>
      <c r="X469" s="1645"/>
      <c r="Y469" s="1645"/>
      <c r="Z469" s="1645"/>
      <c r="AA469" s="685"/>
      <c r="AB469" s="1645">
        <v>0</v>
      </c>
    </row>
    <row s="1860" customFormat="1" customHeight="1" ht="15">
      <c r="A470" s="1645"/>
      <c r="B470" s="2407"/>
      <c r="C470" s="2408"/>
      <c r="D470" s="699" t="str">
        <f>B469&amp;".2"</f>
        <v>3.145.2</v>
      </c>
      <c r="E470" s="1677" t="s">
        <v>967</v>
      </c>
      <c r="F470" s="2273" t="s">
        <v>328</v>
      </c>
      <c r="G470" s="1748" t="s">
        <v>22</v>
      </c>
      <c r="H470" s="828" t="s">
        <v>22</v>
      </c>
      <c r="I470" s="1748">
        <v>46160</v>
      </c>
      <c r="J470" s="828" t="s">
        <v>22</v>
      </c>
      <c r="K470" s="1748" t="s">
        <v>22</v>
      </c>
      <c r="L470" s="828" t="s">
        <v>22</v>
      </c>
      <c r="M470" s="1748" t="s">
        <v>22</v>
      </c>
      <c r="N470" s="828" t="s">
        <v>22</v>
      </c>
      <c r="O470" s="1748" t="s">
        <v>22</v>
      </c>
      <c r="P470" s="828" t="s">
        <v>22</v>
      </c>
      <c r="Q470" s="1535" t="s">
        <v>968</v>
      </c>
      <c r="R470" s="1645"/>
      <c r="S470" s="1645"/>
      <c r="T470" s="1645"/>
      <c r="U470" s="1645"/>
      <c r="V470" s="1645"/>
      <c r="W470" s="1645"/>
      <c r="X470" s="1645"/>
      <c r="Y470" s="1645"/>
      <c r="Z470" s="1645"/>
      <c r="AA470" s="685"/>
      <c r="AB470" s="1645">
        <v>0</v>
      </c>
    </row>
    <row s="1860" customFormat="1" customHeight="1" ht="15">
      <c r="A471" s="1645"/>
      <c r="B471" s="2407"/>
      <c r="C471" s="2408"/>
      <c r="D471" s="699" t="str">
        <f>B469&amp;".3"</f>
        <v>3.145.3</v>
      </c>
      <c r="E471" s="1677" t="s">
        <v>969</v>
      </c>
      <c r="F471" s="2273" t="s">
        <v>328</v>
      </c>
      <c r="G471" s="1748" t="s">
        <v>22</v>
      </c>
      <c r="H471" s="828" t="s">
        <v>22</v>
      </c>
      <c r="I471" s="1748" t="s">
        <v>22</v>
      </c>
      <c r="J471" s="828" t="s">
        <v>22</v>
      </c>
      <c r="K471" s="1748" t="s">
        <v>22</v>
      </c>
      <c r="L471" s="828" t="s">
        <v>22</v>
      </c>
      <c r="M471" s="1748" t="s">
        <v>22</v>
      </c>
      <c r="N471" s="828" t="s">
        <v>22</v>
      </c>
      <c r="O471" s="1748" t="s">
        <v>22</v>
      </c>
      <c r="P471" s="828" t="s">
        <v>22</v>
      </c>
      <c r="Q471" s="1535" t="s">
        <v>970</v>
      </c>
      <c r="R471" s="1645"/>
      <c r="S471" s="1645"/>
      <c r="T471" s="1645"/>
      <c r="U471" s="1645"/>
      <c r="V471" s="1645"/>
      <c r="W471" s="1645"/>
      <c r="X471" s="1645"/>
      <c r="Y471" s="1645"/>
      <c r="Z471" s="1645"/>
      <c r="AA471" s="685"/>
      <c r="AB471" s="1645">
        <v>0</v>
      </c>
    </row>
    <row s="1860" customFormat="1" customHeight="1" ht="22.5">
      <c r="A472" s="1645"/>
      <c r="B472" s="2407" t="s">
        <v>1137</v>
      </c>
      <c r="C472" s="2408" t="s">
        <v>105</v>
      </c>
      <c r="D472" s="699" t="str">
        <f>B472&amp;".1"</f>
        <v>3.146.1</v>
      </c>
      <c r="E472" s="1677" t="s">
        <v>966</v>
      </c>
      <c r="F472" s="2273" t="s">
        <v>328</v>
      </c>
      <c r="G472" s="2363" t="s">
        <v>22</v>
      </c>
      <c r="H472" s="828" t="s">
        <v>22</v>
      </c>
      <c r="I472" s="2363" t="s">
        <v>983</v>
      </c>
      <c r="J472" s="828" t="s">
        <v>22</v>
      </c>
      <c r="K472" s="2363" t="s">
        <v>22</v>
      </c>
      <c r="L472" s="828" t="s">
        <v>22</v>
      </c>
      <c r="M472" s="2363" t="s">
        <v>22</v>
      </c>
      <c r="N472" s="828" t="s">
        <v>22</v>
      </c>
      <c r="O472" s="2363" t="s">
        <v>22</v>
      </c>
      <c r="P472" s="828" t="s">
        <v>22</v>
      </c>
      <c r="Q472" s="1535"/>
      <c r="R472" s="1645"/>
      <c r="S472" s="1645"/>
      <c r="T472" s="1645"/>
      <c r="U472" s="1645"/>
      <c r="V472" s="1645"/>
      <c r="W472" s="1645"/>
      <c r="X472" s="1645"/>
      <c r="Y472" s="1645"/>
      <c r="Z472" s="1645"/>
      <c r="AA472" s="685"/>
      <c r="AB472" s="1645">
        <v>0</v>
      </c>
    </row>
    <row s="1860" customFormat="1" customHeight="1" ht="15">
      <c r="A473" s="1645"/>
      <c r="B473" s="2407"/>
      <c r="C473" s="2408"/>
      <c r="D473" s="699" t="str">
        <f>B472&amp;".2"</f>
        <v>3.146.2</v>
      </c>
      <c r="E473" s="1677" t="s">
        <v>967</v>
      </c>
      <c r="F473" s="2273" t="s">
        <v>328</v>
      </c>
      <c r="G473" s="1748" t="s">
        <v>22</v>
      </c>
      <c r="H473" s="828" t="s">
        <v>22</v>
      </c>
      <c r="I473" s="1748">
        <v>46160</v>
      </c>
      <c r="J473" s="828" t="s">
        <v>22</v>
      </c>
      <c r="K473" s="1748" t="s">
        <v>22</v>
      </c>
      <c r="L473" s="828" t="s">
        <v>22</v>
      </c>
      <c r="M473" s="1748" t="s">
        <v>22</v>
      </c>
      <c r="N473" s="828" t="s">
        <v>22</v>
      </c>
      <c r="O473" s="1748" t="s">
        <v>22</v>
      </c>
      <c r="P473" s="828" t="s">
        <v>22</v>
      </c>
      <c r="Q473" s="1535" t="s">
        <v>968</v>
      </c>
      <c r="R473" s="1645"/>
      <c r="S473" s="1645"/>
      <c r="T473" s="1645"/>
      <c r="U473" s="1645"/>
      <c r="V473" s="1645"/>
      <c r="W473" s="1645"/>
      <c r="X473" s="1645"/>
      <c r="Y473" s="1645"/>
      <c r="Z473" s="1645"/>
      <c r="AA473" s="685"/>
      <c r="AB473" s="1645">
        <v>0</v>
      </c>
    </row>
    <row s="1860" customFormat="1" customHeight="1" ht="15">
      <c r="A474" s="1645"/>
      <c r="B474" s="2407"/>
      <c r="C474" s="2408"/>
      <c r="D474" s="699" t="str">
        <f>B472&amp;".3"</f>
        <v>3.146.3</v>
      </c>
      <c r="E474" s="1677" t="s">
        <v>969</v>
      </c>
      <c r="F474" s="2273" t="s">
        <v>328</v>
      </c>
      <c r="G474" s="1748" t="s">
        <v>22</v>
      </c>
      <c r="H474" s="828" t="s">
        <v>22</v>
      </c>
      <c r="I474" s="1748" t="s">
        <v>22</v>
      </c>
      <c r="J474" s="828" t="s">
        <v>22</v>
      </c>
      <c r="K474" s="1748" t="s">
        <v>22</v>
      </c>
      <c r="L474" s="828" t="s">
        <v>22</v>
      </c>
      <c r="M474" s="1748" t="s">
        <v>22</v>
      </c>
      <c r="N474" s="828" t="s">
        <v>22</v>
      </c>
      <c r="O474" s="1748" t="s">
        <v>22</v>
      </c>
      <c r="P474" s="828" t="s">
        <v>22</v>
      </c>
      <c r="Q474" s="1535" t="s">
        <v>970</v>
      </c>
      <c r="R474" s="1645"/>
      <c r="S474" s="1645"/>
      <c r="T474" s="1645"/>
      <c r="U474" s="1645"/>
      <c r="V474" s="1645"/>
      <c r="W474" s="1645"/>
      <c r="X474" s="1645"/>
      <c r="Y474" s="1645"/>
      <c r="Z474" s="1645"/>
      <c r="AA474" s="685"/>
      <c r="AB474" s="1645">
        <v>0</v>
      </c>
    </row>
    <row s="1860" customFormat="1" customHeight="1" ht="22.5">
      <c r="A475" s="1645"/>
      <c r="B475" s="2407" t="s">
        <v>1138</v>
      </c>
      <c r="C475" s="2408" t="s">
        <v>105</v>
      </c>
      <c r="D475" s="699" t="str">
        <f>B475&amp;".1"</f>
        <v>3.147.1</v>
      </c>
      <c r="E475" s="1677" t="s">
        <v>966</v>
      </c>
      <c r="F475" s="2273" t="s">
        <v>328</v>
      </c>
      <c r="G475" s="2363" t="s">
        <v>22</v>
      </c>
      <c r="H475" s="828" t="s">
        <v>22</v>
      </c>
      <c r="I475" s="2363" t="s">
        <v>983</v>
      </c>
      <c r="J475" s="828" t="s">
        <v>22</v>
      </c>
      <c r="K475" s="2363" t="s">
        <v>22</v>
      </c>
      <c r="L475" s="828" t="s">
        <v>22</v>
      </c>
      <c r="M475" s="2363" t="s">
        <v>22</v>
      </c>
      <c r="N475" s="828" t="s">
        <v>22</v>
      </c>
      <c r="O475" s="2363" t="s">
        <v>22</v>
      </c>
      <c r="P475" s="828" t="s">
        <v>22</v>
      </c>
      <c r="Q475" s="1535"/>
      <c r="R475" s="1645"/>
      <c r="S475" s="1645"/>
      <c r="T475" s="1645"/>
      <c r="U475" s="1645"/>
      <c r="V475" s="1645"/>
      <c r="W475" s="1645"/>
      <c r="X475" s="1645"/>
      <c r="Y475" s="1645"/>
      <c r="Z475" s="1645"/>
      <c r="AA475" s="685"/>
      <c r="AB475" s="1645">
        <v>0</v>
      </c>
    </row>
    <row s="1860" customFormat="1" customHeight="1" ht="15">
      <c r="A476" s="1645"/>
      <c r="B476" s="2407"/>
      <c r="C476" s="2408"/>
      <c r="D476" s="699" t="str">
        <f>B475&amp;".2"</f>
        <v>3.147.2</v>
      </c>
      <c r="E476" s="1677" t="s">
        <v>967</v>
      </c>
      <c r="F476" s="2273" t="s">
        <v>328</v>
      </c>
      <c r="G476" s="1748" t="s">
        <v>22</v>
      </c>
      <c r="H476" s="828" t="s">
        <v>22</v>
      </c>
      <c r="I476" s="1748">
        <v>46160</v>
      </c>
      <c r="J476" s="828" t="s">
        <v>22</v>
      </c>
      <c r="K476" s="1748" t="s">
        <v>22</v>
      </c>
      <c r="L476" s="828" t="s">
        <v>22</v>
      </c>
      <c r="M476" s="1748" t="s">
        <v>22</v>
      </c>
      <c r="N476" s="828" t="s">
        <v>22</v>
      </c>
      <c r="O476" s="1748" t="s">
        <v>22</v>
      </c>
      <c r="P476" s="828" t="s">
        <v>22</v>
      </c>
      <c r="Q476" s="1535" t="s">
        <v>968</v>
      </c>
      <c r="R476" s="1645"/>
      <c r="S476" s="1645"/>
      <c r="T476" s="1645"/>
      <c r="U476" s="1645"/>
      <c r="V476" s="1645"/>
      <c r="W476" s="1645"/>
      <c r="X476" s="1645"/>
      <c r="Y476" s="1645"/>
      <c r="Z476" s="1645"/>
      <c r="AA476" s="685"/>
      <c r="AB476" s="1645">
        <v>0</v>
      </c>
    </row>
    <row s="1860" customFormat="1" customHeight="1" ht="15">
      <c r="A477" s="1645"/>
      <c r="B477" s="2407"/>
      <c r="C477" s="2408"/>
      <c r="D477" s="699" t="str">
        <f>B475&amp;".3"</f>
        <v>3.147.3</v>
      </c>
      <c r="E477" s="1677" t="s">
        <v>969</v>
      </c>
      <c r="F477" s="2273" t="s">
        <v>328</v>
      </c>
      <c r="G477" s="1748" t="s">
        <v>22</v>
      </c>
      <c r="H477" s="828" t="s">
        <v>22</v>
      </c>
      <c r="I477" s="1748" t="s">
        <v>22</v>
      </c>
      <c r="J477" s="828" t="s">
        <v>22</v>
      </c>
      <c r="K477" s="1748" t="s">
        <v>22</v>
      </c>
      <c r="L477" s="828" t="s">
        <v>22</v>
      </c>
      <c r="M477" s="1748" t="s">
        <v>22</v>
      </c>
      <c r="N477" s="828" t="s">
        <v>22</v>
      </c>
      <c r="O477" s="1748" t="s">
        <v>22</v>
      </c>
      <c r="P477" s="828" t="s">
        <v>22</v>
      </c>
      <c r="Q477" s="1535" t="s">
        <v>970</v>
      </c>
      <c r="R477" s="1645"/>
      <c r="S477" s="1645"/>
      <c r="T477" s="1645"/>
      <c r="U477" s="1645"/>
      <c r="V477" s="1645"/>
      <c r="W477" s="1645"/>
      <c r="X477" s="1645"/>
      <c r="Y477" s="1645"/>
      <c r="Z477" s="1645"/>
      <c r="AA477" s="685"/>
      <c r="AB477" s="1645">
        <v>0</v>
      </c>
    </row>
    <row s="1860" customFormat="1" customHeight="1" ht="22.5">
      <c r="A478" s="1645"/>
      <c r="B478" s="2407" t="s">
        <v>1139</v>
      </c>
      <c r="C478" s="2408" t="s">
        <v>105</v>
      </c>
      <c r="D478" s="699" t="str">
        <f>B478&amp;".1"</f>
        <v>3.148.1</v>
      </c>
      <c r="E478" s="1677" t="s">
        <v>966</v>
      </c>
      <c r="F478" s="2273" t="s">
        <v>328</v>
      </c>
      <c r="G478" s="2363" t="s">
        <v>22</v>
      </c>
      <c r="H478" s="828" t="s">
        <v>22</v>
      </c>
      <c r="I478" s="2363" t="s">
        <v>983</v>
      </c>
      <c r="J478" s="828" t="s">
        <v>22</v>
      </c>
      <c r="K478" s="2363" t="s">
        <v>22</v>
      </c>
      <c r="L478" s="828" t="s">
        <v>22</v>
      </c>
      <c r="M478" s="2363" t="s">
        <v>22</v>
      </c>
      <c r="N478" s="828" t="s">
        <v>22</v>
      </c>
      <c r="O478" s="2363" t="s">
        <v>22</v>
      </c>
      <c r="P478" s="828" t="s">
        <v>22</v>
      </c>
      <c r="Q478" s="1535"/>
      <c r="R478" s="1645"/>
      <c r="S478" s="1645"/>
      <c r="T478" s="1645"/>
      <c r="U478" s="1645"/>
      <c r="V478" s="1645"/>
      <c r="W478" s="1645"/>
      <c r="X478" s="1645"/>
      <c r="Y478" s="1645"/>
      <c r="Z478" s="1645"/>
      <c r="AA478" s="685"/>
      <c r="AB478" s="1645">
        <v>0</v>
      </c>
    </row>
    <row s="1860" customFormat="1" customHeight="1" ht="15">
      <c r="A479" s="1645"/>
      <c r="B479" s="2407"/>
      <c r="C479" s="2408"/>
      <c r="D479" s="699" t="str">
        <f>B478&amp;".2"</f>
        <v>3.148.2</v>
      </c>
      <c r="E479" s="1677" t="s">
        <v>967</v>
      </c>
      <c r="F479" s="2273" t="s">
        <v>328</v>
      </c>
      <c r="G479" s="1748" t="s">
        <v>22</v>
      </c>
      <c r="H479" s="828" t="s">
        <v>22</v>
      </c>
      <c r="I479" s="1748">
        <v>46160</v>
      </c>
      <c r="J479" s="828" t="s">
        <v>22</v>
      </c>
      <c r="K479" s="1748" t="s">
        <v>22</v>
      </c>
      <c r="L479" s="828" t="s">
        <v>22</v>
      </c>
      <c r="M479" s="1748" t="s">
        <v>22</v>
      </c>
      <c r="N479" s="828" t="s">
        <v>22</v>
      </c>
      <c r="O479" s="1748" t="s">
        <v>22</v>
      </c>
      <c r="P479" s="828" t="s">
        <v>22</v>
      </c>
      <c r="Q479" s="1535" t="s">
        <v>968</v>
      </c>
      <c r="R479" s="1645"/>
      <c r="S479" s="1645"/>
      <c r="T479" s="1645"/>
      <c r="U479" s="1645"/>
      <c r="V479" s="1645"/>
      <c r="W479" s="1645"/>
      <c r="X479" s="1645"/>
      <c r="Y479" s="1645"/>
      <c r="Z479" s="1645"/>
      <c r="AA479" s="685"/>
      <c r="AB479" s="1645">
        <v>0</v>
      </c>
    </row>
    <row s="1860" customFormat="1" customHeight="1" ht="15">
      <c r="A480" s="1645"/>
      <c r="B480" s="2407"/>
      <c r="C480" s="2408"/>
      <c r="D480" s="699" t="str">
        <f>B478&amp;".3"</f>
        <v>3.148.3</v>
      </c>
      <c r="E480" s="1677" t="s">
        <v>969</v>
      </c>
      <c r="F480" s="2273" t="s">
        <v>328</v>
      </c>
      <c r="G480" s="1748" t="s">
        <v>22</v>
      </c>
      <c r="H480" s="828" t="s">
        <v>22</v>
      </c>
      <c r="I480" s="1748" t="s">
        <v>22</v>
      </c>
      <c r="J480" s="828" t="s">
        <v>22</v>
      </c>
      <c r="K480" s="1748" t="s">
        <v>22</v>
      </c>
      <c r="L480" s="828" t="s">
        <v>22</v>
      </c>
      <c r="M480" s="1748" t="s">
        <v>22</v>
      </c>
      <c r="N480" s="828" t="s">
        <v>22</v>
      </c>
      <c r="O480" s="1748" t="s">
        <v>22</v>
      </c>
      <c r="P480" s="828" t="s">
        <v>22</v>
      </c>
      <c r="Q480" s="1535" t="s">
        <v>970</v>
      </c>
      <c r="R480" s="1645"/>
      <c r="S480" s="1645"/>
      <c r="T480" s="1645"/>
      <c r="U480" s="1645"/>
      <c r="V480" s="1645"/>
      <c r="W480" s="1645"/>
      <c r="X480" s="1645"/>
      <c r="Y480" s="1645"/>
      <c r="Z480" s="1645"/>
      <c r="AA480" s="685"/>
      <c r="AB480" s="1645">
        <v>0</v>
      </c>
    </row>
    <row s="1860" customFormat="1" customHeight="1" ht="22.5">
      <c r="A481" s="1645"/>
      <c r="B481" s="2407" t="s">
        <v>1140</v>
      </c>
      <c r="C481" s="2408" t="s">
        <v>105</v>
      </c>
      <c r="D481" s="699" t="str">
        <f>B481&amp;".1"</f>
        <v>3.149.1</v>
      </c>
      <c r="E481" s="1677" t="s">
        <v>966</v>
      </c>
      <c r="F481" s="2273" t="s">
        <v>328</v>
      </c>
      <c r="G481" s="2363" t="s">
        <v>22</v>
      </c>
      <c r="H481" s="828" t="s">
        <v>22</v>
      </c>
      <c r="I481" s="2363" t="s">
        <v>983</v>
      </c>
      <c r="J481" s="828" t="s">
        <v>22</v>
      </c>
      <c r="K481" s="2363" t="s">
        <v>22</v>
      </c>
      <c r="L481" s="828" t="s">
        <v>22</v>
      </c>
      <c r="M481" s="2363" t="s">
        <v>22</v>
      </c>
      <c r="N481" s="828" t="s">
        <v>22</v>
      </c>
      <c r="O481" s="2363" t="s">
        <v>22</v>
      </c>
      <c r="P481" s="828" t="s">
        <v>22</v>
      </c>
      <c r="Q481" s="1535"/>
      <c r="R481" s="1645"/>
      <c r="S481" s="1645"/>
      <c r="T481" s="1645"/>
      <c r="U481" s="1645"/>
      <c r="V481" s="1645"/>
      <c r="W481" s="1645"/>
      <c r="X481" s="1645"/>
      <c r="Y481" s="1645"/>
      <c r="Z481" s="1645"/>
      <c r="AA481" s="685"/>
      <c r="AB481" s="1645">
        <v>0</v>
      </c>
    </row>
    <row s="1860" customFormat="1" customHeight="1" ht="15">
      <c r="A482" s="1645"/>
      <c r="B482" s="2407"/>
      <c r="C482" s="2408"/>
      <c r="D482" s="699" t="str">
        <f>B481&amp;".2"</f>
        <v>3.149.2</v>
      </c>
      <c r="E482" s="1677" t="s">
        <v>967</v>
      </c>
      <c r="F482" s="2273" t="s">
        <v>328</v>
      </c>
      <c r="G482" s="1748" t="s">
        <v>22</v>
      </c>
      <c r="H482" s="828" t="s">
        <v>22</v>
      </c>
      <c r="I482" s="1748">
        <v>46160</v>
      </c>
      <c r="J482" s="828" t="s">
        <v>22</v>
      </c>
      <c r="K482" s="1748" t="s">
        <v>22</v>
      </c>
      <c r="L482" s="828" t="s">
        <v>22</v>
      </c>
      <c r="M482" s="1748" t="s">
        <v>22</v>
      </c>
      <c r="N482" s="828" t="s">
        <v>22</v>
      </c>
      <c r="O482" s="1748" t="s">
        <v>22</v>
      </c>
      <c r="P482" s="828" t="s">
        <v>22</v>
      </c>
      <c r="Q482" s="1535" t="s">
        <v>968</v>
      </c>
      <c r="R482" s="1645"/>
      <c r="S482" s="1645"/>
      <c r="T482" s="1645"/>
      <c r="U482" s="1645"/>
      <c r="V482" s="1645"/>
      <c r="W482" s="1645"/>
      <c r="X482" s="1645"/>
      <c r="Y482" s="1645"/>
      <c r="Z482" s="1645"/>
      <c r="AA482" s="685"/>
      <c r="AB482" s="1645">
        <v>0</v>
      </c>
    </row>
    <row s="1860" customFormat="1" customHeight="1" ht="15">
      <c r="A483" s="1645"/>
      <c r="B483" s="2407"/>
      <c r="C483" s="2408"/>
      <c r="D483" s="699" t="str">
        <f>B481&amp;".3"</f>
        <v>3.149.3</v>
      </c>
      <c r="E483" s="1677" t="s">
        <v>969</v>
      </c>
      <c r="F483" s="2273" t="s">
        <v>328</v>
      </c>
      <c r="G483" s="1748" t="s">
        <v>22</v>
      </c>
      <c r="H483" s="828" t="s">
        <v>22</v>
      </c>
      <c r="I483" s="1748" t="s">
        <v>22</v>
      </c>
      <c r="J483" s="828" t="s">
        <v>22</v>
      </c>
      <c r="K483" s="1748" t="s">
        <v>22</v>
      </c>
      <c r="L483" s="828" t="s">
        <v>22</v>
      </c>
      <c r="M483" s="1748" t="s">
        <v>22</v>
      </c>
      <c r="N483" s="828" t="s">
        <v>22</v>
      </c>
      <c r="O483" s="1748" t="s">
        <v>22</v>
      </c>
      <c r="P483" s="828" t="s">
        <v>22</v>
      </c>
      <c r="Q483" s="1535" t="s">
        <v>970</v>
      </c>
      <c r="R483" s="1645"/>
      <c r="S483" s="1645"/>
      <c r="T483" s="1645"/>
      <c r="U483" s="1645"/>
      <c r="V483" s="1645"/>
      <c r="W483" s="1645"/>
      <c r="X483" s="1645"/>
      <c r="Y483" s="1645"/>
      <c r="Z483" s="1645"/>
      <c r="AA483" s="685"/>
      <c r="AB483" s="1645">
        <v>0</v>
      </c>
    </row>
    <row s="1860" customFormat="1" customHeight="1" ht="22.5">
      <c r="A484" s="1645"/>
      <c r="B484" s="2407" t="s">
        <v>1141</v>
      </c>
      <c r="C484" s="2408" t="s">
        <v>105</v>
      </c>
      <c r="D484" s="699" t="str">
        <f>B484&amp;".1"</f>
        <v>3.150.1</v>
      </c>
      <c r="E484" s="1677" t="s">
        <v>966</v>
      </c>
      <c r="F484" s="2273" t="s">
        <v>328</v>
      </c>
      <c r="G484" s="2363" t="s">
        <v>22</v>
      </c>
      <c r="H484" s="828" t="s">
        <v>22</v>
      </c>
      <c r="I484" s="2363" t="s">
        <v>983</v>
      </c>
      <c r="J484" s="828" t="s">
        <v>22</v>
      </c>
      <c r="K484" s="2363" t="s">
        <v>22</v>
      </c>
      <c r="L484" s="828" t="s">
        <v>22</v>
      </c>
      <c r="M484" s="2363" t="s">
        <v>22</v>
      </c>
      <c r="N484" s="828" t="s">
        <v>22</v>
      </c>
      <c r="O484" s="2363" t="s">
        <v>22</v>
      </c>
      <c r="P484" s="828" t="s">
        <v>22</v>
      </c>
      <c r="Q484" s="1535"/>
      <c r="R484" s="1645"/>
      <c r="S484" s="1645"/>
      <c r="T484" s="1645"/>
      <c r="U484" s="1645"/>
      <c r="V484" s="1645"/>
      <c r="W484" s="1645"/>
      <c r="X484" s="1645"/>
      <c r="Y484" s="1645"/>
      <c r="Z484" s="1645"/>
      <c r="AA484" s="685"/>
      <c r="AB484" s="1645">
        <v>0</v>
      </c>
    </row>
    <row s="1860" customFormat="1" customHeight="1" ht="15">
      <c r="A485" s="1645"/>
      <c r="B485" s="2407"/>
      <c r="C485" s="2408"/>
      <c r="D485" s="699" t="str">
        <f>B484&amp;".2"</f>
        <v>3.150.2</v>
      </c>
      <c r="E485" s="1677" t="s">
        <v>967</v>
      </c>
      <c r="F485" s="2273" t="s">
        <v>328</v>
      </c>
      <c r="G485" s="1748" t="s">
        <v>22</v>
      </c>
      <c r="H485" s="828" t="s">
        <v>22</v>
      </c>
      <c r="I485" s="1748">
        <v>46160</v>
      </c>
      <c r="J485" s="828" t="s">
        <v>22</v>
      </c>
      <c r="K485" s="1748" t="s">
        <v>22</v>
      </c>
      <c r="L485" s="828" t="s">
        <v>22</v>
      </c>
      <c r="M485" s="1748" t="s">
        <v>22</v>
      </c>
      <c r="N485" s="828" t="s">
        <v>22</v>
      </c>
      <c r="O485" s="1748" t="s">
        <v>22</v>
      </c>
      <c r="P485" s="828" t="s">
        <v>22</v>
      </c>
      <c r="Q485" s="1535" t="s">
        <v>968</v>
      </c>
      <c r="R485" s="1645"/>
      <c r="S485" s="1645"/>
      <c r="T485" s="1645"/>
      <c r="U485" s="1645"/>
      <c r="V485" s="1645"/>
      <c r="W485" s="1645"/>
      <c r="X485" s="1645"/>
      <c r="Y485" s="1645"/>
      <c r="Z485" s="1645"/>
      <c r="AA485" s="685"/>
      <c r="AB485" s="1645">
        <v>0</v>
      </c>
    </row>
    <row s="1860" customFormat="1" customHeight="1" ht="15">
      <c r="A486" s="1645"/>
      <c r="B486" s="2407"/>
      <c r="C486" s="2408"/>
      <c r="D486" s="699" t="str">
        <f>B484&amp;".3"</f>
        <v>3.150.3</v>
      </c>
      <c r="E486" s="1677" t="s">
        <v>969</v>
      </c>
      <c r="F486" s="2273" t="s">
        <v>328</v>
      </c>
      <c r="G486" s="1748" t="s">
        <v>22</v>
      </c>
      <c r="H486" s="828" t="s">
        <v>22</v>
      </c>
      <c r="I486" s="1748" t="s">
        <v>22</v>
      </c>
      <c r="J486" s="828" t="s">
        <v>22</v>
      </c>
      <c r="K486" s="1748" t="s">
        <v>22</v>
      </c>
      <c r="L486" s="828" t="s">
        <v>22</v>
      </c>
      <c r="M486" s="1748" t="s">
        <v>22</v>
      </c>
      <c r="N486" s="828" t="s">
        <v>22</v>
      </c>
      <c r="O486" s="1748" t="s">
        <v>22</v>
      </c>
      <c r="P486" s="828" t="s">
        <v>22</v>
      </c>
      <c r="Q486" s="1535" t="s">
        <v>970</v>
      </c>
      <c r="R486" s="1645"/>
      <c r="S486" s="1645"/>
      <c r="T486" s="1645"/>
      <c r="U486" s="1645"/>
      <c r="V486" s="1645"/>
      <c r="W486" s="1645"/>
      <c r="X486" s="1645"/>
      <c r="Y486" s="1645"/>
      <c r="Z486" s="1645"/>
      <c r="AA486" s="685"/>
      <c r="AB486" s="1645">
        <v>0</v>
      </c>
    </row>
    <row s="1860" customFormat="1" customHeight="1" ht="22.5">
      <c r="A487" s="1645"/>
      <c r="B487" s="2407" t="s">
        <v>1142</v>
      </c>
      <c r="C487" s="2408" t="s">
        <v>105</v>
      </c>
      <c r="D487" s="699" t="str">
        <f>B487&amp;".1"</f>
        <v>3.151.1</v>
      </c>
      <c r="E487" s="1677" t="s">
        <v>966</v>
      </c>
      <c r="F487" s="2273" t="s">
        <v>328</v>
      </c>
      <c r="G487" s="2363" t="s">
        <v>22</v>
      </c>
      <c r="H487" s="828" t="s">
        <v>22</v>
      </c>
      <c r="I487" s="2363" t="s">
        <v>983</v>
      </c>
      <c r="J487" s="828" t="s">
        <v>22</v>
      </c>
      <c r="K487" s="2363" t="s">
        <v>22</v>
      </c>
      <c r="L487" s="828" t="s">
        <v>22</v>
      </c>
      <c r="M487" s="2363" t="s">
        <v>22</v>
      </c>
      <c r="N487" s="828" t="s">
        <v>22</v>
      </c>
      <c r="O487" s="2363" t="s">
        <v>22</v>
      </c>
      <c r="P487" s="828" t="s">
        <v>22</v>
      </c>
      <c r="Q487" s="1535"/>
      <c r="R487" s="1645"/>
      <c r="S487" s="1645"/>
      <c r="T487" s="1645"/>
      <c r="U487" s="1645"/>
      <c r="V487" s="1645"/>
      <c r="W487" s="1645"/>
      <c r="X487" s="1645"/>
      <c r="Y487" s="1645"/>
      <c r="Z487" s="1645"/>
      <c r="AA487" s="685"/>
      <c r="AB487" s="1645">
        <v>0</v>
      </c>
    </row>
    <row s="1860" customFormat="1" customHeight="1" ht="15">
      <c r="A488" s="1645"/>
      <c r="B488" s="2407"/>
      <c r="C488" s="2408"/>
      <c r="D488" s="699" t="str">
        <f>B487&amp;".2"</f>
        <v>3.151.2</v>
      </c>
      <c r="E488" s="1677" t="s">
        <v>967</v>
      </c>
      <c r="F488" s="2273" t="s">
        <v>328</v>
      </c>
      <c r="G488" s="1748" t="s">
        <v>22</v>
      </c>
      <c r="H488" s="828" t="s">
        <v>22</v>
      </c>
      <c r="I488" s="1748">
        <v>46160</v>
      </c>
      <c r="J488" s="828" t="s">
        <v>22</v>
      </c>
      <c r="K488" s="1748" t="s">
        <v>22</v>
      </c>
      <c r="L488" s="828" t="s">
        <v>22</v>
      </c>
      <c r="M488" s="1748" t="s">
        <v>22</v>
      </c>
      <c r="N488" s="828" t="s">
        <v>22</v>
      </c>
      <c r="O488" s="1748" t="s">
        <v>22</v>
      </c>
      <c r="P488" s="828" t="s">
        <v>22</v>
      </c>
      <c r="Q488" s="1535" t="s">
        <v>968</v>
      </c>
      <c r="R488" s="1645"/>
      <c r="S488" s="1645"/>
      <c r="T488" s="1645"/>
      <c r="U488" s="1645"/>
      <c r="V488" s="1645"/>
      <c r="W488" s="1645"/>
      <c r="X488" s="1645"/>
      <c r="Y488" s="1645"/>
      <c r="Z488" s="1645"/>
      <c r="AA488" s="685"/>
      <c r="AB488" s="1645">
        <v>0</v>
      </c>
    </row>
    <row s="1860" customFormat="1" customHeight="1" ht="15">
      <c r="A489" s="1645"/>
      <c r="B489" s="2407"/>
      <c r="C489" s="2408"/>
      <c r="D489" s="699" t="str">
        <f>B487&amp;".3"</f>
        <v>3.151.3</v>
      </c>
      <c r="E489" s="1677" t="s">
        <v>969</v>
      </c>
      <c r="F489" s="2273" t="s">
        <v>328</v>
      </c>
      <c r="G489" s="1748" t="s">
        <v>22</v>
      </c>
      <c r="H489" s="828" t="s">
        <v>22</v>
      </c>
      <c r="I489" s="1748" t="s">
        <v>22</v>
      </c>
      <c r="J489" s="828" t="s">
        <v>22</v>
      </c>
      <c r="K489" s="1748" t="s">
        <v>22</v>
      </c>
      <c r="L489" s="828" t="s">
        <v>22</v>
      </c>
      <c r="M489" s="1748" t="s">
        <v>22</v>
      </c>
      <c r="N489" s="828" t="s">
        <v>22</v>
      </c>
      <c r="O489" s="1748" t="s">
        <v>22</v>
      </c>
      <c r="P489" s="828" t="s">
        <v>22</v>
      </c>
      <c r="Q489" s="1535" t="s">
        <v>970</v>
      </c>
      <c r="R489" s="1645"/>
      <c r="S489" s="1645"/>
      <c r="T489" s="1645"/>
      <c r="U489" s="1645"/>
      <c r="V489" s="1645"/>
      <c r="W489" s="1645"/>
      <c r="X489" s="1645"/>
      <c r="Y489" s="1645"/>
      <c r="Z489" s="1645"/>
      <c r="AA489" s="685"/>
      <c r="AB489" s="1645">
        <v>0</v>
      </c>
    </row>
    <row s="1860" customFormat="1" customHeight="1" ht="22.5">
      <c r="A490" s="1645"/>
      <c r="B490" s="2407" t="s">
        <v>1143</v>
      </c>
      <c r="C490" s="2408" t="s">
        <v>105</v>
      </c>
      <c r="D490" s="699" t="str">
        <f>B490&amp;".1"</f>
        <v>3.152.1</v>
      </c>
      <c r="E490" s="1677" t="s">
        <v>966</v>
      </c>
      <c r="F490" s="2273" t="s">
        <v>328</v>
      </c>
      <c r="G490" s="2363" t="s">
        <v>22</v>
      </c>
      <c r="H490" s="828" t="s">
        <v>22</v>
      </c>
      <c r="I490" s="2363" t="s">
        <v>983</v>
      </c>
      <c r="J490" s="828" t="s">
        <v>22</v>
      </c>
      <c r="K490" s="2363" t="s">
        <v>22</v>
      </c>
      <c r="L490" s="828" t="s">
        <v>22</v>
      </c>
      <c r="M490" s="2363" t="s">
        <v>22</v>
      </c>
      <c r="N490" s="828" t="s">
        <v>22</v>
      </c>
      <c r="O490" s="2363" t="s">
        <v>22</v>
      </c>
      <c r="P490" s="828" t="s">
        <v>22</v>
      </c>
      <c r="Q490" s="1535"/>
      <c r="R490" s="1645"/>
      <c r="S490" s="1645"/>
      <c r="T490" s="1645"/>
      <c r="U490" s="1645"/>
      <c r="V490" s="1645"/>
      <c r="W490" s="1645"/>
      <c r="X490" s="1645"/>
      <c r="Y490" s="1645"/>
      <c r="Z490" s="1645"/>
      <c r="AA490" s="685"/>
      <c r="AB490" s="1645">
        <v>0</v>
      </c>
    </row>
    <row s="1860" customFormat="1" customHeight="1" ht="15">
      <c r="A491" s="1645"/>
      <c r="B491" s="2407"/>
      <c r="C491" s="2408"/>
      <c r="D491" s="699" t="str">
        <f>B490&amp;".2"</f>
        <v>3.152.2</v>
      </c>
      <c r="E491" s="1677" t="s">
        <v>967</v>
      </c>
      <c r="F491" s="2273" t="s">
        <v>328</v>
      </c>
      <c r="G491" s="1748" t="s">
        <v>22</v>
      </c>
      <c r="H491" s="828" t="s">
        <v>22</v>
      </c>
      <c r="I491" s="1748">
        <v>46160</v>
      </c>
      <c r="J491" s="828" t="s">
        <v>22</v>
      </c>
      <c r="K491" s="1748" t="s">
        <v>22</v>
      </c>
      <c r="L491" s="828" t="s">
        <v>22</v>
      </c>
      <c r="M491" s="1748" t="s">
        <v>22</v>
      </c>
      <c r="N491" s="828" t="s">
        <v>22</v>
      </c>
      <c r="O491" s="1748" t="s">
        <v>22</v>
      </c>
      <c r="P491" s="828" t="s">
        <v>22</v>
      </c>
      <c r="Q491" s="1535" t="s">
        <v>968</v>
      </c>
      <c r="R491" s="1645"/>
      <c r="S491" s="1645"/>
      <c r="T491" s="1645"/>
      <c r="U491" s="1645"/>
      <c r="V491" s="1645"/>
      <c r="W491" s="1645"/>
      <c r="X491" s="1645"/>
      <c r="Y491" s="1645"/>
      <c r="Z491" s="1645"/>
      <c r="AA491" s="685"/>
      <c r="AB491" s="1645">
        <v>0</v>
      </c>
    </row>
    <row s="1860" customFormat="1" customHeight="1" ht="15">
      <c r="A492" s="1645"/>
      <c r="B492" s="2407"/>
      <c r="C492" s="2408"/>
      <c r="D492" s="699" t="str">
        <f>B490&amp;".3"</f>
        <v>3.152.3</v>
      </c>
      <c r="E492" s="1677" t="s">
        <v>969</v>
      </c>
      <c r="F492" s="2273" t="s">
        <v>328</v>
      </c>
      <c r="G492" s="1748" t="s">
        <v>22</v>
      </c>
      <c r="H492" s="828" t="s">
        <v>22</v>
      </c>
      <c r="I492" s="1748" t="s">
        <v>22</v>
      </c>
      <c r="J492" s="828" t="s">
        <v>22</v>
      </c>
      <c r="K492" s="1748" t="s">
        <v>22</v>
      </c>
      <c r="L492" s="828" t="s">
        <v>22</v>
      </c>
      <c r="M492" s="1748" t="s">
        <v>22</v>
      </c>
      <c r="N492" s="828" t="s">
        <v>22</v>
      </c>
      <c r="O492" s="1748" t="s">
        <v>22</v>
      </c>
      <c r="P492" s="828" t="s">
        <v>22</v>
      </c>
      <c r="Q492" s="1535" t="s">
        <v>970</v>
      </c>
      <c r="R492" s="1645"/>
      <c r="S492" s="1645"/>
      <c r="T492" s="1645"/>
      <c r="U492" s="1645"/>
      <c r="V492" s="1645"/>
      <c r="W492" s="1645"/>
      <c r="X492" s="1645"/>
      <c r="Y492" s="1645"/>
      <c r="Z492" s="1645"/>
      <c r="AA492" s="685"/>
      <c r="AB492" s="1645">
        <v>0</v>
      </c>
    </row>
    <row s="1860" customFormat="1" customHeight="1" ht="22.5">
      <c r="A493" s="1645"/>
      <c r="B493" s="2407" t="s">
        <v>1144</v>
      </c>
      <c r="C493" s="2408" t="s">
        <v>105</v>
      </c>
      <c r="D493" s="699" t="str">
        <f>B493&amp;".1"</f>
        <v>3.153.1</v>
      </c>
      <c r="E493" s="1677" t="s">
        <v>966</v>
      </c>
      <c r="F493" s="2273" t="s">
        <v>328</v>
      </c>
      <c r="G493" s="2363" t="s">
        <v>22</v>
      </c>
      <c r="H493" s="828" t="s">
        <v>22</v>
      </c>
      <c r="I493" s="2363" t="s">
        <v>983</v>
      </c>
      <c r="J493" s="828" t="s">
        <v>22</v>
      </c>
      <c r="K493" s="2363" t="s">
        <v>22</v>
      </c>
      <c r="L493" s="828" t="s">
        <v>22</v>
      </c>
      <c r="M493" s="2363" t="s">
        <v>22</v>
      </c>
      <c r="N493" s="828" t="s">
        <v>22</v>
      </c>
      <c r="O493" s="2363" t="s">
        <v>22</v>
      </c>
      <c r="P493" s="828" t="s">
        <v>22</v>
      </c>
      <c r="Q493" s="1535"/>
      <c r="R493" s="1645"/>
      <c r="S493" s="1645"/>
      <c r="T493" s="1645"/>
      <c r="U493" s="1645"/>
      <c r="V493" s="1645"/>
      <c r="W493" s="1645"/>
      <c r="X493" s="1645"/>
      <c r="Y493" s="1645"/>
      <c r="Z493" s="1645"/>
      <c r="AA493" s="685"/>
      <c r="AB493" s="1645">
        <v>0</v>
      </c>
    </row>
    <row s="1860" customFormat="1" customHeight="1" ht="15">
      <c r="A494" s="1645"/>
      <c r="B494" s="2407"/>
      <c r="C494" s="2408"/>
      <c r="D494" s="699" t="str">
        <f>B493&amp;".2"</f>
        <v>3.153.2</v>
      </c>
      <c r="E494" s="1677" t="s">
        <v>967</v>
      </c>
      <c r="F494" s="2273" t="s">
        <v>328</v>
      </c>
      <c r="G494" s="1748" t="s">
        <v>22</v>
      </c>
      <c r="H494" s="828" t="s">
        <v>22</v>
      </c>
      <c r="I494" s="1748">
        <v>46160</v>
      </c>
      <c r="J494" s="828" t="s">
        <v>22</v>
      </c>
      <c r="K494" s="1748" t="s">
        <v>22</v>
      </c>
      <c r="L494" s="828" t="s">
        <v>22</v>
      </c>
      <c r="M494" s="1748" t="s">
        <v>22</v>
      </c>
      <c r="N494" s="828" t="s">
        <v>22</v>
      </c>
      <c r="O494" s="1748" t="s">
        <v>22</v>
      </c>
      <c r="P494" s="828" t="s">
        <v>22</v>
      </c>
      <c r="Q494" s="1535" t="s">
        <v>968</v>
      </c>
      <c r="R494" s="1645"/>
      <c r="S494" s="1645"/>
      <c r="T494" s="1645"/>
      <c r="U494" s="1645"/>
      <c r="V494" s="1645"/>
      <c r="W494" s="1645"/>
      <c r="X494" s="1645"/>
      <c r="Y494" s="1645"/>
      <c r="Z494" s="1645"/>
      <c r="AA494" s="685"/>
      <c r="AB494" s="1645">
        <v>0</v>
      </c>
    </row>
    <row s="1860" customFormat="1" customHeight="1" ht="15">
      <c r="A495" s="1645"/>
      <c r="B495" s="2407"/>
      <c r="C495" s="2408"/>
      <c r="D495" s="699" t="str">
        <f>B493&amp;".3"</f>
        <v>3.153.3</v>
      </c>
      <c r="E495" s="1677" t="s">
        <v>969</v>
      </c>
      <c r="F495" s="2273" t="s">
        <v>328</v>
      </c>
      <c r="G495" s="1748" t="s">
        <v>22</v>
      </c>
      <c r="H495" s="828" t="s">
        <v>22</v>
      </c>
      <c r="I495" s="1748" t="s">
        <v>22</v>
      </c>
      <c r="J495" s="828" t="s">
        <v>22</v>
      </c>
      <c r="K495" s="1748" t="s">
        <v>22</v>
      </c>
      <c r="L495" s="828" t="s">
        <v>22</v>
      </c>
      <c r="M495" s="1748" t="s">
        <v>22</v>
      </c>
      <c r="N495" s="828" t="s">
        <v>22</v>
      </c>
      <c r="O495" s="1748" t="s">
        <v>22</v>
      </c>
      <c r="P495" s="828" t="s">
        <v>22</v>
      </c>
      <c r="Q495" s="1535" t="s">
        <v>970</v>
      </c>
      <c r="R495" s="1645"/>
      <c r="S495" s="1645"/>
      <c r="T495" s="1645"/>
      <c r="U495" s="1645"/>
      <c r="V495" s="1645"/>
      <c r="W495" s="1645"/>
      <c r="X495" s="1645"/>
      <c r="Y495" s="1645"/>
      <c r="Z495" s="1645"/>
      <c r="AA495" s="685"/>
      <c r="AB495" s="1645">
        <v>0</v>
      </c>
    </row>
    <row s="1860" customFormat="1" customHeight="1" ht="22.5">
      <c r="A496" s="1645"/>
      <c r="B496" s="2407" t="s">
        <v>1145</v>
      </c>
      <c r="C496" s="2408" t="s">
        <v>105</v>
      </c>
      <c r="D496" s="699" t="str">
        <f>B496&amp;".1"</f>
        <v>3.154.1</v>
      </c>
      <c r="E496" s="1677" t="s">
        <v>966</v>
      </c>
      <c r="F496" s="2273" t="s">
        <v>328</v>
      </c>
      <c r="G496" s="2363" t="s">
        <v>22</v>
      </c>
      <c r="H496" s="828" t="s">
        <v>22</v>
      </c>
      <c r="I496" s="2363" t="s">
        <v>983</v>
      </c>
      <c r="J496" s="828" t="s">
        <v>22</v>
      </c>
      <c r="K496" s="2363" t="s">
        <v>22</v>
      </c>
      <c r="L496" s="828" t="s">
        <v>22</v>
      </c>
      <c r="M496" s="2363" t="s">
        <v>22</v>
      </c>
      <c r="N496" s="828" t="s">
        <v>22</v>
      </c>
      <c r="O496" s="2363" t="s">
        <v>22</v>
      </c>
      <c r="P496" s="828" t="s">
        <v>22</v>
      </c>
      <c r="Q496" s="1535"/>
      <c r="R496" s="1645"/>
      <c r="S496" s="1645"/>
      <c r="T496" s="1645"/>
      <c r="U496" s="1645"/>
      <c r="V496" s="1645"/>
      <c r="W496" s="1645"/>
      <c r="X496" s="1645"/>
      <c r="Y496" s="1645"/>
      <c r="Z496" s="1645"/>
      <c r="AA496" s="685"/>
      <c r="AB496" s="1645">
        <v>0</v>
      </c>
    </row>
    <row s="1860" customFormat="1" customHeight="1" ht="15">
      <c r="A497" s="1645"/>
      <c r="B497" s="2407"/>
      <c r="C497" s="2408"/>
      <c r="D497" s="699" t="str">
        <f>B496&amp;".2"</f>
        <v>3.154.2</v>
      </c>
      <c r="E497" s="1677" t="s">
        <v>967</v>
      </c>
      <c r="F497" s="2273" t="s">
        <v>328</v>
      </c>
      <c r="G497" s="1748" t="s">
        <v>22</v>
      </c>
      <c r="H497" s="828" t="s">
        <v>22</v>
      </c>
      <c r="I497" s="1748">
        <v>46160</v>
      </c>
      <c r="J497" s="828" t="s">
        <v>22</v>
      </c>
      <c r="K497" s="1748" t="s">
        <v>22</v>
      </c>
      <c r="L497" s="828" t="s">
        <v>22</v>
      </c>
      <c r="M497" s="1748" t="s">
        <v>22</v>
      </c>
      <c r="N497" s="828" t="s">
        <v>22</v>
      </c>
      <c r="O497" s="1748" t="s">
        <v>22</v>
      </c>
      <c r="P497" s="828" t="s">
        <v>22</v>
      </c>
      <c r="Q497" s="1535" t="s">
        <v>968</v>
      </c>
      <c r="R497" s="1645"/>
      <c r="S497" s="1645"/>
      <c r="T497" s="1645"/>
      <c r="U497" s="1645"/>
      <c r="V497" s="1645"/>
      <c r="W497" s="1645"/>
      <c r="X497" s="1645"/>
      <c r="Y497" s="1645"/>
      <c r="Z497" s="1645"/>
      <c r="AA497" s="685"/>
      <c r="AB497" s="1645">
        <v>0</v>
      </c>
    </row>
    <row s="1860" customFormat="1" customHeight="1" ht="15">
      <c r="A498" s="1645"/>
      <c r="B498" s="2407"/>
      <c r="C498" s="2408"/>
      <c r="D498" s="699" t="str">
        <f>B496&amp;".3"</f>
        <v>3.154.3</v>
      </c>
      <c r="E498" s="1677" t="s">
        <v>969</v>
      </c>
      <c r="F498" s="2273" t="s">
        <v>328</v>
      </c>
      <c r="G498" s="1748" t="s">
        <v>22</v>
      </c>
      <c r="H498" s="828" t="s">
        <v>22</v>
      </c>
      <c r="I498" s="1748" t="s">
        <v>22</v>
      </c>
      <c r="J498" s="828" t="s">
        <v>22</v>
      </c>
      <c r="K498" s="1748" t="s">
        <v>22</v>
      </c>
      <c r="L498" s="828" t="s">
        <v>22</v>
      </c>
      <c r="M498" s="1748" t="s">
        <v>22</v>
      </c>
      <c r="N498" s="828" t="s">
        <v>22</v>
      </c>
      <c r="O498" s="1748" t="s">
        <v>22</v>
      </c>
      <c r="P498" s="828" t="s">
        <v>22</v>
      </c>
      <c r="Q498" s="1535" t="s">
        <v>970</v>
      </c>
      <c r="R498" s="1645"/>
      <c r="S498" s="1645"/>
      <c r="T498" s="1645"/>
      <c r="U498" s="1645"/>
      <c r="V498" s="1645"/>
      <c r="W498" s="1645"/>
      <c r="X498" s="1645"/>
      <c r="Y498" s="1645"/>
      <c r="Z498" s="1645"/>
      <c r="AA498" s="685"/>
      <c r="AB498" s="1645">
        <v>0</v>
      </c>
    </row>
    <row s="1860" customFormat="1" customHeight="1" ht="22.5">
      <c r="A499" s="1645"/>
      <c r="B499" s="2407" t="s">
        <v>1146</v>
      </c>
      <c r="C499" s="2408" t="s">
        <v>105</v>
      </c>
      <c r="D499" s="699" t="str">
        <f>B499&amp;".1"</f>
        <v>3.155.1</v>
      </c>
      <c r="E499" s="1677" t="s">
        <v>966</v>
      </c>
      <c r="F499" s="2273" t="s">
        <v>328</v>
      </c>
      <c r="G499" s="2363" t="s">
        <v>22</v>
      </c>
      <c r="H499" s="828" t="s">
        <v>22</v>
      </c>
      <c r="I499" s="2363" t="s">
        <v>983</v>
      </c>
      <c r="J499" s="828" t="s">
        <v>22</v>
      </c>
      <c r="K499" s="2363" t="s">
        <v>22</v>
      </c>
      <c r="L499" s="828" t="s">
        <v>22</v>
      </c>
      <c r="M499" s="2363" t="s">
        <v>22</v>
      </c>
      <c r="N499" s="828" t="s">
        <v>22</v>
      </c>
      <c r="O499" s="2363" t="s">
        <v>22</v>
      </c>
      <c r="P499" s="828" t="s">
        <v>22</v>
      </c>
      <c r="Q499" s="1535"/>
      <c r="R499" s="1645"/>
      <c r="S499" s="1645"/>
      <c r="T499" s="1645"/>
      <c r="U499" s="1645"/>
      <c r="V499" s="1645"/>
      <c r="W499" s="1645"/>
      <c r="X499" s="1645"/>
      <c r="Y499" s="1645"/>
      <c r="Z499" s="1645"/>
      <c r="AA499" s="685"/>
      <c r="AB499" s="1645">
        <v>0</v>
      </c>
    </row>
    <row s="1860" customFormat="1" customHeight="1" ht="15">
      <c r="A500" s="1645"/>
      <c r="B500" s="2407"/>
      <c r="C500" s="2408"/>
      <c r="D500" s="699" t="str">
        <f>B499&amp;".2"</f>
        <v>3.155.2</v>
      </c>
      <c r="E500" s="1677" t="s">
        <v>967</v>
      </c>
      <c r="F500" s="2273" t="s">
        <v>328</v>
      </c>
      <c r="G500" s="1748" t="s">
        <v>22</v>
      </c>
      <c r="H500" s="828" t="s">
        <v>22</v>
      </c>
      <c r="I500" s="1748">
        <v>46160</v>
      </c>
      <c r="J500" s="828" t="s">
        <v>22</v>
      </c>
      <c r="K500" s="1748" t="s">
        <v>22</v>
      </c>
      <c r="L500" s="828" t="s">
        <v>22</v>
      </c>
      <c r="M500" s="1748" t="s">
        <v>22</v>
      </c>
      <c r="N500" s="828" t="s">
        <v>22</v>
      </c>
      <c r="O500" s="1748" t="s">
        <v>22</v>
      </c>
      <c r="P500" s="828" t="s">
        <v>22</v>
      </c>
      <c r="Q500" s="1535" t="s">
        <v>968</v>
      </c>
      <c r="R500" s="1645"/>
      <c r="S500" s="1645"/>
      <c r="T500" s="1645"/>
      <c r="U500" s="1645"/>
      <c r="V500" s="1645"/>
      <c r="W500" s="1645"/>
      <c r="X500" s="1645"/>
      <c r="Y500" s="1645"/>
      <c r="Z500" s="1645"/>
      <c r="AA500" s="685"/>
      <c r="AB500" s="1645">
        <v>0</v>
      </c>
    </row>
    <row s="1860" customFormat="1" customHeight="1" ht="15">
      <c r="A501" s="1645"/>
      <c r="B501" s="2407"/>
      <c r="C501" s="2408"/>
      <c r="D501" s="699" t="str">
        <f>B499&amp;".3"</f>
        <v>3.155.3</v>
      </c>
      <c r="E501" s="1677" t="s">
        <v>969</v>
      </c>
      <c r="F501" s="2273" t="s">
        <v>328</v>
      </c>
      <c r="G501" s="1748" t="s">
        <v>22</v>
      </c>
      <c r="H501" s="828" t="s">
        <v>22</v>
      </c>
      <c r="I501" s="1748" t="s">
        <v>22</v>
      </c>
      <c r="J501" s="828" t="s">
        <v>22</v>
      </c>
      <c r="K501" s="1748" t="s">
        <v>22</v>
      </c>
      <c r="L501" s="828" t="s">
        <v>22</v>
      </c>
      <c r="M501" s="1748" t="s">
        <v>22</v>
      </c>
      <c r="N501" s="828" t="s">
        <v>22</v>
      </c>
      <c r="O501" s="1748" t="s">
        <v>22</v>
      </c>
      <c r="P501" s="828" t="s">
        <v>22</v>
      </c>
      <c r="Q501" s="1535" t="s">
        <v>970</v>
      </c>
      <c r="R501" s="1645"/>
      <c r="S501" s="1645"/>
      <c r="T501" s="1645"/>
      <c r="U501" s="1645"/>
      <c r="V501" s="1645"/>
      <c r="W501" s="1645"/>
      <c r="X501" s="1645"/>
      <c r="Y501" s="1645"/>
      <c r="Z501" s="1645"/>
      <c r="AA501" s="685"/>
      <c r="AB501" s="1645">
        <v>0</v>
      </c>
    </row>
    <row s="1860" customFormat="1" customHeight="1" ht="22.5">
      <c r="A502" s="1645"/>
      <c r="B502" s="2407" t="s">
        <v>1147</v>
      </c>
      <c r="C502" s="2408" t="s">
        <v>105</v>
      </c>
      <c r="D502" s="699" t="str">
        <f>B502&amp;".1"</f>
        <v>3.156.1</v>
      </c>
      <c r="E502" s="1677" t="s">
        <v>966</v>
      </c>
      <c r="F502" s="2273" t="s">
        <v>328</v>
      </c>
      <c r="G502" s="2363" t="s">
        <v>22</v>
      </c>
      <c r="H502" s="828" t="s">
        <v>22</v>
      </c>
      <c r="I502" s="2363" t="s">
        <v>983</v>
      </c>
      <c r="J502" s="828" t="s">
        <v>22</v>
      </c>
      <c r="K502" s="2363" t="s">
        <v>22</v>
      </c>
      <c r="L502" s="828" t="s">
        <v>22</v>
      </c>
      <c r="M502" s="2363" t="s">
        <v>22</v>
      </c>
      <c r="N502" s="828" t="s">
        <v>22</v>
      </c>
      <c r="O502" s="2363" t="s">
        <v>22</v>
      </c>
      <c r="P502" s="828" t="s">
        <v>22</v>
      </c>
      <c r="Q502" s="1535"/>
      <c r="R502" s="1645"/>
      <c r="S502" s="1645"/>
      <c r="T502" s="1645"/>
      <c r="U502" s="1645"/>
      <c r="V502" s="1645"/>
      <c r="W502" s="1645"/>
      <c r="X502" s="1645"/>
      <c r="Y502" s="1645"/>
      <c r="Z502" s="1645"/>
      <c r="AA502" s="685"/>
      <c r="AB502" s="1645">
        <v>0</v>
      </c>
    </row>
    <row s="1860" customFormat="1" customHeight="1" ht="15">
      <c r="A503" s="1645"/>
      <c r="B503" s="2407"/>
      <c r="C503" s="2408"/>
      <c r="D503" s="699" t="str">
        <f>B502&amp;".2"</f>
        <v>3.156.2</v>
      </c>
      <c r="E503" s="1677" t="s">
        <v>967</v>
      </c>
      <c r="F503" s="2273" t="s">
        <v>328</v>
      </c>
      <c r="G503" s="1748" t="s">
        <v>22</v>
      </c>
      <c r="H503" s="828" t="s">
        <v>22</v>
      </c>
      <c r="I503" s="1748">
        <v>46160</v>
      </c>
      <c r="J503" s="828" t="s">
        <v>22</v>
      </c>
      <c r="K503" s="1748" t="s">
        <v>22</v>
      </c>
      <c r="L503" s="828" t="s">
        <v>22</v>
      </c>
      <c r="M503" s="1748" t="s">
        <v>22</v>
      </c>
      <c r="N503" s="828" t="s">
        <v>22</v>
      </c>
      <c r="O503" s="1748" t="s">
        <v>22</v>
      </c>
      <c r="P503" s="828" t="s">
        <v>22</v>
      </c>
      <c r="Q503" s="1535" t="s">
        <v>968</v>
      </c>
      <c r="R503" s="1645"/>
      <c r="S503" s="1645"/>
      <c r="T503" s="1645"/>
      <c r="U503" s="1645"/>
      <c r="V503" s="1645"/>
      <c r="W503" s="1645"/>
      <c r="X503" s="1645"/>
      <c r="Y503" s="1645"/>
      <c r="Z503" s="1645"/>
      <c r="AA503" s="685"/>
      <c r="AB503" s="1645">
        <v>0</v>
      </c>
    </row>
    <row s="1860" customFormat="1" customHeight="1" ht="15">
      <c r="A504" s="1645"/>
      <c r="B504" s="2407"/>
      <c r="C504" s="2408"/>
      <c r="D504" s="699" t="str">
        <f>B502&amp;".3"</f>
        <v>3.156.3</v>
      </c>
      <c r="E504" s="1677" t="s">
        <v>969</v>
      </c>
      <c r="F504" s="2273" t="s">
        <v>328</v>
      </c>
      <c r="G504" s="1748" t="s">
        <v>22</v>
      </c>
      <c r="H504" s="828" t="s">
        <v>22</v>
      </c>
      <c r="I504" s="1748" t="s">
        <v>22</v>
      </c>
      <c r="J504" s="828" t="s">
        <v>22</v>
      </c>
      <c r="K504" s="1748" t="s">
        <v>22</v>
      </c>
      <c r="L504" s="828" t="s">
        <v>22</v>
      </c>
      <c r="M504" s="1748" t="s">
        <v>22</v>
      </c>
      <c r="N504" s="828" t="s">
        <v>22</v>
      </c>
      <c r="O504" s="1748" t="s">
        <v>22</v>
      </c>
      <c r="P504" s="828" t="s">
        <v>22</v>
      </c>
      <c r="Q504" s="1535" t="s">
        <v>970</v>
      </c>
      <c r="R504" s="1645"/>
      <c r="S504" s="1645"/>
      <c r="T504" s="1645"/>
      <c r="U504" s="1645"/>
      <c r="V504" s="1645"/>
      <c r="W504" s="1645"/>
      <c r="X504" s="1645"/>
      <c r="Y504" s="1645"/>
      <c r="Z504" s="1645"/>
      <c r="AA504" s="685"/>
      <c r="AB504" s="1645">
        <v>0</v>
      </c>
    </row>
    <row s="1860" customFormat="1" customHeight="1" ht="22.5">
      <c r="A505" s="1645"/>
      <c r="B505" s="2407" t="s">
        <v>1148</v>
      </c>
      <c r="C505" s="2408" t="s">
        <v>105</v>
      </c>
      <c r="D505" s="699" t="str">
        <f>B505&amp;".1"</f>
        <v>3.157.1</v>
      </c>
      <c r="E505" s="1677" t="s">
        <v>966</v>
      </c>
      <c r="F505" s="2273" t="s">
        <v>328</v>
      </c>
      <c r="G505" s="2363" t="s">
        <v>22</v>
      </c>
      <c r="H505" s="828" t="s">
        <v>22</v>
      </c>
      <c r="I505" s="2363" t="s">
        <v>983</v>
      </c>
      <c r="J505" s="828" t="s">
        <v>22</v>
      </c>
      <c r="K505" s="2363" t="s">
        <v>22</v>
      </c>
      <c r="L505" s="828" t="s">
        <v>22</v>
      </c>
      <c r="M505" s="2363" t="s">
        <v>22</v>
      </c>
      <c r="N505" s="828" t="s">
        <v>22</v>
      </c>
      <c r="O505" s="2363" t="s">
        <v>22</v>
      </c>
      <c r="P505" s="828" t="s">
        <v>22</v>
      </c>
      <c r="Q505" s="1535"/>
      <c r="R505" s="1645"/>
      <c r="S505" s="1645"/>
      <c r="T505" s="1645"/>
      <c r="U505" s="1645"/>
      <c r="V505" s="1645"/>
      <c r="W505" s="1645"/>
      <c r="X505" s="1645"/>
      <c r="Y505" s="1645"/>
      <c r="Z505" s="1645"/>
      <c r="AA505" s="685"/>
      <c r="AB505" s="1645">
        <v>0</v>
      </c>
    </row>
    <row s="1860" customFormat="1" customHeight="1" ht="15">
      <c r="A506" s="1645"/>
      <c r="B506" s="2407"/>
      <c r="C506" s="2408"/>
      <c r="D506" s="699" t="str">
        <f>B505&amp;".2"</f>
        <v>3.157.2</v>
      </c>
      <c r="E506" s="1677" t="s">
        <v>967</v>
      </c>
      <c r="F506" s="2273" t="s">
        <v>328</v>
      </c>
      <c r="G506" s="1748" t="s">
        <v>22</v>
      </c>
      <c r="H506" s="828" t="s">
        <v>22</v>
      </c>
      <c r="I506" s="1748">
        <v>46160</v>
      </c>
      <c r="J506" s="828" t="s">
        <v>22</v>
      </c>
      <c r="K506" s="1748" t="s">
        <v>22</v>
      </c>
      <c r="L506" s="828" t="s">
        <v>22</v>
      </c>
      <c r="M506" s="1748" t="s">
        <v>22</v>
      </c>
      <c r="N506" s="828" t="s">
        <v>22</v>
      </c>
      <c r="O506" s="1748" t="s">
        <v>22</v>
      </c>
      <c r="P506" s="828" t="s">
        <v>22</v>
      </c>
      <c r="Q506" s="1535" t="s">
        <v>968</v>
      </c>
      <c r="R506" s="1645"/>
      <c r="S506" s="1645"/>
      <c r="T506" s="1645"/>
      <c r="U506" s="1645"/>
      <c r="V506" s="1645"/>
      <c r="W506" s="1645"/>
      <c r="X506" s="1645"/>
      <c r="Y506" s="1645"/>
      <c r="Z506" s="1645"/>
      <c r="AA506" s="685"/>
      <c r="AB506" s="1645">
        <v>0</v>
      </c>
    </row>
    <row s="1860" customFormat="1" customHeight="1" ht="15">
      <c r="A507" s="1645"/>
      <c r="B507" s="2407"/>
      <c r="C507" s="2408"/>
      <c r="D507" s="699" t="str">
        <f>B505&amp;".3"</f>
        <v>3.157.3</v>
      </c>
      <c r="E507" s="1677" t="s">
        <v>969</v>
      </c>
      <c r="F507" s="2273" t="s">
        <v>328</v>
      </c>
      <c r="G507" s="1748" t="s">
        <v>22</v>
      </c>
      <c r="H507" s="828" t="s">
        <v>22</v>
      </c>
      <c r="I507" s="1748" t="s">
        <v>22</v>
      </c>
      <c r="J507" s="828" t="s">
        <v>22</v>
      </c>
      <c r="K507" s="1748" t="s">
        <v>22</v>
      </c>
      <c r="L507" s="828" t="s">
        <v>22</v>
      </c>
      <c r="M507" s="1748" t="s">
        <v>22</v>
      </c>
      <c r="N507" s="828" t="s">
        <v>22</v>
      </c>
      <c r="O507" s="1748" t="s">
        <v>22</v>
      </c>
      <c r="P507" s="828" t="s">
        <v>22</v>
      </c>
      <c r="Q507" s="1535" t="s">
        <v>970</v>
      </c>
      <c r="R507" s="1645"/>
      <c r="S507" s="1645"/>
      <c r="T507" s="1645"/>
      <c r="U507" s="1645"/>
      <c r="V507" s="1645"/>
      <c r="W507" s="1645"/>
      <c r="X507" s="1645"/>
      <c r="Y507" s="1645"/>
      <c r="Z507" s="1645"/>
      <c r="AA507" s="685"/>
      <c r="AB507" s="1645">
        <v>0</v>
      </c>
    </row>
    <row s="1860" customFormat="1" customHeight="1" ht="22.5">
      <c r="A508" s="1645"/>
      <c r="B508" s="2407" t="s">
        <v>1149</v>
      </c>
      <c r="C508" s="2408" t="s">
        <v>105</v>
      </c>
      <c r="D508" s="699" t="str">
        <f>B508&amp;".1"</f>
        <v>3.158.1</v>
      </c>
      <c r="E508" s="1677" t="s">
        <v>966</v>
      </c>
      <c r="F508" s="2273" t="s">
        <v>328</v>
      </c>
      <c r="G508" s="2363" t="s">
        <v>22</v>
      </c>
      <c r="H508" s="828" t="s">
        <v>22</v>
      </c>
      <c r="I508" s="2363" t="s">
        <v>983</v>
      </c>
      <c r="J508" s="828" t="s">
        <v>22</v>
      </c>
      <c r="K508" s="2363" t="s">
        <v>22</v>
      </c>
      <c r="L508" s="828" t="s">
        <v>22</v>
      </c>
      <c r="M508" s="2363" t="s">
        <v>22</v>
      </c>
      <c r="N508" s="828" t="s">
        <v>22</v>
      </c>
      <c r="O508" s="2363" t="s">
        <v>22</v>
      </c>
      <c r="P508" s="828" t="s">
        <v>22</v>
      </c>
      <c r="Q508" s="1535"/>
      <c r="R508" s="1645"/>
      <c r="S508" s="1645"/>
      <c r="T508" s="1645"/>
      <c r="U508" s="1645"/>
      <c r="V508" s="1645"/>
      <c r="W508" s="1645"/>
      <c r="X508" s="1645"/>
      <c r="Y508" s="1645"/>
      <c r="Z508" s="1645"/>
      <c r="AA508" s="685"/>
      <c r="AB508" s="1645">
        <v>0</v>
      </c>
    </row>
    <row s="1860" customFormat="1" customHeight="1" ht="15">
      <c r="A509" s="1645"/>
      <c r="B509" s="2407"/>
      <c r="C509" s="2408"/>
      <c r="D509" s="699" t="str">
        <f>B508&amp;".2"</f>
        <v>3.158.2</v>
      </c>
      <c r="E509" s="1677" t="s">
        <v>967</v>
      </c>
      <c r="F509" s="2273" t="s">
        <v>328</v>
      </c>
      <c r="G509" s="1748" t="s">
        <v>22</v>
      </c>
      <c r="H509" s="828" t="s">
        <v>22</v>
      </c>
      <c r="I509" s="1748">
        <v>46160</v>
      </c>
      <c r="J509" s="828" t="s">
        <v>22</v>
      </c>
      <c r="K509" s="1748" t="s">
        <v>22</v>
      </c>
      <c r="L509" s="828" t="s">
        <v>22</v>
      </c>
      <c r="M509" s="1748" t="s">
        <v>22</v>
      </c>
      <c r="N509" s="828" t="s">
        <v>22</v>
      </c>
      <c r="O509" s="1748" t="s">
        <v>22</v>
      </c>
      <c r="P509" s="828" t="s">
        <v>22</v>
      </c>
      <c r="Q509" s="1535" t="s">
        <v>968</v>
      </c>
      <c r="R509" s="1645"/>
      <c r="S509" s="1645"/>
      <c r="T509" s="1645"/>
      <c r="U509" s="1645"/>
      <c r="V509" s="1645"/>
      <c r="W509" s="1645"/>
      <c r="X509" s="1645"/>
      <c r="Y509" s="1645"/>
      <c r="Z509" s="1645"/>
      <c r="AA509" s="685"/>
      <c r="AB509" s="1645">
        <v>0</v>
      </c>
    </row>
    <row s="1860" customFormat="1" customHeight="1" ht="15">
      <c r="A510" s="1645"/>
      <c r="B510" s="2407"/>
      <c r="C510" s="2408"/>
      <c r="D510" s="699" t="str">
        <f>B508&amp;".3"</f>
        <v>3.158.3</v>
      </c>
      <c r="E510" s="1677" t="s">
        <v>969</v>
      </c>
      <c r="F510" s="2273" t="s">
        <v>328</v>
      </c>
      <c r="G510" s="1748" t="s">
        <v>22</v>
      </c>
      <c r="H510" s="828" t="s">
        <v>22</v>
      </c>
      <c r="I510" s="1748" t="s">
        <v>22</v>
      </c>
      <c r="J510" s="828" t="s">
        <v>22</v>
      </c>
      <c r="K510" s="1748" t="s">
        <v>22</v>
      </c>
      <c r="L510" s="828" t="s">
        <v>22</v>
      </c>
      <c r="M510" s="1748" t="s">
        <v>22</v>
      </c>
      <c r="N510" s="828" t="s">
        <v>22</v>
      </c>
      <c r="O510" s="1748" t="s">
        <v>22</v>
      </c>
      <c r="P510" s="828" t="s">
        <v>22</v>
      </c>
      <c r="Q510" s="1535" t="s">
        <v>970</v>
      </c>
      <c r="R510" s="1645"/>
      <c r="S510" s="1645"/>
      <c r="T510" s="1645"/>
      <c r="U510" s="1645"/>
      <c r="V510" s="1645"/>
      <c r="W510" s="1645"/>
      <c r="X510" s="1645"/>
      <c r="Y510" s="1645"/>
      <c r="Z510" s="1645"/>
      <c r="AA510" s="685"/>
      <c r="AB510" s="1645">
        <v>0</v>
      </c>
    </row>
    <row s="1860" customFormat="1" customHeight="1" ht="22.5">
      <c r="A511" s="1645"/>
      <c r="B511" s="2407" t="s">
        <v>1150</v>
      </c>
      <c r="C511" s="2408" t="s">
        <v>105</v>
      </c>
      <c r="D511" s="699" t="str">
        <f>B511&amp;".1"</f>
        <v>3.159.1</v>
      </c>
      <c r="E511" s="1677" t="s">
        <v>966</v>
      </c>
      <c r="F511" s="2273" t="s">
        <v>328</v>
      </c>
      <c r="G511" s="2363" t="s">
        <v>22</v>
      </c>
      <c r="H511" s="828" t="s">
        <v>22</v>
      </c>
      <c r="I511" s="2363" t="s">
        <v>983</v>
      </c>
      <c r="J511" s="828" t="s">
        <v>22</v>
      </c>
      <c r="K511" s="2363" t="s">
        <v>22</v>
      </c>
      <c r="L511" s="828" t="s">
        <v>22</v>
      </c>
      <c r="M511" s="2363" t="s">
        <v>22</v>
      </c>
      <c r="N511" s="828" t="s">
        <v>22</v>
      </c>
      <c r="O511" s="2363" t="s">
        <v>22</v>
      </c>
      <c r="P511" s="828" t="s">
        <v>22</v>
      </c>
      <c r="Q511" s="1535"/>
      <c r="R511" s="1645"/>
      <c r="S511" s="1645"/>
      <c r="T511" s="1645"/>
      <c r="U511" s="1645"/>
      <c r="V511" s="1645"/>
      <c r="W511" s="1645"/>
      <c r="X511" s="1645"/>
      <c r="Y511" s="1645"/>
      <c r="Z511" s="1645"/>
      <c r="AA511" s="685"/>
      <c r="AB511" s="1645">
        <v>0</v>
      </c>
    </row>
    <row s="1860" customFormat="1" customHeight="1" ht="15">
      <c r="A512" s="1645"/>
      <c r="B512" s="2407"/>
      <c r="C512" s="2408"/>
      <c r="D512" s="699" t="str">
        <f>B511&amp;".2"</f>
        <v>3.159.2</v>
      </c>
      <c r="E512" s="1677" t="s">
        <v>967</v>
      </c>
      <c r="F512" s="2273" t="s">
        <v>328</v>
      </c>
      <c r="G512" s="1748" t="s">
        <v>22</v>
      </c>
      <c r="H512" s="828" t="s">
        <v>22</v>
      </c>
      <c r="I512" s="1748">
        <v>46160</v>
      </c>
      <c r="J512" s="828" t="s">
        <v>22</v>
      </c>
      <c r="K512" s="1748" t="s">
        <v>22</v>
      </c>
      <c r="L512" s="828" t="s">
        <v>22</v>
      </c>
      <c r="M512" s="1748" t="s">
        <v>22</v>
      </c>
      <c r="N512" s="828" t="s">
        <v>22</v>
      </c>
      <c r="O512" s="1748" t="s">
        <v>22</v>
      </c>
      <c r="P512" s="828" t="s">
        <v>22</v>
      </c>
      <c r="Q512" s="1535" t="s">
        <v>968</v>
      </c>
      <c r="R512" s="1645"/>
      <c r="S512" s="1645"/>
      <c r="T512" s="1645"/>
      <c r="U512" s="1645"/>
      <c r="V512" s="1645"/>
      <c r="W512" s="1645"/>
      <c r="X512" s="1645"/>
      <c r="Y512" s="1645"/>
      <c r="Z512" s="1645"/>
      <c r="AA512" s="685"/>
      <c r="AB512" s="1645">
        <v>0</v>
      </c>
    </row>
    <row s="1860" customFormat="1" customHeight="1" ht="15">
      <c r="A513" s="1645"/>
      <c r="B513" s="2407"/>
      <c r="C513" s="2408"/>
      <c r="D513" s="699" t="str">
        <f>B511&amp;".3"</f>
        <v>3.159.3</v>
      </c>
      <c r="E513" s="1677" t="s">
        <v>969</v>
      </c>
      <c r="F513" s="2273" t="s">
        <v>328</v>
      </c>
      <c r="G513" s="1748" t="s">
        <v>22</v>
      </c>
      <c r="H513" s="828" t="s">
        <v>22</v>
      </c>
      <c r="I513" s="1748" t="s">
        <v>22</v>
      </c>
      <c r="J513" s="828" t="s">
        <v>22</v>
      </c>
      <c r="K513" s="1748" t="s">
        <v>22</v>
      </c>
      <c r="L513" s="828" t="s">
        <v>22</v>
      </c>
      <c r="M513" s="1748" t="s">
        <v>22</v>
      </c>
      <c r="N513" s="828" t="s">
        <v>22</v>
      </c>
      <c r="O513" s="1748" t="s">
        <v>22</v>
      </c>
      <c r="P513" s="828" t="s">
        <v>22</v>
      </c>
      <c r="Q513" s="1535" t="s">
        <v>970</v>
      </c>
      <c r="R513" s="1645"/>
      <c r="S513" s="1645"/>
      <c r="T513" s="1645"/>
      <c r="U513" s="1645"/>
      <c r="V513" s="1645"/>
      <c r="W513" s="1645"/>
      <c r="X513" s="1645"/>
      <c r="Y513" s="1645"/>
      <c r="Z513" s="1645"/>
      <c r="AA513" s="685"/>
      <c r="AB513" s="1645">
        <v>0</v>
      </c>
    </row>
    <row s="1860" customFormat="1" customHeight="1" ht="22.5">
      <c r="A514" s="1645"/>
      <c r="B514" s="2407" t="s">
        <v>1151</v>
      </c>
      <c r="C514" s="2408" t="s">
        <v>105</v>
      </c>
      <c r="D514" s="699" t="str">
        <f>B514&amp;".1"</f>
        <v>3.160.1</v>
      </c>
      <c r="E514" s="1677" t="s">
        <v>966</v>
      </c>
      <c r="F514" s="2273" t="s">
        <v>328</v>
      </c>
      <c r="G514" s="2363" t="s">
        <v>22</v>
      </c>
      <c r="H514" s="828" t="s">
        <v>22</v>
      </c>
      <c r="I514" s="2363" t="s">
        <v>983</v>
      </c>
      <c r="J514" s="828" t="s">
        <v>22</v>
      </c>
      <c r="K514" s="2363" t="s">
        <v>22</v>
      </c>
      <c r="L514" s="828" t="s">
        <v>22</v>
      </c>
      <c r="M514" s="2363" t="s">
        <v>22</v>
      </c>
      <c r="N514" s="828" t="s">
        <v>22</v>
      </c>
      <c r="O514" s="2363" t="s">
        <v>22</v>
      </c>
      <c r="P514" s="828" t="s">
        <v>22</v>
      </c>
      <c r="Q514" s="1535"/>
      <c r="R514" s="1645"/>
      <c r="S514" s="1645"/>
      <c r="T514" s="1645"/>
      <c r="U514" s="1645"/>
      <c r="V514" s="1645"/>
      <c r="W514" s="1645"/>
      <c r="X514" s="1645"/>
      <c r="Y514" s="1645"/>
      <c r="Z514" s="1645"/>
      <c r="AA514" s="685"/>
      <c r="AB514" s="1645">
        <v>0</v>
      </c>
    </row>
    <row s="1860" customFormat="1" customHeight="1" ht="15">
      <c r="A515" s="1645"/>
      <c r="B515" s="2407"/>
      <c r="C515" s="2408"/>
      <c r="D515" s="699" t="str">
        <f>B514&amp;".2"</f>
        <v>3.160.2</v>
      </c>
      <c r="E515" s="1677" t="s">
        <v>967</v>
      </c>
      <c r="F515" s="2273" t="s">
        <v>328</v>
      </c>
      <c r="G515" s="1748" t="s">
        <v>22</v>
      </c>
      <c r="H515" s="828" t="s">
        <v>22</v>
      </c>
      <c r="I515" s="1748">
        <v>46160</v>
      </c>
      <c r="J515" s="828" t="s">
        <v>22</v>
      </c>
      <c r="K515" s="1748" t="s">
        <v>22</v>
      </c>
      <c r="L515" s="828" t="s">
        <v>22</v>
      </c>
      <c r="M515" s="1748" t="s">
        <v>22</v>
      </c>
      <c r="N515" s="828" t="s">
        <v>22</v>
      </c>
      <c r="O515" s="1748" t="s">
        <v>22</v>
      </c>
      <c r="P515" s="828" t="s">
        <v>22</v>
      </c>
      <c r="Q515" s="1535" t="s">
        <v>968</v>
      </c>
      <c r="R515" s="1645"/>
      <c r="S515" s="1645"/>
      <c r="T515" s="1645"/>
      <c r="U515" s="1645"/>
      <c r="V515" s="1645"/>
      <c r="W515" s="1645"/>
      <c r="X515" s="1645"/>
      <c r="Y515" s="1645"/>
      <c r="Z515" s="1645"/>
      <c r="AA515" s="685"/>
      <c r="AB515" s="1645">
        <v>0</v>
      </c>
    </row>
    <row s="1860" customFormat="1" customHeight="1" ht="15">
      <c r="A516" s="1645"/>
      <c r="B516" s="2407"/>
      <c r="C516" s="2408"/>
      <c r="D516" s="699" t="str">
        <f>B514&amp;".3"</f>
        <v>3.160.3</v>
      </c>
      <c r="E516" s="1677" t="s">
        <v>969</v>
      </c>
      <c r="F516" s="2273" t="s">
        <v>328</v>
      </c>
      <c r="G516" s="1748" t="s">
        <v>22</v>
      </c>
      <c r="H516" s="828" t="s">
        <v>22</v>
      </c>
      <c r="I516" s="1748" t="s">
        <v>22</v>
      </c>
      <c r="J516" s="828" t="s">
        <v>22</v>
      </c>
      <c r="K516" s="1748" t="s">
        <v>22</v>
      </c>
      <c r="L516" s="828" t="s">
        <v>22</v>
      </c>
      <c r="M516" s="1748" t="s">
        <v>22</v>
      </c>
      <c r="N516" s="828" t="s">
        <v>22</v>
      </c>
      <c r="O516" s="1748" t="s">
        <v>22</v>
      </c>
      <c r="P516" s="828" t="s">
        <v>22</v>
      </c>
      <c r="Q516" s="1535" t="s">
        <v>970</v>
      </c>
      <c r="R516" s="1645"/>
      <c r="S516" s="1645"/>
      <c r="T516" s="1645"/>
      <c r="U516" s="1645"/>
      <c r="V516" s="1645"/>
      <c r="W516" s="1645"/>
      <c r="X516" s="1645"/>
      <c r="Y516" s="1645"/>
      <c r="Z516" s="1645"/>
      <c r="AA516" s="685"/>
      <c r="AB516" s="1645">
        <v>0</v>
      </c>
    </row>
    <row s="1860" customFormat="1" customHeight="1" ht="22.5">
      <c r="A517" s="1645"/>
      <c r="B517" s="2407" t="s">
        <v>1152</v>
      </c>
      <c r="C517" s="2408" t="s">
        <v>105</v>
      </c>
      <c r="D517" s="699" t="str">
        <f>B517&amp;".1"</f>
        <v>3.161.1</v>
      </c>
      <c r="E517" s="1677" t="s">
        <v>966</v>
      </c>
      <c r="F517" s="2273" t="s">
        <v>328</v>
      </c>
      <c r="G517" s="2363" t="s">
        <v>22</v>
      </c>
      <c r="H517" s="828" t="s">
        <v>22</v>
      </c>
      <c r="I517" s="2363" t="s">
        <v>983</v>
      </c>
      <c r="J517" s="828" t="s">
        <v>22</v>
      </c>
      <c r="K517" s="2363" t="s">
        <v>22</v>
      </c>
      <c r="L517" s="828" t="s">
        <v>22</v>
      </c>
      <c r="M517" s="2363" t="s">
        <v>22</v>
      </c>
      <c r="N517" s="828" t="s">
        <v>22</v>
      </c>
      <c r="O517" s="2363" t="s">
        <v>22</v>
      </c>
      <c r="P517" s="828" t="s">
        <v>22</v>
      </c>
      <c r="Q517" s="1535"/>
      <c r="R517" s="1645"/>
      <c r="S517" s="1645"/>
      <c r="T517" s="1645"/>
      <c r="U517" s="1645"/>
      <c r="V517" s="1645"/>
      <c r="W517" s="1645"/>
      <c r="X517" s="1645"/>
      <c r="Y517" s="1645"/>
      <c r="Z517" s="1645"/>
      <c r="AA517" s="685"/>
      <c r="AB517" s="1645">
        <v>0</v>
      </c>
    </row>
    <row s="1860" customFormat="1" customHeight="1" ht="15">
      <c r="A518" s="1645"/>
      <c r="B518" s="2407"/>
      <c r="C518" s="2408"/>
      <c r="D518" s="699" t="str">
        <f>B517&amp;".2"</f>
        <v>3.161.2</v>
      </c>
      <c r="E518" s="1677" t="s">
        <v>967</v>
      </c>
      <c r="F518" s="2273" t="s">
        <v>328</v>
      </c>
      <c r="G518" s="1748" t="s">
        <v>22</v>
      </c>
      <c r="H518" s="828" t="s">
        <v>22</v>
      </c>
      <c r="I518" s="1748">
        <v>46160</v>
      </c>
      <c r="J518" s="828" t="s">
        <v>22</v>
      </c>
      <c r="K518" s="1748" t="s">
        <v>22</v>
      </c>
      <c r="L518" s="828" t="s">
        <v>22</v>
      </c>
      <c r="M518" s="1748" t="s">
        <v>22</v>
      </c>
      <c r="N518" s="828" t="s">
        <v>22</v>
      </c>
      <c r="O518" s="1748" t="s">
        <v>22</v>
      </c>
      <c r="P518" s="828" t="s">
        <v>22</v>
      </c>
      <c r="Q518" s="1535" t="s">
        <v>968</v>
      </c>
      <c r="R518" s="1645"/>
      <c r="S518" s="1645"/>
      <c r="T518" s="1645"/>
      <c r="U518" s="1645"/>
      <c r="V518" s="1645"/>
      <c r="W518" s="1645"/>
      <c r="X518" s="1645"/>
      <c r="Y518" s="1645"/>
      <c r="Z518" s="1645"/>
      <c r="AA518" s="685"/>
      <c r="AB518" s="1645">
        <v>0</v>
      </c>
    </row>
    <row s="1860" customFormat="1" customHeight="1" ht="15">
      <c r="A519" s="1645"/>
      <c r="B519" s="2407"/>
      <c r="C519" s="2408"/>
      <c r="D519" s="699" t="str">
        <f>B517&amp;".3"</f>
        <v>3.161.3</v>
      </c>
      <c r="E519" s="1677" t="s">
        <v>969</v>
      </c>
      <c r="F519" s="2273" t="s">
        <v>328</v>
      </c>
      <c r="G519" s="1748" t="s">
        <v>22</v>
      </c>
      <c r="H519" s="828" t="s">
        <v>22</v>
      </c>
      <c r="I519" s="1748" t="s">
        <v>22</v>
      </c>
      <c r="J519" s="828" t="s">
        <v>22</v>
      </c>
      <c r="K519" s="1748" t="s">
        <v>22</v>
      </c>
      <c r="L519" s="828" t="s">
        <v>22</v>
      </c>
      <c r="M519" s="1748" t="s">
        <v>22</v>
      </c>
      <c r="N519" s="828" t="s">
        <v>22</v>
      </c>
      <c r="O519" s="1748" t="s">
        <v>22</v>
      </c>
      <c r="P519" s="828" t="s">
        <v>22</v>
      </c>
      <c r="Q519" s="1535" t="s">
        <v>970</v>
      </c>
      <c r="R519" s="1645"/>
      <c r="S519" s="1645"/>
      <c r="T519" s="1645"/>
      <c r="U519" s="1645"/>
      <c r="V519" s="1645"/>
      <c r="W519" s="1645"/>
      <c r="X519" s="1645"/>
      <c r="Y519" s="1645"/>
      <c r="Z519" s="1645"/>
      <c r="AA519" s="685"/>
      <c r="AB519" s="1645">
        <v>0</v>
      </c>
    </row>
    <row s="1860" customFormat="1" customHeight="1" ht="22.5">
      <c r="A520" s="1645"/>
      <c r="B520" s="2407" t="s">
        <v>1153</v>
      </c>
      <c r="C520" s="2408" t="s">
        <v>105</v>
      </c>
      <c r="D520" s="699" t="str">
        <f>B520&amp;".1"</f>
        <v>3.162.1</v>
      </c>
      <c r="E520" s="1677" t="s">
        <v>966</v>
      </c>
      <c r="F520" s="2273" t="s">
        <v>328</v>
      </c>
      <c r="G520" s="2363" t="s">
        <v>22</v>
      </c>
      <c r="H520" s="828" t="s">
        <v>22</v>
      </c>
      <c r="I520" s="2363" t="s">
        <v>983</v>
      </c>
      <c r="J520" s="828" t="s">
        <v>22</v>
      </c>
      <c r="K520" s="2363" t="s">
        <v>22</v>
      </c>
      <c r="L520" s="828" t="s">
        <v>22</v>
      </c>
      <c r="M520" s="2363" t="s">
        <v>22</v>
      </c>
      <c r="N520" s="828" t="s">
        <v>22</v>
      </c>
      <c r="O520" s="2363" t="s">
        <v>22</v>
      </c>
      <c r="P520" s="828" t="s">
        <v>22</v>
      </c>
      <c r="Q520" s="1535"/>
      <c r="R520" s="1645"/>
      <c r="S520" s="1645"/>
      <c r="T520" s="1645"/>
      <c r="U520" s="1645"/>
      <c r="V520" s="1645"/>
      <c r="W520" s="1645"/>
      <c r="X520" s="1645"/>
      <c r="Y520" s="1645"/>
      <c r="Z520" s="1645"/>
      <c r="AA520" s="685"/>
      <c r="AB520" s="1645">
        <v>0</v>
      </c>
    </row>
    <row s="1860" customFormat="1" customHeight="1" ht="15">
      <c r="A521" s="1645"/>
      <c r="B521" s="2407"/>
      <c r="C521" s="2408"/>
      <c r="D521" s="699" t="str">
        <f>B520&amp;".2"</f>
        <v>3.162.2</v>
      </c>
      <c r="E521" s="1677" t="s">
        <v>967</v>
      </c>
      <c r="F521" s="2273" t="s">
        <v>328</v>
      </c>
      <c r="G521" s="1748" t="s">
        <v>22</v>
      </c>
      <c r="H521" s="828" t="s">
        <v>22</v>
      </c>
      <c r="I521" s="1748">
        <v>46160</v>
      </c>
      <c r="J521" s="828" t="s">
        <v>22</v>
      </c>
      <c r="K521" s="1748" t="s">
        <v>22</v>
      </c>
      <c r="L521" s="828" t="s">
        <v>22</v>
      </c>
      <c r="M521" s="1748" t="s">
        <v>22</v>
      </c>
      <c r="N521" s="828" t="s">
        <v>22</v>
      </c>
      <c r="O521" s="1748" t="s">
        <v>22</v>
      </c>
      <c r="P521" s="828" t="s">
        <v>22</v>
      </c>
      <c r="Q521" s="1535" t="s">
        <v>968</v>
      </c>
      <c r="R521" s="1645"/>
      <c r="S521" s="1645"/>
      <c r="T521" s="1645"/>
      <c r="U521" s="1645"/>
      <c r="V521" s="1645"/>
      <c r="W521" s="1645"/>
      <c r="X521" s="1645"/>
      <c r="Y521" s="1645"/>
      <c r="Z521" s="1645"/>
      <c r="AA521" s="685"/>
      <c r="AB521" s="1645">
        <v>0</v>
      </c>
    </row>
    <row s="1860" customFormat="1" customHeight="1" ht="15">
      <c r="A522" s="1645"/>
      <c r="B522" s="2407"/>
      <c r="C522" s="2408"/>
      <c r="D522" s="699" t="str">
        <f>B520&amp;".3"</f>
        <v>3.162.3</v>
      </c>
      <c r="E522" s="1677" t="s">
        <v>969</v>
      </c>
      <c r="F522" s="2273" t="s">
        <v>328</v>
      </c>
      <c r="G522" s="1748" t="s">
        <v>22</v>
      </c>
      <c r="H522" s="828" t="s">
        <v>22</v>
      </c>
      <c r="I522" s="1748" t="s">
        <v>22</v>
      </c>
      <c r="J522" s="828" t="s">
        <v>22</v>
      </c>
      <c r="K522" s="1748" t="s">
        <v>22</v>
      </c>
      <c r="L522" s="828" t="s">
        <v>22</v>
      </c>
      <c r="M522" s="1748" t="s">
        <v>22</v>
      </c>
      <c r="N522" s="828" t="s">
        <v>22</v>
      </c>
      <c r="O522" s="1748" t="s">
        <v>22</v>
      </c>
      <c r="P522" s="828" t="s">
        <v>22</v>
      </c>
      <c r="Q522" s="1535" t="s">
        <v>970</v>
      </c>
      <c r="R522" s="1645"/>
      <c r="S522" s="1645"/>
      <c r="T522" s="1645"/>
      <c r="U522" s="1645"/>
      <c r="V522" s="1645"/>
      <c r="W522" s="1645"/>
      <c r="X522" s="1645"/>
      <c r="Y522" s="1645"/>
      <c r="Z522" s="1645"/>
      <c r="AA522" s="685"/>
      <c r="AB522" s="1645">
        <v>0</v>
      </c>
    </row>
    <row s="1860" customFormat="1" customHeight="1" ht="22.5">
      <c r="A523" s="1645"/>
      <c r="B523" s="2407" t="s">
        <v>1154</v>
      </c>
      <c r="C523" s="2408" t="s">
        <v>105</v>
      </c>
      <c r="D523" s="699" t="str">
        <f>B523&amp;".1"</f>
        <v>3.163.1</v>
      </c>
      <c r="E523" s="1677" t="s">
        <v>966</v>
      </c>
      <c r="F523" s="2273" t="s">
        <v>328</v>
      </c>
      <c r="G523" s="2363" t="s">
        <v>22</v>
      </c>
      <c r="H523" s="828" t="s">
        <v>22</v>
      </c>
      <c r="I523" s="2363" t="s">
        <v>983</v>
      </c>
      <c r="J523" s="828" t="s">
        <v>22</v>
      </c>
      <c r="K523" s="2363" t="s">
        <v>22</v>
      </c>
      <c r="L523" s="828" t="s">
        <v>22</v>
      </c>
      <c r="M523" s="2363" t="s">
        <v>22</v>
      </c>
      <c r="N523" s="828" t="s">
        <v>22</v>
      </c>
      <c r="O523" s="2363" t="s">
        <v>22</v>
      </c>
      <c r="P523" s="828" t="s">
        <v>22</v>
      </c>
      <c r="Q523" s="1535"/>
      <c r="R523" s="1645"/>
      <c r="S523" s="1645"/>
      <c r="T523" s="1645"/>
      <c r="U523" s="1645"/>
      <c r="V523" s="1645"/>
      <c r="W523" s="1645"/>
      <c r="X523" s="1645"/>
      <c r="Y523" s="1645"/>
      <c r="Z523" s="1645"/>
      <c r="AA523" s="685"/>
      <c r="AB523" s="1645">
        <v>0</v>
      </c>
    </row>
    <row s="1860" customFormat="1" customHeight="1" ht="15">
      <c r="A524" s="1645"/>
      <c r="B524" s="2407"/>
      <c r="C524" s="2408"/>
      <c r="D524" s="699" t="str">
        <f>B523&amp;".2"</f>
        <v>3.163.2</v>
      </c>
      <c r="E524" s="1677" t="s">
        <v>967</v>
      </c>
      <c r="F524" s="2273" t="s">
        <v>328</v>
      </c>
      <c r="G524" s="1748" t="s">
        <v>22</v>
      </c>
      <c r="H524" s="828" t="s">
        <v>22</v>
      </c>
      <c r="I524" s="1748">
        <v>46160</v>
      </c>
      <c r="J524" s="828" t="s">
        <v>22</v>
      </c>
      <c r="K524" s="1748" t="s">
        <v>22</v>
      </c>
      <c r="L524" s="828" t="s">
        <v>22</v>
      </c>
      <c r="M524" s="1748" t="s">
        <v>22</v>
      </c>
      <c r="N524" s="828" t="s">
        <v>22</v>
      </c>
      <c r="O524" s="1748" t="s">
        <v>22</v>
      </c>
      <c r="P524" s="828" t="s">
        <v>22</v>
      </c>
      <c r="Q524" s="1535" t="s">
        <v>968</v>
      </c>
      <c r="R524" s="1645"/>
      <c r="S524" s="1645"/>
      <c r="T524" s="1645"/>
      <c r="U524" s="1645"/>
      <c r="V524" s="1645"/>
      <c r="W524" s="1645"/>
      <c r="X524" s="1645"/>
      <c r="Y524" s="1645"/>
      <c r="Z524" s="1645"/>
      <c r="AA524" s="685"/>
      <c r="AB524" s="1645">
        <v>0</v>
      </c>
    </row>
    <row s="1860" customFormat="1" customHeight="1" ht="15">
      <c r="A525" s="1645"/>
      <c r="B525" s="2407"/>
      <c r="C525" s="2408"/>
      <c r="D525" s="699" t="str">
        <f>B523&amp;".3"</f>
        <v>3.163.3</v>
      </c>
      <c r="E525" s="1677" t="s">
        <v>969</v>
      </c>
      <c r="F525" s="2273" t="s">
        <v>328</v>
      </c>
      <c r="G525" s="1748" t="s">
        <v>22</v>
      </c>
      <c r="H525" s="828" t="s">
        <v>22</v>
      </c>
      <c r="I525" s="1748" t="s">
        <v>22</v>
      </c>
      <c r="J525" s="828" t="s">
        <v>22</v>
      </c>
      <c r="K525" s="1748" t="s">
        <v>22</v>
      </c>
      <c r="L525" s="828" t="s">
        <v>22</v>
      </c>
      <c r="M525" s="1748" t="s">
        <v>22</v>
      </c>
      <c r="N525" s="828" t="s">
        <v>22</v>
      </c>
      <c r="O525" s="1748" t="s">
        <v>22</v>
      </c>
      <c r="P525" s="828" t="s">
        <v>22</v>
      </c>
      <c r="Q525" s="1535" t="s">
        <v>970</v>
      </c>
      <c r="R525" s="1645"/>
      <c r="S525" s="1645"/>
      <c r="T525" s="1645"/>
      <c r="U525" s="1645"/>
      <c r="V525" s="1645"/>
      <c r="W525" s="1645"/>
      <c r="X525" s="1645"/>
      <c r="Y525" s="1645"/>
      <c r="Z525" s="1645"/>
      <c r="AA525" s="685"/>
      <c r="AB525" s="1645">
        <v>0</v>
      </c>
    </row>
    <row s="1860" customFormat="1" customHeight="1" ht="22.5">
      <c r="A526" s="1645"/>
      <c r="B526" s="2407" t="s">
        <v>1155</v>
      </c>
      <c r="C526" s="2408" t="s">
        <v>105</v>
      </c>
      <c r="D526" s="699" t="str">
        <f>B526&amp;".1"</f>
        <v>3.164.1</v>
      </c>
      <c r="E526" s="1677" t="s">
        <v>966</v>
      </c>
      <c r="F526" s="2273" t="s">
        <v>328</v>
      </c>
      <c r="G526" s="2363" t="s">
        <v>22</v>
      </c>
      <c r="H526" s="828" t="s">
        <v>22</v>
      </c>
      <c r="I526" s="2363" t="s">
        <v>983</v>
      </c>
      <c r="J526" s="828" t="s">
        <v>22</v>
      </c>
      <c r="K526" s="2363" t="s">
        <v>22</v>
      </c>
      <c r="L526" s="828" t="s">
        <v>22</v>
      </c>
      <c r="M526" s="2363" t="s">
        <v>22</v>
      </c>
      <c r="N526" s="828" t="s">
        <v>22</v>
      </c>
      <c r="O526" s="2363" t="s">
        <v>22</v>
      </c>
      <c r="P526" s="828" t="s">
        <v>22</v>
      </c>
      <c r="Q526" s="1535"/>
      <c r="R526" s="1645"/>
      <c r="S526" s="1645"/>
      <c r="T526" s="1645"/>
      <c r="U526" s="1645"/>
      <c r="V526" s="1645"/>
      <c r="W526" s="1645"/>
      <c r="X526" s="1645"/>
      <c r="Y526" s="1645"/>
      <c r="Z526" s="1645"/>
      <c r="AA526" s="685"/>
      <c r="AB526" s="1645">
        <v>0</v>
      </c>
    </row>
    <row s="1860" customFormat="1" customHeight="1" ht="15">
      <c r="A527" s="1645"/>
      <c r="B527" s="2407"/>
      <c r="C527" s="2408"/>
      <c r="D527" s="699" t="str">
        <f>B526&amp;".2"</f>
        <v>3.164.2</v>
      </c>
      <c r="E527" s="1677" t="s">
        <v>967</v>
      </c>
      <c r="F527" s="2273" t="s">
        <v>328</v>
      </c>
      <c r="G527" s="1748" t="s">
        <v>22</v>
      </c>
      <c r="H527" s="828" t="s">
        <v>22</v>
      </c>
      <c r="I527" s="1748">
        <v>46160</v>
      </c>
      <c r="J527" s="828" t="s">
        <v>22</v>
      </c>
      <c r="K527" s="1748" t="s">
        <v>22</v>
      </c>
      <c r="L527" s="828" t="s">
        <v>22</v>
      </c>
      <c r="M527" s="1748" t="s">
        <v>22</v>
      </c>
      <c r="N527" s="828" t="s">
        <v>22</v>
      </c>
      <c r="O527" s="1748" t="s">
        <v>22</v>
      </c>
      <c r="P527" s="828" t="s">
        <v>22</v>
      </c>
      <c r="Q527" s="1535" t="s">
        <v>968</v>
      </c>
      <c r="R527" s="1645"/>
      <c r="S527" s="1645"/>
      <c r="T527" s="1645"/>
      <c r="U527" s="1645"/>
      <c r="V527" s="1645"/>
      <c r="W527" s="1645"/>
      <c r="X527" s="1645"/>
      <c r="Y527" s="1645"/>
      <c r="Z527" s="1645"/>
      <c r="AA527" s="685"/>
      <c r="AB527" s="1645">
        <v>0</v>
      </c>
    </row>
    <row s="1860" customFormat="1" customHeight="1" ht="15">
      <c r="A528" s="1645"/>
      <c r="B528" s="2407"/>
      <c r="C528" s="2408"/>
      <c r="D528" s="699" t="str">
        <f>B526&amp;".3"</f>
        <v>3.164.3</v>
      </c>
      <c r="E528" s="1677" t="s">
        <v>969</v>
      </c>
      <c r="F528" s="2273" t="s">
        <v>328</v>
      </c>
      <c r="G528" s="1748" t="s">
        <v>22</v>
      </c>
      <c r="H528" s="828" t="s">
        <v>22</v>
      </c>
      <c r="I528" s="1748" t="s">
        <v>22</v>
      </c>
      <c r="J528" s="828" t="s">
        <v>22</v>
      </c>
      <c r="K528" s="1748" t="s">
        <v>22</v>
      </c>
      <c r="L528" s="828" t="s">
        <v>22</v>
      </c>
      <c r="M528" s="1748" t="s">
        <v>22</v>
      </c>
      <c r="N528" s="828" t="s">
        <v>22</v>
      </c>
      <c r="O528" s="1748" t="s">
        <v>22</v>
      </c>
      <c r="P528" s="828" t="s">
        <v>22</v>
      </c>
      <c r="Q528" s="1535" t="s">
        <v>970</v>
      </c>
      <c r="R528" s="1645"/>
      <c r="S528" s="1645"/>
      <c r="T528" s="1645"/>
      <c r="U528" s="1645"/>
      <c r="V528" s="1645"/>
      <c r="W528" s="1645"/>
      <c r="X528" s="1645"/>
      <c r="Y528" s="1645"/>
      <c r="Z528" s="1645"/>
      <c r="AA528" s="685"/>
      <c r="AB528" s="1645">
        <v>0</v>
      </c>
    </row>
    <row s="1860" customFormat="1" customHeight="1" ht="22.5">
      <c r="A529" s="1645"/>
      <c r="B529" s="2407" t="s">
        <v>1156</v>
      </c>
      <c r="C529" s="2408" t="s">
        <v>105</v>
      </c>
      <c r="D529" s="699" t="str">
        <f>B529&amp;".1"</f>
        <v>3.165.1</v>
      </c>
      <c r="E529" s="1677" t="s">
        <v>966</v>
      </c>
      <c r="F529" s="2273" t="s">
        <v>328</v>
      </c>
      <c r="G529" s="2363" t="s">
        <v>22</v>
      </c>
      <c r="H529" s="828" t="s">
        <v>22</v>
      </c>
      <c r="I529" s="2363" t="s">
        <v>983</v>
      </c>
      <c r="J529" s="828" t="s">
        <v>22</v>
      </c>
      <c r="K529" s="2363" t="s">
        <v>22</v>
      </c>
      <c r="L529" s="828" t="s">
        <v>22</v>
      </c>
      <c r="M529" s="2363" t="s">
        <v>22</v>
      </c>
      <c r="N529" s="828" t="s">
        <v>22</v>
      </c>
      <c r="O529" s="2363" t="s">
        <v>22</v>
      </c>
      <c r="P529" s="828" t="s">
        <v>22</v>
      </c>
      <c r="Q529" s="1535"/>
      <c r="R529" s="1645"/>
      <c r="S529" s="1645"/>
      <c r="T529" s="1645"/>
      <c r="U529" s="1645"/>
      <c r="V529" s="1645"/>
      <c r="W529" s="1645"/>
      <c r="X529" s="1645"/>
      <c r="Y529" s="1645"/>
      <c r="Z529" s="1645"/>
      <c r="AA529" s="685"/>
      <c r="AB529" s="1645">
        <v>0</v>
      </c>
    </row>
    <row s="1860" customFormat="1" customHeight="1" ht="15">
      <c r="A530" s="1645"/>
      <c r="B530" s="2407"/>
      <c r="C530" s="2408"/>
      <c r="D530" s="699" t="str">
        <f>B529&amp;".2"</f>
        <v>3.165.2</v>
      </c>
      <c r="E530" s="1677" t="s">
        <v>967</v>
      </c>
      <c r="F530" s="2273" t="s">
        <v>328</v>
      </c>
      <c r="G530" s="1748" t="s">
        <v>22</v>
      </c>
      <c r="H530" s="828" t="s">
        <v>22</v>
      </c>
      <c r="I530" s="1748">
        <v>46160</v>
      </c>
      <c r="J530" s="828" t="s">
        <v>22</v>
      </c>
      <c r="K530" s="1748" t="s">
        <v>22</v>
      </c>
      <c r="L530" s="828" t="s">
        <v>22</v>
      </c>
      <c r="M530" s="1748" t="s">
        <v>22</v>
      </c>
      <c r="N530" s="828" t="s">
        <v>22</v>
      </c>
      <c r="O530" s="1748" t="s">
        <v>22</v>
      </c>
      <c r="P530" s="828" t="s">
        <v>22</v>
      </c>
      <c r="Q530" s="1535" t="s">
        <v>968</v>
      </c>
      <c r="R530" s="1645"/>
      <c r="S530" s="1645"/>
      <c r="T530" s="1645"/>
      <c r="U530" s="1645"/>
      <c r="V530" s="1645"/>
      <c r="W530" s="1645"/>
      <c r="X530" s="1645"/>
      <c r="Y530" s="1645"/>
      <c r="Z530" s="1645"/>
      <c r="AA530" s="685"/>
      <c r="AB530" s="1645">
        <v>0</v>
      </c>
    </row>
    <row s="1860" customFormat="1" customHeight="1" ht="15">
      <c r="A531" s="1645"/>
      <c r="B531" s="2407"/>
      <c r="C531" s="2408"/>
      <c r="D531" s="699" t="str">
        <f>B529&amp;".3"</f>
        <v>3.165.3</v>
      </c>
      <c r="E531" s="1677" t="s">
        <v>969</v>
      </c>
      <c r="F531" s="2273" t="s">
        <v>328</v>
      </c>
      <c r="G531" s="1748" t="s">
        <v>22</v>
      </c>
      <c r="H531" s="828" t="s">
        <v>22</v>
      </c>
      <c r="I531" s="1748" t="s">
        <v>22</v>
      </c>
      <c r="J531" s="828" t="s">
        <v>22</v>
      </c>
      <c r="K531" s="1748" t="s">
        <v>22</v>
      </c>
      <c r="L531" s="828" t="s">
        <v>22</v>
      </c>
      <c r="M531" s="1748" t="s">
        <v>22</v>
      </c>
      <c r="N531" s="828" t="s">
        <v>22</v>
      </c>
      <c r="O531" s="1748" t="s">
        <v>22</v>
      </c>
      <c r="P531" s="828" t="s">
        <v>22</v>
      </c>
      <c r="Q531" s="1535" t="s">
        <v>970</v>
      </c>
      <c r="R531" s="1645"/>
      <c r="S531" s="1645"/>
      <c r="T531" s="1645"/>
      <c r="U531" s="1645"/>
      <c r="V531" s="1645"/>
      <c r="W531" s="1645"/>
      <c r="X531" s="1645"/>
      <c r="Y531" s="1645"/>
      <c r="Z531" s="1645"/>
      <c r="AA531" s="685"/>
      <c r="AB531" s="1645">
        <v>0</v>
      </c>
    </row>
    <row s="1860" customFormat="1" customHeight="1" ht="22.5">
      <c r="A532" s="1645"/>
      <c r="B532" s="2407" t="s">
        <v>1157</v>
      </c>
      <c r="C532" s="2408" t="s">
        <v>105</v>
      </c>
      <c r="D532" s="699" t="str">
        <f>B532&amp;".1"</f>
        <v>3.166.1</v>
      </c>
      <c r="E532" s="1677" t="s">
        <v>966</v>
      </c>
      <c r="F532" s="2273" t="s">
        <v>328</v>
      </c>
      <c r="G532" s="2363" t="s">
        <v>22</v>
      </c>
      <c r="H532" s="828" t="s">
        <v>22</v>
      </c>
      <c r="I532" s="2363" t="s">
        <v>983</v>
      </c>
      <c r="J532" s="828" t="s">
        <v>22</v>
      </c>
      <c r="K532" s="2363" t="s">
        <v>22</v>
      </c>
      <c r="L532" s="828" t="s">
        <v>22</v>
      </c>
      <c r="M532" s="2363" t="s">
        <v>22</v>
      </c>
      <c r="N532" s="828" t="s">
        <v>22</v>
      </c>
      <c r="O532" s="2363" t="s">
        <v>22</v>
      </c>
      <c r="P532" s="828" t="s">
        <v>22</v>
      </c>
      <c r="Q532" s="1535"/>
      <c r="R532" s="1645"/>
      <c r="S532" s="1645"/>
      <c r="T532" s="1645"/>
      <c r="U532" s="1645"/>
      <c r="V532" s="1645"/>
      <c r="W532" s="1645"/>
      <c r="X532" s="1645"/>
      <c r="Y532" s="1645"/>
      <c r="Z532" s="1645"/>
      <c r="AA532" s="685"/>
      <c r="AB532" s="1645">
        <v>0</v>
      </c>
    </row>
    <row s="1860" customFormat="1" customHeight="1" ht="15">
      <c r="A533" s="1645"/>
      <c r="B533" s="2407"/>
      <c r="C533" s="2408"/>
      <c r="D533" s="699" t="str">
        <f>B532&amp;".2"</f>
        <v>3.166.2</v>
      </c>
      <c r="E533" s="1677" t="s">
        <v>967</v>
      </c>
      <c r="F533" s="2273" t="s">
        <v>328</v>
      </c>
      <c r="G533" s="1748" t="s">
        <v>22</v>
      </c>
      <c r="H533" s="828" t="s">
        <v>22</v>
      </c>
      <c r="I533" s="1748">
        <v>46160</v>
      </c>
      <c r="J533" s="828" t="s">
        <v>22</v>
      </c>
      <c r="K533" s="1748" t="s">
        <v>22</v>
      </c>
      <c r="L533" s="828" t="s">
        <v>22</v>
      </c>
      <c r="M533" s="1748" t="s">
        <v>22</v>
      </c>
      <c r="N533" s="828" t="s">
        <v>22</v>
      </c>
      <c r="O533" s="1748" t="s">
        <v>22</v>
      </c>
      <c r="P533" s="828" t="s">
        <v>22</v>
      </c>
      <c r="Q533" s="1535" t="s">
        <v>968</v>
      </c>
      <c r="R533" s="1645"/>
      <c r="S533" s="1645"/>
      <c r="T533" s="1645"/>
      <c r="U533" s="1645"/>
      <c r="V533" s="1645"/>
      <c r="W533" s="1645"/>
      <c r="X533" s="1645"/>
      <c r="Y533" s="1645"/>
      <c r="Z533" s="1645"/>
      <c r="AA533" s="685"/>
      <c r="AB533" s="1645">
        <v>0</v>
      </c>
    </row>
    <row s="1860" customFormat="1" customHeight="1" ht="15">
      <c r="A534" s="1645"/>
      <c r="B534" s="2407"/>
      <c r="C534" s="2408"/>
      <c r="D534" s="699" t="str">
        <f>B532&amp;".3"</f>
        <v>3.166.3</v>
      </c>
      <c r="E534" s="1677" t="s">
        <v>969</v>
      </c>
      <c r="F534" s="2273" t="s">
        <v>328</v>
      </c>
      <c r="G534" s="1748" t="s">
        <v>22</v>
      </c>
      <c r="H534" s="828" t="s">
        <v>22</v>
      </c>
      <c r="I534" s="1748" t="s">
        <v>22</v>
      </c>
      <c r="J534" s="828" t="s">
        <v>22</v>
      </c>
      <c r="K534" s="1748" t="s">
        <v>22</v>
      </c>
      <c r="L534" s="828" t="s">
        <v>22</v>
      </c>
      <c r="M534" s="1748" t="s">
        <v>22</v>
      </c>
      <c r="N534" s="828" t="s">
        <v>22</v>
      </c>
      <c r="O534" s="1748" t="s">
        <v>22</v>
      </c>
      <c r="P534" s="828" t="s">
        <v>22</v>
      </c>
      <c r="Q534" s="1535" t="s">
        <v>970</v>
      </c>
      <c r="R534" s="1645"/>
      <c r="S534" s="1645"/>
      <c r="T534" s="1645"/>
      <c r="U534" s="1645"/>
      <c r="V534" s="1645"/>
      <c r="W534" s="1645"/>
      <c r="X534" s="1645"/>
      <c r="Y534" s="1645"/>
      <c r="Z534" s="1645"/>
      <c r="AA534" s="685"/>
      <c r="AB534" s="1645">
        <v>0</v>
      </c>
    </row>
    <row s="1860" customFormat="1" customHeight="1" ht="22.5">
      <c r="A535" s="1645"/>
      <c r="B535" s="2407" t="s">
        <v>1158</v>
      </c>
      <c r="C535" s="2408" t="s">
        <v>105</v>
      </c>
      <c r="D535" s="699" t="str">
        <f>B535&amp;".1"</f>
        <v>3.167.1</v>
      </c>
      <c r="E535" s="1677" t="s">
        <v>966</v>
      </c>
      <c r="F535" s="2273" t="s">
        <v>328</v>
      </c>
      <c r="G535" s="2363" t="s">
        <v>22</v>
      </c>
      <c r="H535" s="828" t="s">
        <v>22</v>
      </c>
      <c r="I535" s="2363" t="s">
        <v>983</v>
      </c>
      <c r="J535" s="828" t="s">
        <v>22</v>
      </c>
      <c r="K535" s="2363" t="s">
        <v>22</v>
      </c>
      <c r="L535" s="828" t="s">
        <v>22</v>
      </c>
      <c r="M535" s="2363" t="s">
        <v>22</v>
      </c>
      <c r="N535" s="828" t="s">
        <v>22</v>
      </c>
      <c r="O535" s="2363" t="s">
        <v>22</v>
      </c>
      <c r="P535" s="828" t="s">
        <v>22</v>
      </c>
      <c r="Q535" s="1535"/>
      <c r="R535" s="1645"/>
      <c r="S535" s="1645"/>
      <c r="T535" s="1645"/>
      <c r="U535" s="1645"/>
      <c r="V535" s="1645"/>
      <c r="W535" s="1645"/>
      <c r="X535" s="1645"/>
      <c r="Y535" s="1645"/>
      <c r="Z535" s="1645"/>
      <c r="AA535" s="685"/>
      <c r="AB535" s="1645">
        <v>0</v>
      </c>
    </row>
    <row s="1860" customFormat="1" customHeight="1" ht="15">
      <c r="A536" s="1645"/>
      <c r="B536" s="2407"/>
      <c r="C536" s="2408"/>
      <c r="D536" s="699" t="str">
        <f>B535&amp;".2"</f>
        <v>3.167.2</v>
      </c>
      <c r="E536" s="1677" t="s">
        <v>967</v>
      </c>
      <c r="F536" s="2273" t="s">
        <v>328</v>
      </c>
      <c r="G536" s="1748" t="s">
        <v>22</v>
      </c>
      <c r="H536" s="828" t="s">
        <v>22</v>
      </c>
      <c r="I536" s="1748">
        <v>46160</v>
      </c>
      <c r="J536" s="828" t="s">
        <v>22</v>
      </c>
      <c r="K536" s="1748" t="s">
        <v>22</v>
      </c>
      <c r="L536" s="828" t="s">
        <v>22</v>
      </c>
      <c r="M536" s="1748" t="s">
        <v>22</v>
      </c>
      <c r="N536" s="828" t="s">
        <v>22</v>
      </c>
      <c r="O536" s="1748" t="s">
        <v>22</v>
      </c>
      <c r="P536" s="828" t="s">
        <v>22</v>
      </c>
      <c r="Q536" s="1535" t="s">
        <v>968</v>
      </c>
      <c r="R536" s="1645"/>
      <c r="S536" s="1645"/>
      <c r="T536" s="1645"/>
      <c r="U536" s="1645"/>
      <c r="V536" s="1645"/>
      <c r="W536" s="1645"/>
      <c r="X536" s="1645"/>
      <c r="Y536" s="1645"/>
      <c r="Z536" s="1645"/>
      <c r="AA536" s="685"/>
      <c r="AB536" s="1645">
        <v>0</v>
      </c>
    </row>
    <row s="1860" customFormat="1" customHeight="1" ht="15">
      <c r="A537" s="1645"/>
      <c r="B537" s="2407"/>
      <c r="C537" s="2408"/>
      <c r="D537" s="699" t="str">
        <f>B535&amp;".3"</f>
        <v>3.167.3</v>
      </c>
      <c r="E537" s="1677" t="s">
        <v>969</v>
      </c>
      <c r="F537" s="2273" t="s">
        <v>328</v>
      </c>
      <c r="G537" s="1748" t="s">
        <v>22</v>
      </c>
      <c r="H537" s="828" t="s">
        <v>22</v>
      </c>
      <c r="I537" s="1748" t="s">
        <v>22</v>
      </c>
      <c r="J537" s="828" t="s">
        <v>22</v>
      </c>
      <c r="K537" s="1748" t="s">
        <v>22</v>
      </c>
      <c r="L537" s="828" t="s">
        <v>22</v>
      </c>
      <c r="M537" s="1748" t="s">
        <v>22</v>
      </c>
      <c r="N537" s="828" t="s">
        <v>22</v>
      </c>
      <c r="O537" s="1748" t="s">
        <v>22</v>
      </c>
      <c r="P537" s="828" t="s">
        <v>22</v>
      </c>
      <c r="Q537" s="1535" t="s">
        <v>970</v>
      </c>
      <c r="R537" s="1645"/>
      <c r="S537" s="1645"/>
      <c r="T537" s="1645"/>
      <c r="U537" s="1645"/>
      <c r="V537" s="1645"/>
      <c r="W537" s="1645"/>
      <c r="X537" s="1645"/>
      <c r="Y537" s="1645"/>
      <c r="Z537" s="1645"/>
      <c r="AA537" s="685"/>
      <c r="AB537" s="1645">
        <v>0</v>
      </c>
    </row>
    <row s="1860" customFormat="1" customHeight="1" ht="22.5">
      <c r="A538" s="1645"/>
      <c r="B538" s="2407" t="s">
        <v>1159</v>
      </c>
      <c r="C538" s="2408" t="s">
        <v>105</v>
      </c>
      <c r="D538" s="699" t="str">
        <f>B538&amp;".1"</f>
        <v>3.168.1</v>
      </c>
      <c r="E538" s="1677" t="s">
        <v>966</v>
      </c>
      <c r="F538" s="2273" t="s">
        <v>328</v>
      </c>
      <c r="G538" s="2363" t="s">
        <v>22</v>
      </c>
      <c r="H538" s="828" t="s">
        <v>22</v>
      </c>
      <c r="I538" s="2363" t="s">
        <v>983</v>
      </c>
      <c r="J538" s="828" t="s">
        <v>22</v>
      </c>
      <c r="K538" s="2363" t="s">
        <v>22</v>
      </c>
      <c r="L538" s="828" t="s">
        <v>22</v>
      </c>
      <c r="M538" s="2363" t="s">
        <v>22</v>
      </c>
      <c r="N538" s="828" t="s">
        <v>22</v>
      </c>
      <c r="O538" s="2363" t="s">
        <v>22</v>
      </c>
      <c r="P538" s="828" t="s">
        <v>22</v>
      </c>
      <c r="Q538" s="1535"/>
      <c r="R538" s="1645"/>
      <c r="S538" s="1645"/>
      <c r="T538" s="1645"/>
      <c r="U538" s="1645"/>
      <c r="V538" s="1645"/>
      <c r="W538" s="1645"/>
      <c r="X538" s="1645"/>
      <c r="Y538" s="1645"/>
      <c r="Z538" s="1645"/>
      <c r="AA538" s="685"/>
      <c r="AB538" s="1645">
        <v>0</v>
      </c>
    </row>
    <row s="1860" customFormat="1" customHeight="1" ht="15">
      <c r="A539" s="1645"/>
      <c r="B539" s="2407"/>
      <c r="C539" s="2408"/>
      <c r="D539" s="699" t="str">
        <f>B538&amp;".2"</f>
        <v>3.168.2</v>
      </c>
      <c r="E539" s="1677" t="s">
        <v>967</v>
      </c>
      <c r="F539" s="2273" t="s">
        <v>328</v>
      </c>
      <c r="G539" s="1748" t="s">
        <v>22</v>
      </c>
      <c r="H539" s="828" t="s">
        <v>22</v>
      </c>
      <c r="I539" s="1748">
        <v>46160</v>
      </c>
      <c r="J539" s="828" t="s">
        <v>22</v>
      </c>
      <c r="K539" s="1748" t="s">
        <v>22</v>
      </c>
      <c r="L539" s="828" t="s">
        <v>22</v>
      </c>
      <c r="M539" s="1748" t="s">
        <v>22</v>
      </c>
      <c r="N539" s="828" t="s">
        <v>22</v>
      </c>
      <c r="O539" s="1748" t="s">
        <v>22</v>
      </c>
      <c r="P539" s="828" t="s">
        <v>22</v>
      </c>
      <c r="Q539" s="1535" t="s">
        <v>968</v>
      </c>
      <c r="R539" s="1645"/>
      <c r="S539" s="1645"/>
      <c r="T539" s="1645"/>
      <c r="U539" s="1645"/>
      <c r="V539" s="1645"/>
      <c r="W539" s="1645"/>
      <c r="X539" s="1645"/>
      <c r="Y539" s="1645"/>
      <c r="Z539" s="1645"/>
      <c r="AA539" s="685"/>
      <c r="AB539" s="1645">
        <v>0</v>
      </c>
    </row>
    <row s="1860" customFormat="1" customHeight="1" ht="15">
      <c r="A540" s="1645"/>
      <c r="B540" s="2407"/>
      <c r="C540" s="2408"/>
      <c r="D540" s="699" t="str">
        <f>B538&amp;".3"</f>
        <v>3.168.3</v>
      </c>
      <c r="E540" s="1677" t="s">
        <v>969</v>
      </c>
      <c r="F540" s="2273" t="s">
        <v>328</v>
      </c>
      <c r="G540" s="1748" t="s">
        <v>22</v>
      </c>
      <c r="H540" s="828" t="s">
        <v>22</v>
      </c>
      <c r="I540" s="1748" t="s">
        <v>22</v>
      </c>
      <c r="J540" s="828" t="s">
        <v>22</v>
      </c>
      <c r="K540" s="1748" t="s">
        <v>22</v>
      </c>
      <c r="L540" s="828" t="s">
        <v>22</v>
      </c>
      <c r="M540" s="1748" t="s">
        <v>22</v>
      </c>
      <c r="N540" s="828" t="s">
        <v>22</v>
      </c>
      <c r="O540" s="1748" t="s">
        <v>22</v>
      </c>
      <c r="P540" s="828" t="s">
        <v>22</v>
      </c>
      <c r="Q540" s="1535" t="s">
        <v>970</v>
      </c>
      <c r="R540" s="1645"/>
      <c r="S540" s="1645"/>
      <c r="T540" s="1645"/>
      <c r="U540" s="1645"/>
      <c r="V540" s="1645"/>
      <c r="W540" s="1645"/>
      <c r="X540" s="1645"/>
      <c r="Y540" s="1645"/>
      <c r="Z540" s="1645"/>
      <c r="AA540" s="685"/>
      <c r="AB540" s="1645">
        <v>0</v>
      </c>
    </row>
    <row s="1860" customFormat="1" customHeight="1" ht="22.5">
      <c r="A541" s="1645"/>
      <c r="B541" s="2407" t="s">
        <v>1160</v>
      </c>
      <c r="C541" s="2408" t="s">
        <v>105</v>
      </c>
      <c r="D541" s="699" t="str">
        <f>B541&amp;".1"</f>
        <v>3.169.1</v>
      </c>
      <c r="E541" s="1677" t="s">
        <v>966</v>
      </c>
      <c r="F541" s="2273" t="s">
        <v>328</v>
      </c>
      <c r="G541" s="2363" t="s">
        <v>22</v>
      </c>
      <c r="H541" s="828" t="s">
        <v>22</v>
      </c>
      <c r="I541" s="2363" t="s">
        <v>983</v>
      </c>
      <c r="J541" s="828" t="s">
        <v>22</v>
      </c>
      <c r="K541" s="2363" t="s">
        <v>22</v>
      </c>
      <c r="L541" s="828" t="s">
        <v>22</v>
      </c>
      <c r="M541" s="2363" t="s">
        <v>22</v>
      </c>
      <c r="N541" s="828" t="s">
        <v>22</v>
      </c>
      <c r="O541" s="2363" t="s">
        <v>22</v>
      </c>
      <c r="P541" s="828" t="s">
        <v>22</v>
      </c>
      <c r="Q541" s="1535"/>
      <c r="R541" s="1645"/>
      <c r="S541" s="1645"/>
      <c r="T541" s="1645"/>
      <c r="U541" s="1645"/>
      <c r="V541" s="1645"/>
      <c r="W541" s="1645"/>
      <c r="X541" s="1645"/>
      <c r="Y541" s="1645"/>
      <c r="Z541" s="1645"/>
      <c r="AA541" s="685"/>
      <c r="AB541" s="1645">
        <v>0</v>
      </c>
    </row>
    <row s="1860" customFormat="1" customHeight="1" ht="15">
      <c r="A542" s="1645"/>
      <c r="B542" s="2407"/>
      <c r="C542" s="2408"/>
      <c r="D542" s="699" t="str">
        <f>B541&amp;".2"</f>
        <v>3.169.2</v>
      </c>
      <c r="E542" s="1677" t="s">
        <v>967</v>
      </c>
      <c r="F542" s="2273" t="s">
        <v>328</v>
      </c>
      <c r="G542" s="1748" t="s">
        <v>22</v>
      </c>
      <c r="H542" s="828" t="s">
        <v>22</v>
      </c>
      <c r="I542" s="1748">
        <v>46160</v>
      </c>
      <c r="J542" s="828" t="s">
        <v>22</v>
      </c>
      <c r="K542" s="1748" t="s">
        <v>22</v>
      </c>
      <c r="L542" s="828" t="s">
        <v>22</v>
      </c>
      <c r="M542" s="1748" t="s">
        <v>22</v>
      </c>
      <c r="N542" s="828" t="s">
        <v>22</v>
      </c>
      <c r="O542" s="1748" t="s">
        <v>22</v>
      </c>
      <c r="P542" s="828" t="s">
        <v>22</v>
      </c>
      <c r="Q542" s="1535" t="s">
        <v>968</v>
      </c>
      <c r="R542" s="1645"/>
      <c r="S542" s="1645"/>
      <c r="T542" s="1645"/>
      <c r="U542" s="1645"/>
      <c r="V542" s="1645"/>
      <c r="W542" s="1645"/>
      <c r="X542" s="1645"/>
      <c r="Y542" s="1645"/>
      <c r="Z542" s="1645"/>
      <c r="AA542" s="685"/>
      <c r="AB542" s="1645">
        <v>0</v>
      </c>
    </row>
    <row s="1860" customFormat="1" customHeight="1" ht="15">
      <c r="A543" s="1645"/>
      <c r="B543" s="2407"/>
      <c r="C543" s="2408"/>
      <c r="D543" s="699" t="str">
        <f>B541&amp;".3"</f>
        <v>3.169.3</v>
      </c>
      <c r="E543" s="1677" t="s">
        <v>969</v>
      </c>
      <c r="F543" s="2273" t="s">
        <v>328</v>
      </c>
      <c r="G543" s="1748" t="s">
        <v>22</v>
      </c>
      <c r="H543" s="828" t="s">
        <v>22</v>
      </c>
      <c r="I543" s="1748" t="s">
        <v>22</v>
      </c>
      <c r="J543" s="828" t="s">
        <v>22</v>
      </c>
      <c r="K543" s="1748" t="s">
        <v>22</v>
      </c>
      <c r="L543" s="828" t="s">
        <v>22</v>
      </c>
      <c r="M543" s="1748" t="s">
        <v>22</v>
      </c>
      <c r="N543" s="828" t="s">
        <v>22</v>
      </c>
      <c r="O543" s="1748" t="s">
        <v>22</v>
      </c>
      <c r="P543" s="828" t="s">
        <v>22</v>
      </c>
      <c r="Q543" s="1535" t="s">
        <v>970</v>
      </c>
      <c r="R543" s="1645"/>
      <c r="S543" s="1645"/>
      <c r="T543" s="1645"/>
      <c r="U543" s="1645"/>
      <c r="V543" s="1645"/>
      <c r="W543" s="1645"/>
      <c r="X543" s="1645"/>
      <c r="Y543" s="1645"/>
      <c r="Z543" s="1645"/>
      <c r="AA543" s="685"/>
      <c r="AB543" s="1645">
        <v>0</v>
      </c>
    </row>
    <row s="1860" customFormat="1" customHeight="1" ht="22.5">
      <c r="A544" s="1645"/>
      <c r="B544" s="2407" t="s">
        <v>1161</v>
      </c>
      <c r="C544" s="2408" t="s">
        <v>105</v>
      </c>
      <c r="D544" s="699" t="str">
        <f>B544&amp;".1"</f>
        <v>3.170.1</v>
      </c>
      <c r="E544" s="1677" t="s">
        <v>966</v>
      </c>
      <c r="F544" s="2273" t="s">
        <v>328</v>
      </c>
      <c r="G544" s="2363" t="s">
        <v>22</v>
      </c>
      <c r="H544" s="828" t="s">
        <v>22</v>
      </c>
      <c r="I544" s="2363" t="s">
        <v>983</v>
      </c>
      <c r="J544" s="828" t="s">
        <v>22</v>
      </c>
      <c r="K544" s="2363" t="s">
        <v>22</v>
      </c>
      <c r="L544" s="828" t="s">
        <v>22</v>
      </c>
      <c r="M544" s="2363" t="s">
        <v>22</v>
      </c>
      <c r="N544" s="828" t="s">
        <v>22</v>
      </c>
      <c r="O544" s="2363" t="s">
        <v>22</v>
      </c>
      <c r="P544" s="828" t="s">
        <v>22</v>
      </c>
      <c r="Q544" s="1535"/>
      <c r="R544" s="1645"/>
      <c r="S544" s="1645"/>
      <c r="T544" s="1645"/>
      <c r="U544" s="1645"/>
      <c r="V544" s="1645"/>
      <c r="W544" s="1645"/>
      <c r="X544" s="1645"/>
      <c r="Y544" s="1645"/>
      <c r="Z544" s="1645"/>
      <c r="AA544" s="685"/>
      <c r="AB544" s="1645">
        <v>0</v>
      </c>
    </row>
    <row s="1860" customFormat="1" customHeight="1" ht="15">
      <c r="A545" s="1645"/>
      <c r="B545" s="2407"/>
      <c r="C545" s="2408"/>
      <c r="D545" s="699" t="str">
        <f>B544&amp;".2"</f>
        <v>3.170.2</v>
      </c>
      <c r="E545" s="1677" t="s">
        <v>967</v>
      </c>
      <c r="F545" s="2273" t="s">
        <v>328</v>
      </c>
      <c r="G545" s="1748" t="s">
        <v>22</v>
      </c>
      <c r="H545" s="828" t="s">
        <v>22</v>
      </c>
      <c r="I545" s="1748">
        <v>46160</v>
      </c>
      <c r="J545" s="828" t="s">
        <v>22</v>
      </c>
      <c r="K545" s="1748" t="s">
        <v>22</v>
      </c>
      <c r="L545" s="828" t="s">
        <v>22</v>
      </c>
      <c r="M545" s="1748" t="s">
        <v>22</v>
      </c>
      <c r="N545" s="828" t="s">
        <v>22</v>
      </c>
      <c r="O545" s="1748" t="s">
        <v>22</v>
      </c>
      <c r="P545" s="828" t="s">
        <v>22</v>
      </c>
      <c r="Q545" s="1535" t="s">
        <v>968</v>
      </c>
      <c r="R545" s="1645"/>
      <c r="S545" s="1645"/>
      <c r="T545" s="1645"/>
      <c r="U545" s="1645"/>
      <c r="V545" s="1645"/>
      <c r="W545" s="1645"/>
      <c r="X545" s="1645"/>
      <c r="Y545" s="1645"/>
      <c r="Z545" s="1645"/>
      <c r="AA545" s="685"/>
      <c r="AB545" s="1645">
        <v>0</v>
      </c>
    </row>
    <row s="1860" customFormat="1" customHeight="1" ht="15">
      <c r="A546" s="1645"/>
      <c r="B546" s="2407"/>
      <c r="C546" s="2408"/>
      <c r="D546" s="699" t="str">
        <f>B544&amp;".3"</f>
        <v>3.170.3</v>
      </c>
      <c r="E546" s="1677" t="s">
        <v>969</v>
      </c>
      <c r="F546" s="2273" t="s">
        <v>328</v>
      </c>
      <c r="G546" s="1748" t="s">
        <v>22</v>
      </c>
      <c r="H546" s="828" t="s">
        <v>22</v>
      </c>
      <c r="I546" s="1748" t="s">
        <v>22</v>
      </c>
      <c r="J546" s="828" t="s">
        <v>22</v>
      </c>
      <c r="K546" s="1748" t="s">
        <v>22</v>
      </c>
      <c r="L546" s="828" t="s">
        <v>22</v>
      </c>
      <c r="M546" s="1748" t="s">
        <v>22</v>
      </c>
      <c r="N546" s="828" t="s">
        <v>22</v>
      </c>
      <c r="O546" s="1748" t="s">
        <v>22</v>
      </c>
      <c r="P546" s="828" t="s">
        <v>22</v>
      </c>
      <c r="Q546" s="1535" t="s">
        <v>970</v>
      </c>
      <c r="R546" s="1645"/>
      <c r="S546" s="1645"/>
      <c r="T546" s="1645"/>
      <c r="U546" s="1645"/>
      <c r="V546" s="1645"/>
      <c r="W546" s="1645"/>
      <c r="X546" s="1645"/>
      <c r="Y546" s="1645"/>
      <c r="Z546" s="1645"/>
      <c r="AA546" s="685"/>
      <c r="AB546" s="1645">
        <v>0</v>
      </c>
    </row>
    <row s="1860" customFormat="1" customHeight="1" ht="22.5">
      <c r="A547" s="1645"/>
      <c r="B547" s="2407" t="s">
        <v>1162</v>
      </c>
      <c r="C547" s="2408" t="s">
        <v>105</v>
      </c>
      <c r="D547" s="699" t="str">
        <f>B547&amp;".1"</f>
        <v>3.171.1</v>
      </c>
      <c r="E547" s="1677" t="s">
        <v>966</v>
      </c>
      <c r="F547" s="2273" t="s">
        <v>328</v>
      </c>
      <c r="G547" s="2363" t="s">
        <v>22</v>
      </c>
      <c r="H547" s="828" t="s">
        <v>22</v>
      </c>
      <c r="I547" s="2363" t="s">
        <v>983</v>
      </c>
      <c r="J547" s="828" t="s">
        <v>22</v>
      </c>
      <c r="K547" s="2363" t="s">
        <v>22</v>
      </c>
      <c r="L547" s="828" t="s">
        <v>22</v>
      </c>
      <c r="M547" s="2363" t="s">
        <v>22</v>
      </c>
      <c r="N547" s="828" t="s">
        <v>22</v>
      </c>
      <c r="O547" s="2363" t="s">
        <v>22</v>
      </c>
      <c r="P547" s="828" t="s">
        <v>22</v>
      </c>
      <c r="Q547" s="1535"/>
      <c r="R547" s="1645"/>
      <c r="S547" s="1645"/>
      <c r="T547" s="1645"/>
      <c r="U547" s="1645"/>
      <c r="V547" s="1645"/>
      <c r="W547" s="1645"/>
      <c r="X547" s="1645"/>
      <c r="Y547" s="1645"/>
      <c r="Z547" s="1645"/>
      <c r="AA547" s="685"/>
      <c r="AB547" s="1645">
        <v>0</v>
      </c>
    </row>
    <row s="1860" customFormat="1" customHeight="1" ht="15">
      <c r="A548" s="1645"/>
      <c r="B548" s="2407"/>
      <c r="C548" s="2408"/>
      <c r="D548" s="699" t="str">
        <f>B547&amp;".2"</f>
        <v>3.171.2</v>
      </c>
      <c r="E548" s="1677" t="s">
        <v>967</v>
      </c>
      <c r="F548" s="2273" t="s">
        <v>328</v>
      </c>
      <c r="G548" s="1748" t="s">
        <v>22</v>
      </c>
      <c r="H548" s="828" t="s">
        <v>22</v>
      </c>
      <c r="I548" s="1748">
        <v>46160</v>
      </c>
      <c r="J548" s="828" t="s">
        <v>22</v>
      </c>
      <c r="K548" s="1748" t="s">
        <v>22</v>
      </c>
      <c r="L548" s="828" t="s">
        <v>22</v>
      </c>
      <c r="M548" s="1748" t="s">
        <v>22</v>
      </c>
      <c r="N548" s="828" t="s">
        <v>22</v>
      </c>
      <c r="O548" s="1748" t="s">
        <v>22</v>
      </c>
      <c r="P548" s="828" t="s">
        <v>22</v>
      </c>
      <c r="Q548" s="1535" t="s">
        <v>968</v>
      </c>
      <c r="R548" s="1645"/>
      <c r="S548" s="1645"/>
      <c r="T548" s="1645"/>
      <c r="U548" s="1645"/>
      <c r="V548" s="1645"/>
      <c r="W548" s="1645"/>
      <c r="X548" s="1645"/>
      <c r="Y548" s="1645"/>
      <c r="Z548" s="1645"/>
      <c r="AA548" s="685"/>
      <c r="AB548" s="1645">
        <v>0</v>
      </c>
    </row>
    <row s="1860" customFormat="1" customHeight="1" ht="15">
      <c r="A549" s="1645"/>
      <c r="B549" s="2407"/>
      <c r="C549" s="2408"/>
      <c r="D549" s="699" t="str">
        <f>B547&amp;".3"</f>
        <v>3.171.3</v>
      </c>
      <c r="E549" s="1677" t="s">
        <v>969</v>
      </c>
      <c r="F549" s="2273" t="s">
        <v>328</v>
      </c>
      <c r="G549" s="1748" t="s">
        <v>22</v>
      </c>
      <c r="H549" s="828" t="s">
        <v>22</v>
      </c>
      <c r="I549" s="1748" t="s">
        <v>22</v>
      </c>
      <c r="J549" s="828" t="s">
        <v>22</v>
      </c>
      <c r="K549" s="1748" t="s">
        <v>22</v>
      </c>
      <c r="L549" s="828" t="s">
        <v>22</v>
      </c>
      <c r="M549" s="1748" t="s">
        <v>22</v>
      </c>
      <c r="N549" s="828" t="s">
        <v>22</v>
      </c>
      <c r="O549" s="1748" t="s">
        <v>22</v>
      </c>
      <c r="P549" s="828" t="s">
        <v>22</v>
      </c>
      <c r="Q549" s="1535" t="s">
        <v>970</v>
      </c>
      <c r="R549" s="1645"/>
      <c r="S549" s="1645"/>
      <c r="T549" s="1645"/>
      <c r="U549" s="1645"/>
      <c r="V549" s="1645"/>
      <c r="W549" s="1645"/>
      <c r="X549" s="1645"/>
      <c r="Y549" s="1645"/>
      <c r="Z549" s="1645"/>
      <c r="AA549" s="685"/>
      <c r="AB549" s="1645">
        <v>0</v>
      </c>
    </row>
    <row s="1860" customFormat="1" customHeight="1" ht="22.5">
      <c r="A550" s="1645"/>
      <c r="B550" s="2407" t="s">
        <v>1163</v>
      </c>
      <c r="C550" s="2408" t="s">
        <v>105</v>
      </c>
      <c r="D550" s="699" t="str">
        <f>B550&amp;".1"</f>
        <v>3.172.1</v>
      </c>
      <c r="E550" s="1677" t="s">
        <v>966</v>
      </c>
      <c r="F550" s="2273" t="s">
        <v>328</v>
      </c>
      <c r="G550" s="2363" t="s">
        <v>22</v>
      </c>
      <c r="H550" s="828" t="s">
        <v>22</v>
      </c>
      <c r="I550" s="2363" t="s">
        <v>983</v>
      </c>
      <c r="J550" s="828" t="s">
        <v>22</v>
      </c>
      <c r="K550" s="2363" t="s">
        <v>22</v>
      </c>
      <c r="L550" s="828" t="s">
        <v>22</v>
      </c>
      <c r="M550" s="2363" t="s">
        <v>22</v>
      </c>
      <c r="N550" s="828" t="s">
        <v>22</v>
      </c>
      <c r="O550" s="2363" t="s">
        <v>22</v>
      </c>
      <c r="P550" s="828" t="s">
        <v>22</v>
      </c>
      <c r="Q550" s="1535"/>
      <c r="R550" s="1645"/>
      <c r="S550" s="1645"/>
      <c r="T550" s="1645"/>
      <c r="U550" s="1645"/>
      <c r="V550" s="1645"/>
      <c r="W550" s="1645"/>
      <c r="X550" s="1645"/>
      <c r="Y550" s="1645"/>
      <c r="Z550" s="1645"/>
      <c r="AA550" s="685"/>
      <c r="AB550" s="1645">
        <v>0</v>
      </c>
    </row>
    <row s="1860" customFormat="1" customHeight="1" ht="15">
      <c r="A551" s="1645"/>
      <c r="B551" s="2407"/>
      <c r="C551" s="2408"/>
      <c r="D551" s="699" t="str">
        <f>B550&amp;".2"</f>
        <v>3.172.2</v>
      </c>
      <c r="E551" s="1677" t="s">
        <v>967</v>
      </c>
      <c r="F551" s="2273" t="s">
        <v>328</v>
      </c>
      <c r="G551" s="1748" t="s">
        <v>22</v>
      </c>
      <c r="H551" s="828" t="s">
        <v>22</v>
      </c>
      <c r="I551" s="1748">
        <v>46160</v>
      </c>
      <c r="J551" s="828" t="s">
        <v>22</v>
      </c>
      <c r="K551" s="1748" t="s">
        <v>22</v>
      </c>
      <c r="L551" s="828" t="s">
        <v>22</v>
      </c>
      <c r="M551" s="1748" t="s">
        <v>22</v>
      </c>
      <c r="N551" s="828" t="s">
        <v>22</v>
      </c>
      <c r="O551" s="1748" t="s">
        <v>22</v>
      </c>
      <c r="P551" s="828" t="s">
        <v>22</v>
      </c>
      <c r="Q551" s="1535" t="s">
        <v>968</v>
      </c>
      <c r="R551" s="1645"/>
      <c r="S551" s="1645"/>
      <c r="T551" s="1645"/>
      <c r="U551" s="1645"/>
      <c r="V551" s="1645"/>
      <c r="W551" s="1645"/>
      <c r="X551" s="1645"/>
      <c r="Y551" s="1645"/>
      <c r="Z551" s="1645"/>
      <c r="AA551" s="685"/>
      <c r="AB551" s="1645">
        <v>0</v>
      </c>
    </row>
    <row s="1860" customFormat="1" customHeight="1" ht="15">
      <c r="A552" s="1645"/>
      <c r="B552" s="2407"/>
      <c r="C552" s="2408"/>
      <c r="D552" s="699" t="str">
        <f>B550&amp;".3"</f>
        <v>3.172.3</v>
      </c>
      <c r="E552" s="1677" t="s">
        <v>969</v>
      </c>
      <c r="F552" s="2273" t="s">
        <v>328</v>
      </c>
      <c r="G552" s="1748" t="s">
        <v>22</v>
      </c>
      <c r="H552" s="828" t="s">
        <v>22</v>
      </c>
      <c r="I552" s="1748" t="s">
        <v>22</v>
      </c>
      <c r="J552" s="828" t="s">
        <v>22</v>
      </c>
      <c r="K552" s="1748" t="s">
        <v>22</v>
      </c>
      <c r="L552" s="828" t="s">
        <v>22</v>
      </c>
      <c r="M552" s="1748" t="s">
        <v>22</v>
      </c>
      <c r="N552" s="828" t="s">
        <v>22</v>
      </c>
      <c r="O552" s="1748" t="s">
        <v>22</v>
      </c>
      <c r="P552" s="828" t="s">
        <v>22</v>
      </c>
      <c r="Q552" s="1535" t="s">
        <v>970</v>
      </c>
      <c r="R552" s="1645"/>
      <c r="S552" s="1645"/>
      <c r="T552" s="1645"/>
      <c r="U552" s="1645"/>
      <c r="V552" s="1645"/>
      <c r="W552" s="1645"/>
      <c r="X552" s="1645"/>
      <c r="Y552" s="1645"/>
      <c r="Z552" s="1645"/>
      <c r="AA552" s="685"/>
      <c r="AB552" s="1645">
        <v>0</v>
      </c>
    </row>
    <row s="1860" customFormat="1" customHeight="1" ht="22.5">
      <c r="A553" s="1645"/>
      <c r="B553" s="2407" t="s">
        <v>1164</v>
      </c>
      <c r="C553" s="2408" t="s">
        <v>105</v>
      </c>
      <c r="D553" s="699" t="str">
        <f>B553&amp;".1"</f>
        <v>3.173.1</v>
      </c>
      <c r="E553" s="1677" t="s">
        <v>966</v>
      </c>
      <c r="F553" s="2273" t="s">
        <v>328</v>
      </c>
      <c r="G553" s="2363" t="s">
        <v>22</v>
      </c>
      <c r="H553" s="828" t="s">
        <v>22</v>
      </c>
      <c r="I553" s="2363" t="s">
        <v>983</v>
      </c>
      <c r="J553" s="828" t="s">
        <v>22</v>
      </c>
      <c r="K553" s="2363" t="s">
        <v>22</v>
      </c>
      <c r="L553" s="828" t="s">
        <v>22</v>
      </c>
      <c r="M553" s="2363" t="s">
        <v>22</v>
      </c>
      <c r="N553" s="828" t="s">
        <v>22</v>
      </c>
      <c r="O553" s="2363" t="s">
        <v>22</v>
      </c>
      <c r="P553" s="828" t="s">
        <v>22</v>
      </c>
      <c r="Q553" s="1535"/>
      <c r="R553" s="1645"/>
      <c r="S553" s="1645"/>
      <c r="T553" s="1645"/>
      <c r="U553" s="1645"/>
      <c r="V553" s="1645"/>
      <c r="W553" s="1645"/>
      <c r="X553" s="1645"/>
      <c r="Y553" s="1645"/>
      <c r="Z553" s="1645"/>
      <c r="AA553" s="685"/>
      <c r="AB553" s="1645">
        <v>0</v>
      </c>
    </row>
    <row s="1860" customFormat="1" customHeight="1" ht="15">
      <c r="A554" s="1645"/>
      <c r="B554" s="2407"/>
      <c r="C554" s="2408"/>
      <c r="D554" s="699" t="str">
        <f>B553&amp;".2"</f>
        <v>3.173.2</v>
      </c>
      <c r="E554" s="1677" t="s">
        <v>967</v>
      </c>
      <c r="F554" s="2273" t="s">
        <v>328</v>
      </c>
      <c r="G554" s="1748" t="s">
        <v>22</v>
      </c>
      <c r="H554" s="828" t="s">
        <v>22</v>
      </c>
      <c r="I554" s="1748">
        <v>46160</v>
      </c>
      <c r="J554" s="828" t="s">
        <v>22</v>
      </c>
      <c r="K554" s="1748" t="s">
        <v>22</v>
      </c>
      <c r="L554" s="828" t="s">
        <v>22</v>
      </c>
      <c r="M554" s="1748" t="s">
        <v>22</v>
      </c>
      <c r="N554" s="828" t="s">
        <v>22</v>
      </c>
      <c r="O554" s="1748" t="s">
        <v>22</v>
      </c>
      <c r="P554" s="828" t="s">
        <v>22</v>
      </c>
      <c r="Q554" s="1535" t="s">
        <v>968</v>
      </c>
      <c r="R554" s="1645"/>
      <c r="S554" s="1645"/>
      <c r="T554" s="1645"/>
      <c r="U554" s="1645"/>
      <c r="V554" s="1645"/>
      <c r="W554" s="1645"/>
      <c r="X554" s="1645"/>
      <c r="Y554" s="1645"/>
      <c r="Z554" s="1645"/>
      <c r="AA554" s="685"/>
      <c r="AB554" s="1645">
        <v>0</v>
      </c>
    </row>
    <row s="1860" customFormat="1" customHeight="1" ht="15">
      <c r="A555" s="1645"/>
      <c r="B555" s="2407"/>
      <c r="C555" s="2408"/>
      <c r="D555" s="699" t="str">
        <f>B553&amp;".3"</f>
        <v>3.173.3</v>
      </c>
      <c r="E555" s="1677" t="s">
        <v>969</v>
      </c>
      <c r="F555" s="2273" t="s">
        <v>328</v>
      </c>
      <c r="G555" s="1748" t="s">
        <v>22</v>
      </c>
      <c r="H555" s="828" t="s">
        <v>22</v>
      </c>
      <c r="I555" s="1748" t="s">
        <v>22</v>
      </c>
      <c r="J555" s="828" t="s">
        <v>22</v>
      </c>
      <c r="K555" s="1748" t="s">
        <v>22</v>
      </c>
      <c r="L555" s="828" t="s">
        <v>22</v>
      </c>
      <c r="M555" s="1748" t="s">
        <v>22</v>
      </c>
      <c r="N555" s="828" t="s">
        <v>22</v>
      </c>
      <c r="O555" s="1748" t="s">
        <v>22</v>
      </c>
      <c r="P555" s="828" t="s">
        <v>22</v>
      </c>
      <c r="Q555" s="1535" t="s">
        <v>970</v>
      </c>
      <c r="R555" s="1645"/>
      <c r="S555" s="1645"/>
      <c r="T555" s="1645"/>
      <c r="U555" s="1645"/>
      <c r="V555" s="1645"/>
      <c r="W555" s="1645"/>
      <c r="X555" s="1645"/>
      <c r="Y555" s="1645"/>
      <c r="Z555" s="1645"/>
      <c r="AA555" s="685"/>
      <c r="AB555" s="1645">
        <v>0</v>
      </c>
    </row>
    <row s="1860" customFormat="1" customHeight="1" ht="22.5">
      <c r="A556" s="1645"/>
      <c r="B556" s="2407" t="s">
        <v>1165</v>
      </c>
      <c r="C556" s="2408" t="s">
        <v>105</v>
      </c>
      <c r="D556" s="699" t="str">
        <f>B556&amp;".1"</f>
        <v>3.174.1</v>
      </c>
      <c r="E556" s="1677" t="s">
        <v>966</v>
      </c>
      <c r="F556" s="2273" t="s">
        <v>328</v>
      </c>
      <c r="G556" s="2363" t="s">
        <v>22</v>
      </c>
      <c r="H556" s="828" t="s">
        <v>22</v>
      </c>
      <c r="I556" s="2363" t="s">
        <v>983</v>
      </c>
      <c r="J556" s="828" t="s">
        <v>22</v>
      </c>
      <c r="K556" s="2363" t="s">
        <v>22</v>
      </c>
      <c r="L556" s="828" t="s">
        <v>22</v>
      </c>
      <c r="M556" s="2363" t="s">
        <v>22</v>
      </c>
      <c r="N556" s="828" t="s">
        <v>22</v>
      </c>
      <c r="O556" s="2363" t="s">
        <v>22</v>
      </c>
      <c r="P556" s="828" t="s">
        <v>22</v>
      </c>
      <c r="Q556" s="1535"/>
      <c r="R556" s="1645"/>
      <c r="S556" s="1645"/>
      <c r="T556" s="1645"/>
      <c r="U556" s="1645"/>
      <c r="V556" s="1645"/>
      <c r="W556" s="1645"/>
      <c r="X556" s="1645"/>
      <c r="Y556" s="1645"/>
      <c r="Z556" s="1645"/>
      <c r="AA556" s="685"/>
      <c r="AB556" s="1645">
        <v>0</v>
      </c>
    </row>
    <row s="1860" customFormat="1" customHeight="1" ht="15">
      <c r="A557" s="1645"/>
      <c r="B557" s="2407"/>
      <c r="C557" s="2408"/>
      <c r="D557" s="699" t="str">
        <f>B556&amp;".2"</f>
        <v>3.174.2</v>
      </c>
      <c r="E557" s="1677" t="s">
        <v>967</v>
      </c>
      <c r="F557" s="2273" t="s">
        <v>328</v>
      </c>
      <c r="G557" s="1748" t="s">
        <v>22</v>
      </c>
      <c r="H557" s="828" t="s">
        <v>22</v>
      </c>
      <c r="I557" s="1748">
        <v>46160</v>
      </c>
      <c r="J557" s="828" t="s">
        <v>22</v>
      </c>
      <c r="K557" s="1748" t="s">
        <v>22</v>
      </c>
      <c r="L557" s="828" t="s">
        <v>22</v>
      </c>
      <c r="M557" s="1748" t="s">
        <v>22</v>
      </c>
      <c r="N557" s="828" t="s">
        <v>22</v>
      </c>
      <c r="O557" s="1748" t="s">
        <v>22</v>
      </c>
      <c r="P557" s="828" t="s">
        <v>22</v>
      </c>
      <c r="Q557" s="1535" t="s">
        <v>968</v>
      </c>
      <c r="R557" s="1645"/>
      <c r="S557" s="1645"/>
      <c r="T557" s="1645"/>
      <c r="U557" s="1645"/>
      <c r="V557" s="1645"/>
      <c r="W557" s="1645"/>
      <c r="X557" s="1645"/>
      <c r="Y557" s="1645"/>
      <c r="Z557" s="1645"/>
      <c r="AA557" s="685"/>
      <c r="AB557" s="1645">
        <v>0</v>
      </c>
    </row>
    <row s="1860" customFormat="1" customHeight="1" ht="15">
      <c r="A558" s="1645"/>
      <c r="B558" s="2407"/>
      <c r="C558" s="2408"/>
      <c r="D558" s="699" t="str">
        <f>B556&amp;".3"</f>
        <v>3.174.3</v>
      </c>
      <c r="E558" s="1677" t="s">
        <v>969</v>
      </c>
      <c r="F558" s="2273" t="s">
        <v>328</v>
      </c>
      <c r="G558" s="1748" t="s">
        <v>22</v>
      </c>
      <c r="H558" s="828" t="s">
        <v>22</v>
      </c>
      <c r="I558" s="1748" t="s">
        <v>22</v>
      </c>
      <c r="J558" s="828" t="s">
        <v>22</v>
      </c>
      <c r="K558" s="1748" t="s">
        <v>22</v>
      </c>
      <c r="L558" s="828" t="s">
        <v>22</v>
      </c>
      <c r="M558" s="1748" t="s">
        <v>22</v>
      </c>
      <c r="N558" s="828" t="s">
        <v>22</v>
      </c>
      <c r="O558" s="1748" t="s">
        <v>22</v>
      </c>
      <c r="P558" s="828" t="s">
        <v>22</v>
      </c>
      <c r="Q558" s="1535" t="s">
        <v>970</v>
      </c>
      <c r="R558" s="1645"/>
      <c r="S558" s="1645"/>
      <c r="T558" s="1645"/>
      <c r="U558" s="1645"/>
      <c r="V558" s="1645"/>
      <c r="W558" s="1645"/>
      <c r="X558" s="1645"/>
      <c r="Y558" s="1645"/>
      <c r="Z558" s="1645"/>
      <c r="AA558" s="685"/>
      <c r="AB558" s="1645">
        <v>0</v>
      </c>
    </row>
    <row s="1860" customFormat="1" customHeight="1" ht="22.5">
      <c r="A559" s="1645"/>
      <c r="B559" s="2407" t="s">
        <v>1166</v>
      </c>
      <c r="C559" s="2408" t="s">
        <v>105</v>
      </c>
      <c r="D559" s="699" t="str">
        <f>B559&amp;".1"</f>
        <v>3.175.1</v>
      </c>
      <c r="E559" s="1677" t="s">
        <v>966</v>
      </c>
      <c r="F559" s="2273" t="s">
        <v>328</v>
      </c>
      <c r="G559" s="2363" t="s">
        <v>22</v>
      </c>
      <c r="H559" s="828" t="s">
        <v>22</v>
      </c>
      <c r="I559" s="2363" t="s">
        <v>983</v>
      </c>
      <c r="J559" s="828" t="s">
        <v>22</v>
      </c>
      <c r="K559" s="2363" t="s">
        <v>22</v>
      </c>
      <c r="L559" s="828" t="s">
        <v>22</v>
      </c>
      <c r="M559" s="2363" t="s">
        <v>22</v>
      </c>
      <c r="N559" s="828" t="s">
        <v>22</v>
      </c>
      <c r="O559" s="2363" t="s">
        <v>22</v>
      </c>
      <c r="P559" s="828" t="s">
        <v>22</v>
      </c>
      <c r="Q559" s="1535"/>
      <c r="R559" s="1645"/>
      <c r="S559" s="1645"/>
      <c r="T559" s="1645"/>
      <c r="U559" s="1645"/>
      <c r="V559" s="1645"/>
      <c r="W559" s="1645"/>
      <c r="X559" s="1645"/>
      <c r="Y559" s="1645"/>
      <c r="Z559" s="1645"/>
      <c r="AA559" s="685"/>
      <c r="AB559" s="1645">
        <v>0</v>
      </c>
    </row>
    <row s="1860" customFormat="1" customHeight="1" ht="15">
      <c r="A560" s="1645"/>
      <c r="B560" s="2407"/>
      <c r="C560" s="2408"/>
      <c r="D560" s="699" t="str">
        <f>B559&amp;".2"</f>
        <v>3.175.2</v>
      </c>
      <c r="E560" s="1677" t="s">
        <v>967</v>
      </c>
      <c r="F560" s="2273" t="s">
        <v>328</v>
      </c>
      <c r="G560" s="1748" t="s">
        <v>22</v>
      </c>
      <c r="H560" s="828" t="s">
        <v>22</v>
      </c>
      <c r="I560" s="1748">
        <v>46161</v>
      </c>
      <c r="J560" s="828" t="s">
        <v>22</v>
      </c>
      <c r="K560" s="1748" t="s">
        <v>22</v>
      </c>
      <c r="L560" s="828" t="s">
        <v>22</v>
      </c>
      <c r="M560" s="1748" t="s">
        <v>22</v>
      </c>
      <c r="N560" s="828" t="s">
        <v>22</v>
      </c>
      <c r="O560" s="1748" t="s">
        <v>22</v>
      </c>
      <c r="P560" s="828" t="s">
        <v>22</v>
      </c>
      <c r="Q560" s="1535" t="s">
        <v>968</v>
      </c>
      <c r="R560" s="1645"/>
      <c r="S560" s="1645"/>
      <c r="T560" s="1645"/>
      <c r="U560" s="1645"/>
      <c r="V560" s="1645"/>
      <c r="W560" s="1645"/>
      <c r="X560" s="1645"/>
      <c r="Y560" s="1645"/>
      <c r="Z560" s="1645"/>
      <c r="AA560" s="685"/>
      <c r="AB560" s="1645">
        <v>0</v>
      </c>
    </row>
    <row s="1860" customFormat="1" customHeight="1" ht="15">
      <c r="A561" s="1645"/>
      <c r="B561" s="2407"/>
      <c r="C561" s="2408"/>
      <c r="D561" s="699" t="str">
        <f>B559&amp;".3"</f>
        <v>3.175.3</v>
      </c>
      <c r="E561" s="1677" t="s">
        <v>969</v>
      </c>
      <c r="F561" s="2273" t="s">
        <v>328</v>
      </c>
      <c r="G561" s="1748" t="s">
        <v>22</v>
      </c>
      <c r="H561" s="828" t="s">
        <v>22</v>
      </c>
      <c r="I561" s="1748" t="s">
        <v>22</v>
      </c>
      <c r="J561" s="828" t="s">
        <v>22</v>
      </c>
      <c r="K561" s="1748" t="s">
        <v>22</v>
      </c>
      <c r="L561" s="828" t="s">
        <v>22</v>
      </c>
      <c r="M561" s="1748" t="s">
        <v>22</v>
      </c>
      <c r="N561" s="828" t="s">
        <v>22</v>
      </c>
      <c r="O561" s="1748" t="s">
        <v>22</v>
      </c>
      <c r="P561" s="828" t="s">
        <v>22</v>
      </c>
      <c r="Q561" s="1535" t="s">
        <v>970</v>
      </c>
      <c r="R561" s="1645"/>
      <c r="S561" s="1645"/>
      <c r="T561" s="1645"/>
      <c r="U561" s="1645"/>
      <c r="V561" s="1645"/>
      <c r="W561" s="1645"/>
      <c r="X561" s="1645"/>
      <c r="Y561" s="1645"/>
      <c r="Z561" s="1645"/>
      <c r="AA561" s="685"/>
      <c r="AB561" s="1645">
        <v>0</v>
      </c>
    </row>
    <row s="1860" customFormat="1" customHeight="1" ht="22.5">
      <c r="A562" s="1645"/>
      <c r="B562" s="2407" t="s">
        <v>1167</v>
      </c>
      <c r="C562" s="2408" t="s">
        <v>105</v>
      </c>
      <c r="D562" s="699" t="str">
        <f>B562&amp;".1"</f>
        <v>3.176.1</v>
      </c>
      <c r="E562" s="1677" t="s">
        <v>966</v>
      </c>
      <c r="F562" s="2273" t="s">
        <v>328</v>
      </c>
      <c r="G562" s="2363" t="s">
        <v>22</v>
      </c>
      <c r="H562" s="828" t="s">
        <v>22</v>
      </c>
      <c r="I562" s="2363" t="s">
        <v>983</v>
      </c>
      <c r="J562" s="828" t="s">
        <v>22</v>
      </c>
      <c r="K562" s="2363" t="s">
        <v>22</v>
      </c>
      <c r="L562" s="828" t="s">
        <v>22</v>
      </c>
      <c r="M562" s="2363" t="s">
        <v>22</v>
      </c>
      <c r="N562" s="828" t="s">
        <v>22</v>
      </c>
      <c r="O562" s="2363" t="s">
        <v>22</v>
      </c>
      <c r="P562" s="828" t="s">
        <v>22</v>
      </c>
      <c r="Q562" s="1535"/>
      <c r="R562" s="1645"/>
      <c r="S562" s="1645"/>
      <c r="T562" s="1645"/>
      <c r="U562" s="1645"/>
      <c r="V562" s="1645"/>
      <c r="W562" s="1645"/>
      <c r="X562" s="1645"/>
      <c r="Y562" s="1645"/>
      <c r="Z562" s="1645"/>
      <c r="AA562" s="685"/>
      <c r="AB562" s="1645">
        <v>0</v>
      </c>
    </row>
    <row s="1860" customFormat="1" customHeight="1" ht="15">
      <c r="A563" s="1645"/>
      <c r="B563" s="2407"/>
      <c r="C563" s="2408"/>
      <c r="D563" s="699" t="str">
        <f>B562&amp;".2"</f>
        <v>3.176.2</v>
      </c>
      <c r="E563" s="1677" t="s">
        <v>967</v>
      </c>
      <c r="F563" s="2273" t="s">
        <v>328</v>
      </c>
      <c r="G563" s="1748" t="s">
        <v>22</v>
      </c>
      <c r="H563" s="828" t="s">
        <v>22</v>
      </c>
      <c r="I563" s="1748">
        <v>46161</v>
      </c>
      <c r="J563" s="828" t="s">
        <v>22</v>
      </c>
      <c r="K563" s="1748" t="s">
        <v>22</v>
      </c>
      <c r="L563" s="828" t="s">
        <v>22</v>
      </c>
      <c r="M563" s="1748" t="s">
        <v>22</v>
      </c>
      <c r="N563" s="828" t="s">
        <v>22</v>
      </c>
      <c r="O563" s="1748" t="s">
        <v>22</v>
      </c>
      <c r="P563" s="828" t="s">
        <v>22</v>
      </c>
      <c r="Q563" s="1535" t="s">
        <v>968</v>
      </c>
      <c r="R563" s="1645"/>
      <c r="S563" s="1645"/>
      <c r="T563" s="1645"/>
      <c r="U563" s="1645"/>
      <c r="V563" s="1645"/>
      <c r="W563" s="1645"/>
      <c r="X563" s="1645"/>
      <c r="Y563" s="1645"/>
      <c r="Z563" s="1645"/>
      <c r="AA563" s="685"/>
      <c r="AB563" s="1645">
        <v>0</v>
      </c>
    </row>
    <row s="1860" customFormat="1" customHeight="1" ht="15">
      <c r="A564" s="1645"/>
      <c r="B564" s="2407"/>
      <c r="C564" s="2408"/>
      <c r="D564" s="699" t="str">
        <f>B562&amp;".3"</f>
        <v>3.176.3</v>
      </c>
      <c r="E564" s="1677" t="s">
        <v>969</v>
      </c>
      <c r="F564" s="2273" t="s">
        <v>328</v>
      </c>
      <c r="G564" s="1748" t="s">
        <v>22</v>
      </c>
      <c r="H564" s="828" t="s">
        <v>22</v>
      </c>
      <c r="I564" s="1748" t="s">
        <v>22</v>
      </c>
      <c r="J564" s="828" t="s">
        <v>22</v>
      </c>
      <c r="K564" s="1748" t="s">
        <v>22</v>
      </c>
      <c r="L564" s="828" t="s">
        <v>22</v>
      </c>
      <c r="M564" s="1748" t="s">
        <v>22</v>
      </c>
      <c r="N564" s="828" t="s">
        <v>22</v>
      </c>
      <c r="O564" s="1748" t="s">
        <v>22</v>
      </c>
      <c r="P564" s="828" t="s">
        <v>22</v>
      </c>
      <c r="Q564" s="1535" t="s">
        <v>970</v>
      </c>
      <c r="R564" s="1645"/>
      <c r="S564" s="1645"/>
      <c r="T564" s="1645"/>
      <c r="U564" s="1645"/>
      <c r="V564" s="1645"/>
      <c r="W564" s="1645"/>
      <c r="X564" s="1645"/>
      <c r="Y564" s="1645"/>
      <c r="Z564" s="1645"/>
      <c r="AA564" s="685"/>
      <c r="AB564" s="1645">
        <v>0</v>
      </c>
    </row>
    <row s="1860" customFormat="1" customHeight="1" ht="22.5">
      <c r="A565" s="1645"/>
      <c r="B565" s="2407" t="s">
        <v>1168</v>
      </c>
      <c r="C565" s="2408" t="s">
        <v>105</v>
      </c>
      <c r="D565" s="699" t="str">
        <f>B565&amp;".1"</f>
        <v>3.177.1</v>
      </c>
      <c r="E565" s="1677" t="s">
        <v>966</v>
      </c>
      <c r="F565" s="2273" t="s">
        <v>328</v>
      </c>
      <c r="G565" s="2363" t="s">
        <v>22</v>
      </c>
      <c r="H565" s="828" t="s">
        <v>22</v>
      </c>
      <c r="I565" s="2363" t="s">
        <v>983</v>
      </c>
      <c r="J565" s="828" t="s">
        <v>22</v>
      </c>
      <c r="K565" s="2363" t="s">
        <v>22</v>
      </c>
      <c r="L565" s="828" t="s">
        <v>22</v>
      </c>
      <c r="M565" s="2363" t="s">
        <v>22</v>
      </c>
      <c r="N565" s="828" t="s">
        <v>22</v>
      </c>
      <c r="O565" s="2363" t="s">
        <v>22</v>
      </c>
      <c r="P565" s="828" t="s">
        <v>22</v>
      </c>
      <c r="Q565" s="1535"/>
      <c r="R565" s="1645"/>
      <c r="S565" s="1645"/>
      <c r="T565" s="1645"/>
      <c r="U565" s="1645"/>
      <c r="V565" s="1645"/>
      <c r="W565" s="1645"/>
      <c r="X565" s="1645"/>
      <c r="Y565" s="1645"/>
      <c r="Z565" s="1645"/>
      <c r="AA565" s="685"/>
      <c r="AB565" s="1645">
        <v>0</v>
      </c>
    </row>
    <row s="1860" customFormat="1" customHeight="1" ht="15">
      <c r="A566" s="1645"/>
      <c r="B566" s="2407"/>
      <c r="C566" s="2408"/>
      <c r="D566" s="699" t="str">
        <f>B565&amp;".2"</f>
        <v>3.177.2</v>
      </c>
      <c r="E566" s="1677" t="s">
        <v>967</v>
      </c>
      <c r="F566" s="2273" t="s">
        <v>328</v>
      </c>
      <c r="G566" s="1748" t="s">
        <v>22</v>
      </c>
      <c r="H566" s="828" t="s">
        <v>22</v>
      </c>
      <c r="I566" s="1748">
        <v>46161</v>
      </c>
      <c r="J566" s="828" t="s">
        <v>22</v>
      </c>
      <c r="K566" s="1748" t="s">
        <v>22</v>
      </c>
      <c r="L566" s="828" t="s">
        <v>22</v>
      </c>
      <c r="M566" s="1748" t="s">
        <v>22</v>
      </c>
      <c r="N566" s="828" t="s">
        <v>22</v>
      </c>
      <c r="O566" s="1748" t="s">
        <v>22</v>
      </c>
      <c r="P566" s="828" t="s">
        <v>22</v>
      </c>
      <c r="Q566" s="1535" t="s">
        <v>968</v>
      </c>
      <c r="R566" s="1645"/>
      <c r="S566" s="1645"/>
      <c r="T566" s="1645"/>
      <c r="U566" s="1645"/>
      <c r="V566" s="1645"/>
      <c r="W566" s="1645"/>
      <c r="X566" s="1645"/>
      <c r="Y566" s="1645"/>
      <c r="Z566" s="1645"/>
      <c r="AA566" s="685"/>
      <c r="AB566" s="1645">
        <v>0</v>
      </c>
    </row>
    <row s="1860" customFormat="1" customHeight="1" ht="15">
      <c r="A567" s="1645"/>
      <c r="B567" s="2407"/>
      <c r="C567" s="2408"/>
      <c r="D567" s="699" t="str">
        <f>B565&amp;".3"</f>
        <v>3.177.3</v>
      </c>
      <c r="E567" s="1677" t="s">
        <v>969</v>
      </c>
      <c r="F567" s="2273" t="s">
        <v>328</v>
      </c>
      <c r="G567" s="1748" t="s">
        <v>22</v>
      </c>
      <c r="H567" s="828" t="s">
        <v>22</v>
      </c>
      <c r="I567" s="1748" t="s">
        <v>22</v>
      </c>
      <c r="J567" s="828" t="s">
        <v>22</v>
      </c>
      <c r="K567" s="1748" t="s">
        <v>22</v>
      </c>
      <c r="L567" s="828" t="s">
        <v>22</v>
      </c>
      <c r="M567" s="1748" t="s">
        <v>22</v>
      </c>
      <c r="N567" s="828" t="s">
        <v>22</v>
      </c>
      <c r="O567" s="1748" t="s">
        <v>22</v>
      </c>
      <c r="P567" s="828" t="s">
        <v>22</v>
      </c>
      <c r="Q567" s="1535" t="s">
        <v>970</v>
      </c>
      <c r="R567" s="1645"/>
      <c r="S567" s="1645"/>
      <c r="T567" s="1645"/>
      <c r="U567" s="1645"/>
      <c r="V567" s="1645"/>
      <c r="W567" s="1645"/>
      <c r="X567" s="1645"/>
      <c r="Y567" s="1645"/>
      <c r="Z567" s="1645"/>
      <c r="AA567" s="685"/>
      <c r="AB567" s="1645">
        <v>0</v>
      </c>
    </row>
    <row s="1860" customFormat="1" customHeight="1" ht="22.5">
      <c r="A568" s="1645"/>
      <c r="B568" s="2407" t="s">
        <v>1169</v>
      </c>
      <c r="C568" s="2408" t="s">
        <v>105</v>
      </c>
      <c r="D568" s="699" t="str">
        <f>B568&amp;".1"</f>
        <v>3.178.1</v>
      </c>
      <c r="E568" s="1677" t="s">
        <v>966</v>
      </c>
      <c r="F568" s="2273" t="s">
        <v>328</v>
      </c>
      <c r="G568" s="2363" t="s">
        <v>22</v>
      </c>
      <c r="H568" s="828" t="s">
        <v>22</v>
      </c>
      <c r="I568" s="2363" t="s">
        <v>983</v>
      </c>
      <c r="J568" s="828" t="s">
        <v>22</v>
      </c>
      <c r="K568" s="2363" t="s">
        <v>22</v>
      </c>
      <c r="L568" s="828" t="s">
        <v>22</v>
      </c>
      <c r="M568" s="2363" t="s">
        <v>22</v>
      </c>
      <c r="N568" s="828" t="s">
        <v>22</v>
      </c>
      <c r="O568" s="2363" t="s">
        <v>22</v>
      </c>
      <c r="P568" s="828" t="s">
        <v>22</v>
      </c>
      <c r="Q568" s="1535"/>
      <c r="R568" s="1645"/>
      <c r="S568" s="1645"/>
      <c r="T568" s="1645"/>
      <c r="U568" s="1645"/>
      <c r="V568" s="1645"/>
      <c r="W568" s="1645"/>
      <c r="X568" s="1645"/>
      <c r="Y568" s="1645"/>
      <c r="Z568" s="1645"/>
      <c r="AA568" s="685"/>
      <c r="AB568" s="1645">
        <v>0</v>
      </c>
    </row>
    <row s="1860" customFormat="1" customHeight="1" ht="15">
      <c r="A569" s="1645"/>
      <c r="B569" s="2407"/>
      <c r="C569" s="2408"/>
      <c r="D569" s="699" t="str">
        <f>B568&amp;".2"</f>
        <v>3.178.2</v>
      </c>
      <c r="E569" s="1677" t="s">
        <v>967</v>
      </c>
      <c r="F569" s="2273" t="s">
        <v>328</v>
      </c>
      <c r="G569" s="1748" t="s">
        <v>22</v>
      </c>
      <c r="H569" s="828" t="s">
        <v>22</v>
      </c>
      <c r="I569" s="1748">
        <v>46161</v>
      </c>
      <c r="J569" s="828" t="s">
        <v>22</v>
      </c>
      <c r="K569" s="1748" t="s">
        <v>22</v>
      </c>
      <c r="L569" s="828" t="s">
        <v>22</v>
      </c>
      <c r="M569" s="1748" t="s">
        <v>22</v>
      </c>
      <c r="N569" s="828" t="s">
        <v>22</v>
      </c>
      <c r="O569" s="1748" t="s">
        <v>22</v>
      </c>
      <c r="P569" s="828" t="s">
        <v>22</v>
      </c>
      <c r="Q569" s="1535" t="s">
        <v>968</v>
      </c>
      <c r="R569" s="1645"/>
      <c r="S569" s="1645"/>
      <c r="T569" s="1645"/>
      <c r="U569" s="1645"/>
      <c r="V569" s="1645"/>
      <c r="W569" s="1645"/>
      <c r="X569" s="1645"/>
      <c r="Y569" s="1645"/>
      <c r="Z569" s="1645"/>
      <c r="AA569" s="685"/>
      <c r="AB569" s="1645">
        <v>0</v>
      </c>
    </row>
    <row s="1860" customFormat="1" customHeight="1" ht="15">
      <c r="A570" s="1645"/>
      <c r="B570" s="2407"/>
      <c r="C570" s="2408"/>
      <c r="D570" s="699" t="str">
        <f>B568&amp;".3"</f>
        <v>3.178.3</v>
      </c>
      <c r="E570" s="1677" t="s">
        <v>969</v>
      </c>
      <c r="F570" s="2273" t="s">
        <v>328</v>
      </c>
      <c r="G570" s="1748" t="s">
        <v>22</v>
      </c>
      <c r="H570" s="828" t="s">
        <v>22</v>
      </c>
      <c r="I570" s="1748" t="s">
        <v>22</v>
      </c>
      <c r="J570" s="828" t="s">
        <v>22</v>
      </c>
      <c r="K570" s="1748" t="s">
        <v>22</v>
      </c>
      <c r="L570" s="828" t="s">
        <v>22</v>
      </c>
      <c r="M570" s="1748" t="s">
        <v>22</v>
      </c>
      <c r="N570" s="828" t="s">
        <v>22</v>
      </c>
      <c r="O570" s="1748" t="s">
        <v>22</v>
      </c>
      <c r="P570" s="828" t="s">
        <v>22</v>
      </c>
      <c r="Q570" s="1535" t="s">
        <v>970</v>
      </c>
      <c r="R570" s="1645"/>
      <c r="S570" s="1645"/>
      <c r="T570" s="1645"/>
      <c r="U570" s="1645"/>
      <c r="V570" s="1645"/>
      <c r="W570" s="1645"/>
      <c r="X570" s="1645"/>
      <c r="Y570" s="1645"/>
      <c r="Z570" s="1645"/>
      <c r="AA570" s="685"/>
      <c r="AB570" s="1645">
        <v>0</v>
      </c>
    </row>
    <row s="1860" customFormat="1" customHeight="1" ht="22.5">
      <c r="A571" s="1645"/>
      <c r="B571" s="2407" t="s">
        <v>1170</v>
      </c>
      <c r="C571" s="2408" t="s">
        <v>105</v>
      </c>
      <c r="D571" s="699" t="str">
        <f>B571&amp;".1"</f>
        <v>3.179.1</v>
      </c>
      <c r="E571" s="1677" t="s">
        <v>966</v>
      </c>
      <c r="F571" s="2273" t="s">
        <v>328</v>
      </c>
      <c r="G571" s="2363" t="s">
        <v>22</v>
      </c>
      <c r="H571" s="828" t="s">
        <v>22</v>
      </c>
      <c r="I571" s="2363" t="s">
        <v>983</v>
      </c>
      <c r="J571" s="828" t="s">
        <v>22</v>
      </c>
      <c r="K571" s="2363" t="s">
        <v>22</v>
      </c>
      <c r="L571" s="828" t="s">
        <v>22</v>
      </c>
      <c r="M571" s="2363" t="s">
        <v>22</v>
      </c>
      <c r="N571" s="828" t="s">
        <v>22</v>
      </c>
      <c r="O571" s="2363" t="s">
        <v>22</v>
      </c>
      <c r="P571" s="828" t="s">
        <v>22</v>
      </c>
      <c r="Q571" s="1535"/>
      <c r="R571" s="1645"/>
      <c r="S571" s="1645"/>
      <c r="T571" s="1645"/>
      <c r="U571" s="1645"/>
      <c r="V571" s="1645"/>
      <c r="W571" s="1645"/>
      <c r="X571" s="1645"/>
      <c r="Y571" s="1645"/>
      <c r="Z571" s="1645"/>
      <c r="AA571" s="685"/>
      <c r="AB571" s="1645">
        <v>0</v>
      </c>
    </row>
    <row s="1860" customFormat="1" customHeight="1" ht="15">
      <c r="A572" s="1645"/>
      <c r="B572" s="2407"/>
      <c r="C572" s="2408"/>
      <c r="D572" s="699" t="str">
        <f>B571&amp;".2"</f>
        <v>3.179.2</v>
      </c>
      <c r="E572" s="1677" t="s">
        <v>967</v>
      </c>
      <c r="F572" s="2273" t="s">
        <v>328</v>
      </c>
      <c r="G572" s="1748" t="s">
        <v>22</v>
      </c>
      <c r="H572" s="828" t="s">
        <v>22</v>
      </c>
      <c r="I572" s="1748">
        <v>46161</v>
      </c>
      <c r="J572" s="828" t="s">
        <v>22</v>
      </c>
      <c r="K572" s="1748" t="s">
        <v>22</v>
      </c>
      <c r="L572" s="828" t="s">
        <v>22</v>
      </c>
      <c r="M572" s="1748" t="s">
        <v>22</v>
      </c>
      <c r="N572" s="828" t="s">
        <v>22</v>
      </c>
      <c r="O572" s="1748" t="s">
        <v>22</v>
      </c>
      <c r="P572" s="828" t="s">
        <v>22</v>
      </c>
      <c r="Q572" s="1535" t="s">
        <v>968</v>
      </c>
      <c r="R572" s="1645"/>
      <c r="S572" s="1645"/>
      <c r="T572" s="1645"/>
      <c r="U572" s="1645"/>
      <c r="V572" s="1645"/>
      <c r="W572" s="1645"/>
      <c r="X572" s="1645"/>
      <c r="Y572" s="1645"/>
      <c r="Z572" s="1645"/>
      <c r="AA572" s="685"/>
      <c r="AB572" s="1645">
        <v>0</v>
      </c>
    </row>
    <row s="1860" customFormat="1" customHeight="1" ht="15">
      <c r="A573" s="1645"/>
      <c r="B573" s="2407"/>
      <c r="C573" s="2408"/>
      <c r="D573" s="699" t="str">
        <f>B571&amp;".3"</f>
        <v>3.179.3</v>
      </c>
      <c r="E573" s="1677" t="s">
        <v>969</v>
      </c>
      <c r="F573" s="2273" t="s">
        <v>328</v>
      </c>
      <c r="G573" s="1748" t="s">
        <v>22</v>
      </c>
      <c r="H573" s="828" t="s">
        <v>22</v>
      </c>
      <c r="I573" s="1748" t="s">
        <v>22</v>
      </c>
      <c r="J573" s="828" t="s">
        <v>22</v>
      </c>
      <c r="K573" s="1748" t="s">
        <v>22</v>
      </c>
      <c r="L573" s="828" t="s">
        <v>22</v>
      </c>
      <c r="M573" s="1748" t="s">
        <v>22</v>
      </c>
      <c r="N573" s="828" t="s">
        <v>22</v>
      </c>
      <c r="O573" s="1748" t="s">
        <v>22</v>
      </c>
      <c r="P573" s="828" t="s">
        <v>22</v>
      </c>
      <c r="Q573" s="1535" t="s">
        <v>970</v>
      </c>
      <c r="R573" s="1645"/>
      <c r="S573" s="1645"/>
      <c r="T573" s="1645"/>
      <c r="U573" s="1645"/>
      <c r="V573" s="1645"/>
      <c r="W573" s="1645"/>
      <c r="X573" s="1645"/>
      <c r="Y573" s="1645"/>
      <c r="Z573" s="1645"/>
      <c r="AA573" s="685"/>
      <c r="AB573" s="1645">
        <v>0</v>
      </c>
    </row>
    <row s="1860" customFormat="1" customHeight="1" ht="22.5">
      <c r="A574" s="1645"/>
      <c r="B574" s="2407" t="s">
        <v>1171</v>
      </c>
      <c r="C574" s="2408" t="s">
        <v>105</v>
      </c>
      <c r="D574" s="699" t="str">
        <f>B574&amp;".1"</f>
        <v>3.180.1</v>
      </c>
      <c r="E574" s="1677" t="s">
        <v>966</v>
      </c>
      <c r="F574" s="2273" t="s">
        <v>328</v>
      </c>
      <c r="G574" s="2363" t="s">
        <v>22</v>
      </c>
      <c r="H574" s="828" t="s">
        <v>22</v>
      </c>
      <c r="I574" s="2363" t="s">
        <v>983</v>
      </c>
      <c r="J574" s="828" t="s">
        <v>22</v>
      </c>
      <c r="K574" s="2363" t="s">
        <v>22</v>
      </c>
      <c r="L574" s="828" t="s">
        <v>22</v>
      </c>
      <c r="M574" s="2363" t="s">
        <v>22</v>
      </c>
      <c r="N574" s="828" t="s">
        <v>22</v>
      </c>
      <c r="O574" s="2363" t="s">
        <v>22</v>
      </c>
      <c r="P574" s="828" t="s">
        <v>22</v>
      </c>
      <c r="Q574" s="1535"/>
      <c r="R574" s="1645"/>
      <c r="S574" s="1645"/>
      <c r="T574" s="1645"/>
      <c r="U574" s="1645"/>
      <c r="V574" s="1645"/>
      <c r="W574" s="1645"/>
      <c r="X574" s="1645"/>
      <c r="Y574" s="1645"/>
      <c r="Z574" s="1645"/>
      <c r="AA574" s="685"/>
      <c r="AB574" s="1645">
        <v>0</v>
      </c>
    </row>
    <row s="1860" customFormat="1" customHeight="1" ht="15">
      <c r="A575" s="1645"/>
      <c r="B575" s="2407"/>
      <c r="C575" s="2408"/>
      <c r="D575" s="699" t="str">
        <f>B574&amp;".2"</f>
        <v>3.180.2</v>
      </c>
      <c r="E575" s="1677" t="s">
        <v>967</v>
      </c>
      <c r="F575" s="2273" t="s">
        <v>328</v>
      </c>
      <c r="G575" s="1748" t="s">
        <v>22</v>
      </c>
      <c r="H575" s="828" t="s">
        <v>22</v>
      </c>
      <c r="I575" s="1748">
        <v>46161</v>
      </c>
      <c r="J575" s="828" t="s">
        <v>22</v>
      </c>
      <c r="K575" s="1748" t="s">
        <v>22</v>
      </c>
      <c r="L575" s="828" t="s">
        <v>22</v>
      </c>
      <c r="M575" s="1748" t="s">
        <v>22</v>
      </c>
      <c r="N575" s="828" t="s">
        <v>22</v>
      </c>
      <c r="O575" s="1748" t="s">
        <v>22</v>
      </c>
      <c r="P575" s="828" t="s">
        <v>22</v>
      </c>
      <c r="Q575" s="1535" t="s">
        <v>968</v>
      </c>
      <c r="R575" s="1645"/>
      <c r="S575" s="1645"/>
      <c r="T575" s="1645"/>
      <c r="U575" s="1645"/>
      <c r="V575" s="1645"/>
      <c r="W575" s="1645"/>
      <c r="X575" s="1645"/>
      <c r="Y575" s="1645"/>
      <c r="Z575" s="1645"/>
      <c r="AA575" s="685"/>
      <c r="AB575" s="1645">
        <v>0</v>
      </c>
    </row>
    <row s="1860" customFormat="1" customHeight="1" ht="15">
      <c r="A576" s="1645"/>
      <c r="B576" s="2407"/>
      <c r="C576" s="2408"/>
      <c r="D576" s="699" t="str">
        <f>B574&amp;".3"</f>
        <v>3.180.3</v>
      </c>
      <c r="E576" s="1677" t="s">
        <v>969</v>
      </c>
      <c r="F576" s="2273" t="s">
        <v>328</v>
      </c>
      <c r="G576" s="1748" t="s">
        <v>22</v>
      </c>
      <c r="H576" s="828" t="s">
        <v>22</v>
      </c>
      <c r="I576" s="1748" t="s">
        <v>22</v>
      </c>
      <c r="J576" s="828" t="s">
        <v>22</v>
      </c>
      <c r="K576" s="1748" t="s">
        <v>22</v>
      </c>
      <c r="L576" s="828" t="s">
        <v>22</v>
      </c>
      <c r="M576" s="1748" t="s">
        <v>22</v>
      </c>
      <c r="N576" s="828" t="s">
        <v>22</v>
      </c>
      <c r="O576" s="1748" t="s">
        <v>22</v>
      </c>
      <c r="P576" s="828" t="s">
        <v>22</v>
      </c>
      <c r="Q576" s="1535" t="s">
        <v>970</v>
      </c>
      <c r="R576" s="1645"/>
      <c r="S576" s="1645"/>
      <c r="T576" s="1645"/>
      <c r="U576" s="1645"/>
      <c r="V576" s="1645"/>
      <c r="W576" s="1645"/>
      <c r="X576" s="1645"/>
      <c r="Y576" s="1645"/>
      <c r="Z576" s="1645"/>
      <c r="AA576" s="685"/>
      <c r="AB576" s="1645">
        <v>0</v>
      </c>
    </row>
    <row s="1860" customFormat="1" customHeight="1" ht="22.5">
      <c r="A577" s="1645"/>
      <c r="B577" s="2407" t="s">
        <v>1172</v>
      </c>
      <c r="C577" s="2408" t="s">
        <v>105</v>
      </c>
      <c r="D577" s="699" t="str">
        <f>B577&amp;".1"</f>
        <v>3.181.1</v>
      </c>
      <c r="E577" s="1677" t="s">
        <v>966</v>
      </c>
      <c r="F577" s="2273" t="s">
        <v>328</v>
      </c>
      <c r="G577" s="2363" t="s">
        <v>22</v>
      </c>
      <c r="H577" s="828" t="s">
        <v>22</v>
      </c>
      <c r="I577" s="2363" t="s">
        <v>983</v>
      </c>
      <c r="J577" s="828" t="s">
        <v>22</v>
      </c>
      <c r="K577" s="2363" t="s">
        <v>22</v>
      </c>
      <c r="L577" s="828" t="s">
        <v>22</v>
      </c>
      <c r="M577" s="2363" t="s">
        <v>22</v>
      </c>
      <c r="N577" s="828" t="s">
        <v>22</v>
      </c>
      <c r="O577" s="2363" t="s">
        <v>22</v>
      </c>
      <c r="P577" s="828" t="s">
        <v>22</v>
      </c>
      <c r="Q577" s="1535"/>
      <c r="R577" s="1645"/>
      <c r="S577" s="1645"/>
      <c r="T577" s="1645"/>
      <c r="U577" s="1645"/>
      <c r="V577" s="1645"/>
      <c r="W577" s="1645"/>
      <c r="X577" s="1645"/>
      <c r="Y577" s="1645"/>
      <c r="Z577" s="1645"/>
      <c r="AA577" s="685"/>
      <c r="AB577" s="1645">
        <v>0</v>
      </c>
    </row>
    <row s="1860" customFormat="1" customHeight="1" ht="15">
      <c r="A578" s="1645"/>
      <c r="B578" s="2407"/>
      <c r="C578" s="2408"/>
      <c r="D578" s="699" t="str">
        <f>B577&amp;".2"</f>
        <v>3.181.2</v>
      </c>
      <c r="E578" s="1677" t="s">
        <v>967</v>
      </c>
      <c r="F578" s="2273" t="s">
        <v>328</v>
      </c>
      <c r="G578" s="1748" t="s">
        <v>22</v>
      </c>
      <c r="H578" s="828" t="s">
        <v>22</v>
      </c>
      <c r="I578" s="1748">
        <v>46162</v>
      </c>
      <c r="J578" s="828" t="s">
        <v>22</v>
      </c>
      <c r="K578" s="1748" t="s">
        <v>22</v>
      </c>
      <c r="L578" s="828" t="s">
        <v>22</v>
      </c>
      <c r="M578" s="1748" t="s">
        <v>22</v>
      </c>
      <c r="N578" s="828" t="s">
        <v>22</v>
      </c>
      <c r="O578" s="1748" t="s">
        <v>22</v>
      </c>
      <c r="P578" s="828" t="s">
        <v>22</v>
      </c>
      <c r="Q578" s="1535" t="s">
        <v>968</v>
      </c>
      <c r="R578" s="1645"/>
      <c r="S578" s="1645"/>
      <c r="T578" s="1645"/>
      <c r="U578" s="1645"/>
      <c r="V578" s="1645"/>
      <c r="W578" s="1645"/>
      <c r="X578" s="1645"/>
      <c r="Y578" s="1645"/>
      <c r="Z578" s="1645"/>
      <c r="AA578" s="685"/>
      <c r="AB578" s="1645">
        <v>0</v>
      </c>
    </row>
    <row s="1860" customFormat="1" customHeight="1" ht="15">
      <c r="A579" s="1645"/>
      <c r="B579" s="2407"/>
      <c r="C579" s="2408"/>
      <c r="D579" s="699" t="str">
        <f>B577&amp;".3"</f>
        <v>3.181.3</v>
      </c>
      <c r="E579" s="1677" t="s">
        <v>969</v>
      </c>
      <c r="F579" s="2273" t="s">
        <v>328</v>
      </c>
      <c r="G579" s="1748" t="s">
        <v>22</v>
      </c>
      <c r="H579" s="828" t="s">
        <v>22</v>
      </c>
      <c r="I579" s="1748" t="s">
        <v>22</v>
      </c>
      <c r="J579" s="828" t="s">
        <v>22</v>
      </c>
      <c r="K579" s="1748" t="s">
        <v>22</v>
      </c>
      <c r="L579" s="828" t="s">
        <v>22</v>
      </c>
      <c r="M579" s="1748" t="s">
        <v>22</v>
      </c>
      <c r="N579" s="828" t="s">
        <v>22</v>
      </c>
      <c r="O579" s="1748" t="s">
        <v>22</v>
      </c>
      <c r="P579" s="828" t="s">
        <v>22</v>
      </c>
      <c r="Q579" s="1535" t="s">
        <v>970</v>
      </c>
      <c r="R579" s="1645"/>
      <c r="S579" s="1645"/>
      <c r="T579" s="1645"/>
      <c r="U579" s="1645"/>
      <c r="V579" s="1645"/>
      <c r="W579" s="1645"/>
      <c r="X579" s="1645"/>
      <c r="Y579" s="1645"/>
      <c r="Z579" s="1645"/>
      <c r="AA579" s="685"/>
      <c r="AB579" s="1645">
        <v>0</v>
      </c>
    </row>
    <row s="1860" customFormat="1" customHeight="1" ht="22.5">
      <c r="A580" s="1645"/>
      <c r="B580" s="2407" t="s">
        <v>1173</v>
      </c>
      <c r="C580" s="2408" t="s">
        <v>105</v>
      </c>
      <c r="D580" s="699" t="str">
        <f>B580&amp;".1"</f>
        <v>3.182.1</v>
      </c>
      <c r="E580" s="1677" t="s">
        <v>966</v>
      </c>
      <c r="F580" s="2273" t="s">
        <v>328</v>
      </c>
      <c r="G580" s="2363" t="s">
        <v>22</v>
      </c>
      <c r="H580" s="828" t="s">
        <v>22</v>
      </c>
      <c r="I580" s="2363" t="s">
        <v>983</v>
      </c>
      <c r="J580" s="828" t="s">
        <v>22</v>
      </c>
      <c r="K580" s="2363" t="s">
        <v>22</v>
      </c>
      <c r="L580" s="828" t="s">
        <v>22</v>
      </c>
      <c r="M580" s="2363" t="s">
        <v>22</v>
      </c>
      <c r="N580" s="828" t="s">
        <v>22</v>
      </c>
      <c r="O580" s="2363" t="s">
        <v>22</v>
      </c>
      <c r="P580" s="828" t="s">
        <v>22</v>
      </c>
      <c r="Q580" s="1535"/>
      <c r="R580" s="1645"/>
      <c r="S580" s="1645"/>
      <c r="T580" s="1645"/>
      <c r="U580" s="1645"/>
      <c r="V580" s="1645"/>
      <c r="W580" s="1645"/>
      <c r="X580" s="1645"/>
      <c r="Y580" s="1645"/>
      <c r="Z580" s="1645"/>
      <c r="AA580" s="685"/>
      <c r="AB580" s="1645">
        <v>0</v>
      </c>
    </row>
    <row s="1860" customFormat="1" customHeight="1" ht="15">
      <c r="A581" s="1645"/>
      <c r="B581" s="2407"/>
      <c r="C581" s="2408"/>
      <c r="D581" s="699" t="str">
        <f>B580&amp;".2"</f>
        <v>3.182.2</v>
      </c>
      <c r="E581" s="1677" t="s">
        <v>967</v>
      </c>
      <c r="F581" s="2273" t="s">
        <v>328</v>
      </c>
      <c r="G581" s="1748" t="s">
        <v>22</v>
      </c>
      <c r="H581" s="828" t="s">
        <v>22</v>
      </c>
      <c r="I581" s="1748">
        <v>46162</v>
      </c>
      <c r="J581" s="828" t="s">
        <v>22</v>
      </c>
      <c r="K581" s="1748" t="s">
        <v>22</v>
      </c>
      <c r="L581" s="828" t="s">
        <v>22</v>
      </c>
      <c r="M581" s="1748" t="s">
        <v>22</v>
      </c>
      <c r="N581" s="828" t="s">
        <v>22</v>
      </c>
      <c r="O581" s="1748" t="s">
        <v>22</v>
      </c>
      <c r="P581" s="828" t="s">
        <v>22</v>
      </c>
      <c r="Q581" s="1535" t="s">
        <v>968</v>
      </c>
      <c r="R581" s="1645"/>
      <c r="S581" s="1645"/>
      <c r="T581" s="1645"/>
      <c r="U581" s="1645"/>
      <c r="V581" s="1645"/>
      <c r="W581" s="1645"/>
      <c r="X581" s="1645"/>
      <c r="Y581" s="1645"/>
      <c r="Z581" s="1645"/>
      <c r="AA581" s="685"/>
      <c r="AB581" s="1645">
        <v>0</v>
      </c>
    </row>
    <row s="1860" customFormat="1" customHeight="1" ht="15">
      <c r="A582" s="1645"/>
      <c r="B582" s="2407"/>
      <c r="C582" s="2408"/>
      <c r="D582" s="699" t="str">
        <f>B580&amp;".3"</f>
        <v>3.182.3</v>
      </c>
      <c r="E582" s="1677" t="s">
        <v>969</v>
      </c>
      <c r="F582" s="2273" t="s">
        <v>328</v>
      </c>
      <c r="G582" s="1748" t="s">
        <v>22</v>
      </c>
      <c r="H582" s="828" t="s">
        <v>22</v>
      </c>
      <c r="I582" s="1748" t="s">
        <v>22</v>
      </c>
      <c r="J582" s="828" t="s">
        <v>22</v>
      </c>
      <c r="K582" s="1748" t="s">
        <v>22</v>
      </c>
      <c r="L582" s="828" t="s">
        <v>22</v>
      </c>
      <c r="M582" s="1748" t="s">
        <v>22</v>
      </c>
      <c r="N582" s="828" t="s">
        <v>22</v>
      </c>
      <c r="O582" s="1748" t="s">
        <v>22</v>
      </c>
      <c r="P582" s="828" t="s">
        <v>22</v>
      </c>
      <c r="Q582" s="1535" t="s">
        <v>970</v>
      </c>
      <c r="R582" s="1645"/>
      <c r="S582" s="1645"/>
      <c r="T582" s="1645"/>
      <c r="U582" s="1645"/>
      <c r="V582" s="1645"/>
      <c r="W582" s="1645"/>
      <c r="X582" s="1645"/>
      <c r="Y582" s="1645"/>
      <c r="Z582" s="1645"/>
      <c r="AA582" s="685"/>
      <c r="AB582" s="1645">
        <v>0</v>
      </c>
    </row>
    <row s="1860" customFormat="1" customHeight="1" ht="22.5">
      <c r="A583" s="1645"/>
      <c r="B583" s="2407" t="s">
        <v>1174</v>
      </c>
      <c r="C583" s="2408" t="s">
        <v>105</v>
      </c>
      <c r="D583" s="699" t="str">
        <f>B583&amp;".1"</f>
        <v>3.183.1</v>
      </c>
      <c r="E583" s="1677" t="s">
        <v>966</v>
      </c>
      <c r="F583" s="2273" t="s">
        <v>328</v>
      </c>
      <c r="G583" s="2363" t="s">
        <v>22</v>
      </c>
      <c r="H583" s="828" t="s">
        <v>22</v>
      </c>
      <c r="I583" s="2363" t="s">
        <v>983</v>
      </c>
      <c r="J583" s="828" t="s">
        <v>22</v>
      </c>
      <c r="K583" s="2363" t="s">
        <v>22</v>
      </c>
      <c r="L583" s="828" t="s">
        <v>22</v>
      </c>
      <c r="M583" s="2363" t="s">
        <v>22</v>
      </c>
      <c r="N583" s="828" t="s">
        <v>22</v>
      </c>
      <c r="O583" s="2363" t="s">
        <v>22</v>
      </c>
      <c r="P583" s="828" t="s">
        <v>22</v>
      </c>
      <c r="Q583" s="1535"/>
      <c r="R583" s="1645"/>
      <c r="S583" s="1645"/>
      <c r="T583" s="1645"/>
      <c r="U583" s="1645"/>
      <c r="V583" s="1645"/>
      <c r="W583" s="1645"/>
      <c r="X583" s="1645"/>
      <c r="Y583" s="1645"/>
      <c r="Z583" s="1645"/>
      <c r="AA583" s="685"/>
      <c r="AB583" s="1645">
        <v>0</v>
      </c>
    </row>
    <row s="1860" customFormat="1" customHeight="1" ht="15">
      <c r="A584" s="1645"/>
      <c r="B584" s="2407"/>
      <c r="C584" s="2408"/>
      <c r="D584" s="699" t="str">
        <f>B583&amp;".2"</f>
        <v>3.183.2</v>
      </c>
      <c r="E584" s="1677" t="s">
        <v>967</v>
      </c>
      <c r="F584" s="2273" t="s">
        <v>328</v>
      </c>
      <c r="G584" s="1748" t="s">
        <v>22</v>
      </c>
      <c r="H584" s="828" t="s">
        <v>22</v>
      </c>
      <c r="I584" s="1748">
        <v>46162</v>
      </c>
      <c r="J584" s="828" t="s">
        <v>22</v>
      </c>
      <c r="K584" s="1748" t="s">
        <v>22</v>
      </c>
      <c r="L584" s="828" t="s">
        <v>22</v>
      </c>
      <c r="M584" s="1748" t="s">
        <v>22</v>
      </c>
      <c r="N584" s="828" t="s">
        <v>22</v>
      </c>
      <c r="O584" s="1748" t="s">
        <v>22</v>
      </c>
      <c r="P584" s="828" t="s">
        <v>22</v>
      </c>
      <c r="Q584" s="1535" t="s">
        <v>968</v>
      </c>
      <c r="R584" s="1645"/>
      <c r="S584" s="1645"/>
      <c r="T584" s="1645"/>
      <c r="U584" s="1645"/>
      <c r="V584" s="1645"/>
      <c r="W584" s="1645"/>
      <c r="X584" s="1645"/>
      <c r="Y584" s="1645"/>
      <c r="Z584" s="1645"/>
      <c r="AA584" s="685"/>
      <c r="AB584" s="1645">
        <v>0</v>
      </c>
    </row>
    <row s="1860" customFormat="1" customHeight="1" ht="15">
      <c r="A585" s="1645"/>
      <c r="B585" s="2407"/>
      <c r="C585" s="2408"/>
      <c r="D585" s="699" t="str">
        <f>B583&amp;".3"</f>
        <v>3.183.3</v>
      </c>
      <c r="E585" s="1677" t="s">
        <v>969</v>
      </c>
      <c r="F585" s="2273" t="s">
        <v>328</v>
      </c>
      <c r="G585" s="1748" t="s">
        <v>22</v>
      </c>
      <c r="H585" s="828" t="s">
        <v>22</v>
      </c>
      <c r="I585" s="1748" t="s">
        <v>22</v>
      </c>
      <c r="J585" s="828" t="s">
        <v>22</v>
      </c>
      <c r="K585" s="1748" t="s">
        <v>22</v>
      </c>
      <c r="L585" s="828" t="s">
        <v>22</v>
      </c>
      <c r="M585" s="1748" t="s">
        <v>22</v>
      </c>
      <c r="N585" s="828" t="s">
        <v>22</v>
      </c>
      <c r="O585" s="1748" t="s">
        <v>22</v>
      </c>
      <c r="P585" s="828" t="s">
        <v>22</v>
      </c>
      <c r="Q585" s="1535" t="s">
        <v>970</v>
      </c>
      <c r="R585" s="1645"/>
      <c r="S585" s="1645"/>
      <c r="T585" s="1645"/>
      <c r="U585" s="1645"/>
      <c r="V585" s="1645"/>
      <c r="W585" s="1645"/>
      <c r="X585" s="1645"/>
      <c r="Y585" s="1645"/>
      <c r="Z585" s="1645"/>
      <c r="AA585" s="685"/>
      <c r="AB585" s="1645">
        <v>0</v>
      </c>
    </row>
    <row s="1860" customFormat="1" customHeight="1" ht="22.5">
      <c r="A586" s="1645"/>
      <c r="B586" s="2407" t="s">
        <v>1175</v>
      </c>
      <c r="C586" s="2408" t="s">
        <v>105</v>
      </c>
      <c r="D586" s="699" t="str">
        <f>B586&amp;".1"</f>
        <v>3.184.1</v>
      </c>
      <c r="E586" s="1677" t="s">
        <v>966</v>
      </c>
      <c r="F586" s="2273" t="s">
        <v>328</v>
      </c>
      <c r="G586" s="2363" t="s">
        <v>22</v>
      </c>
      <c r="H586" s="828" t="s">
        <v>22</v>
      </c>
      <c r="I586" s="2363" t="s">
        <v>983</v>
      </c>
      <c r="J586" s="828" t="s">
        <v>22</v>
      </c>
      <c r="K586" s="2363" t="s">
        <v>22</v>
      </c>
      <c r="L586" s="828" t="s">
        <v>22</v>
      </c>
      <c r="M586" s="2363" t="s">
        <v>22</v>
      </c>
      <c r="N586" s="828" t="s">
        <v>22</v>
      </c>
      <c r="O586" s="2363" t="s">
        <v>22</v>
      </c>
      <c r="P586" s="828" t="s">
        <v>22</v>
      </c>
      <c r="Q586" s="1535"/>
      <c r="R586" s="1645"/>
      <c r="S586" s="1645"/>
      <c r="T586" s="1645"/>
      <c r="U586" s="1645"/>
      <c r="V586" s="1645"/>
      <c r="W586" s="1645"/>
      <c r="X586" s="1645"/>
      <c r="Y586" s="1645"/>
      <c r="Z586" s="1645"/>
      <c r="AA586" s="685"/>
      <c r="AB586" s="1645">
        <v>0</v>
      </c>
    </row>
    <row s="1860" customFormat="1" customHeight="1" ht="15">
      <c r="A587" s="1645"/>
      <c r="B587" s="2407"/>
      <c r="C587" s="2408"/>
      <c r="D587" s="699" t="str">
        <f>B586&amp;".2"</f>
        <v>3.184.2</v>
      </c>
      <c r="E587" s="1677" t="s">
        <v>967</v>
      </c>
      <c r="F587" s="2273" t="s">
        <v>328</v>
      </c>
      <c r="G587" s="1748" t="s">
        <v>22</v>
      </c>
      <c r="H587" s="828" t="s">
        <v>22</v>
      </c>
      <c r="I587" s="1748">
        <v>46162</v>
      </c>
      <c r="J587" s="828" t="s">
        <v>22</v>
      </c>
      <c r="K587" s="1748" t="s">
        <v>22</v>
      </c>
      <c r="L587" s="828" t="s">
        <v>22</v>
      </c>
      <c r="M587" s="1748" t="s">
        <v>22</v>
      </c>
      <c r="N587" s="828" t="s">
        <v>22</v>
      </c>
      <c r="O587" s="1748" t="s">
        <v>22</v>
      </c>
      <c r="P587" s="828" t="s">
        <v>22</v>
      </c>
      <c r="Q587" s="1535" t="s">
        <v>968</v>
      </c>
      <c r="R587" s="1645"/>
      <c r="S587" s="1645"/>
      <c r="T587" s="1645"/>
      <c r="U587" s="1645"/>
      <c r="V587" s="1645"/>
      <c r="W587" s="1645"/>
      <c r="X587" s="1645"/>
      <c r="Y587" s="1645"/>
      <c r="Z587" s="1645"/>
      <c r="AA587" s="685"/>
      <c r="AB587" s="1645">
        <v>0</v>
      </c>
    </row>
    <row s="1860" customFormat="1" customHeight="1" ht="15">
      <c r="A588" s="1645"/>
      <c r="B588" s="2407"/>
      <c r="C588" s="2408"/>
      <c r="D588" s="699" t="str">
        <f>B586&amp;".3"</f>
        <v>3.184.3</v>
      </c>
      <c r="E588" s="1677" t="s">
        <v>969</v>
      </c>
      <c r="F588" s="2273" t="s">
        <v>328</v>
      </c>
      <c r="G588" s="1748" t="s">
        <v>22</v>
      </c>
      <c r="H588" s="828" t="s">
        <v>22</v>
      </c>
      <c r="I588" s="1748" t="s">
        <v>22</v>
      </c>
      <c r="J588" s="828" t="s">
        <v>22</v>
      </c>
      <c r="K588" s="1748" t="s">
        <v>22</v>
      </c>
      <c r="L588" s="828" t="s">
        <v>22</v>
      </c>
      <c r="M588" s="1748" t="s">
        <v>22</v>
      </c>
      <c r="N588" s="828" t="s">
        <v>22</v>
      </c>
      <c r="O588" s="1748" t="s">
        <v>22</v>
      </c>
      <c r="P588" s="828" t="s">
        <v>22</v>
      </c>
      <c r="Q588" s="1535" t="s">
        <v>970</v>
      </c>
      <c r="R588" s="1645"/>
      <c r="S588" s="1645"/>
      <c r="T588" s="1645"/>
      <c r="U588" s="1645"/>
      <c r="V588" s="1645"/>
      <c r="W588" s="1645"/>
      <c r="X588" s="1645"/>
      <c r="Y588" s="1645"/>
      <c r="Z588" s="1645"/>
      <c r="AA588" s="685"/>
      <c r="AB588" s="1645">
        <v>0</v>
      </c>
    </row>
    <row s="1860" customFormat="1" customHeight="1" ht="22.5">
      <c r="A589" s="1645"/>
      <c r="B589" s="2407" t="s">
        <v>1176</v>
      </c>
      <c r="C589" s="2408" t="s">
        <v>105</v>
      </c>
      <c r="D589" s="699" t="str">
        <f>B589&amp;".1"</f>
        <v>3.185.1</v>
      </c>
      <c r="E589" s="1677" t="s">
        <v>966</v>
      </c>
      <c r="F589" s="2273" t="s">
        <v>328</v>
      </c>
      <c r="G589" s="2363" t="s">
        <v>22</v>
      </c>
      <c r="H589" s="828" t="s">
        <v>22</v>
      </c>
      <c r="I589" s="2363" t="s">
        <v>983</v>
      </c>
      <c r="J589" s="828" t="s">
        <v>22</v>
      </c>
      <c r="K589" s="2363" t="s">
        <v>22</v>
      </c>
      <c r="L589" s="828" t="s">
        <v>22</v>
      </c>
      <c r="M589" s="2363" t="s">
        <v>22</v>
      </c>
      <c r="N589" s="828" t="s">
        <v>22</v>
      </c>
      <c r="O589" s="2363" t="s">
        <v>22</v>
      </c>
      <c r="P589" s="828" t="s">
        <v>22</v>
      </c>
      <c r="Q589" s="1535"/>
      <c r="R589" s="1645"/>
      <c r="S589" s="1645"/>
      <c r="T589" s="1645"/>
      <c r="U589" s="1645"/>
      <c r="V589" s="1645"/>
      <c r="W589" s="1645"/>
      <c r="X589" s="1645"/>
      <c r="Y589" s="1645"/>
      <c r="Z589" s="1645"/>
      <c r="AA589" s="685"/>
      <c r="AB589" s="1645">
        <v>0</v>
      </c>
    </row>
    <row s="1860" customFormat="1" customHeight="1" ht="15">
      <c r="A590" s="1645"/>
      <c r="B590" s="2407"/>
      <c r="C590" s="2408"/>
      <c r="D590" s="699" t="str">
        <f>B589&amp;".2"</f>
        <v>3.185.2</v>
      </c>
      <c r="E590" s="1677" t="s">
        <v>967</v>
      </c>
      <c r="F590" s="2273" t="s">
        <v>328</v>
      </c>
      <c r="G590" s="1748" t="s">
        <v>22</v>
      </c>
      <c r="H590" s="828" t="s">
        <v>22</v>
      </c>
      <c r="I590" s="1748">
        <v>46162</v>
      </c>
      <c r="J590" s="828" t="s">
        <v>22</v>
      </c>
      <c r="K590" s="1748" t="s">
        <v>22</v>
      </c>
      <c r="L590" s="828" t="s">
        <v>22</v>
      </c>
      <c r="M590" s="1748" t="s">
        <v>22</v>
      </c>
      <c r="N590" s="828" t="s">
        <v>22</v>
      </c>
      <c r="O590" s="1748" t="s">
        <v>22</v>
      </c>
      <c r="P590" s="828" t="s">
        <v>22</v>
      </c>
      <c r="Q590" s="1535" t="s">
        <v>968</v>
      </c>
      <c r="R590" s="1645"/>
      <c r="S590" s="1645"/>
      <c r="T590" s="1645"/>
      <c r="U590" s="1645"/>
      <c r="V590" s="1645"/>
      <c r="W590" s="1645"/>
      <c r="X590" s="1645"/>
      <c r="Y590" s="1645"/>
      <c r="Z590" s="1645"/>
      <c r="AA590" s="685"/>
      <c r="AB590" s="1645">
        <v>0</v>
      </c>
    </row>
    <row s="1860" customFormat="1" customHeight="1" ht="15">
      <c r="A591" s="1645"/>
      <c r="B591" s="2407"/>
      <c r="C591" s="2408"/>
      <c r="D591" s="699" t="str">
        <f>B589&amp;".3"</f>
        <v>3.185.3</v>
      </c>
      <c r="E591" s="1677" t="s">
        <v>969</v>
      </c>
      <c r="F591" s="2273" t="s">
        <v>328</v>
      </c>
      <c r="G591" s="1748" t="s">
        <v>22</v>
      </c>
      <c r="H591" s="828" t="s">
        <v>22</v>
      </c>
      <c r="I591" s="1748" t="s">
        <v>22</v>
      </c>
      <c r="J591" s="828" t="s">
        <v>22</v>
      </c>
      <c r="K591" s="1748" t="s">
        <v>22</v>
      </c>
      <c r="L591" s="828" t="s">
        <v>22</v>
      </c>
      <c r="M591" s="1748" t="s">
        <v>22</v>
      </c>
      <c r="N591" s="828" t="s">
        <v>22</v>
      </c>
      <c r="O591" s="1748" t="s">
        <v>22</v>
      </c>
      <c r="P591" s="828" t="s">
        <v>22</v>
      </c>
      <c r="Q591" s="1535" t="s">
        <v>970</v>
      </c>
      <c r="R591" s="1645"/>
      <c r="S591" s="1645"/>
      <c r="T591" s="1645"/>
      <c r="U591" s="1645"/>
      <c r="V591" s="1645"/>
      <c r="W591" s="1645"/>
      <c r="X591" s="1645"/>
      <c r="Y591" s="1645"/>
      <c r="Z591" s="1645"/>
      <c r="AA591" s="685"/>
      <c r="AB591" s="1645">
        <v>0</v>
      </c>
    </row>
    <row s="1860" customFormat="1" customHeight="1" ht="22.5">
      <c r="A592" s="1645"/>
      <c r="B592" s="2407" t="s">
        <v>1177</v>
      </c>
      <c r="C592" s="2408" t="s">
        <v>105</v>
      </c>
      <c r="D592" s="699" t="str">
        <f>B592&amp;".1"</f>
        <v>3.186.1</v>
      </c>
      <c r="E592" s="1677" t="s">
        <v>966</v>
      </c>
      <c r="F592" s="2273" t="s">
        <v>328</v>
      </c>
      <c r="G592" s="2363" t="s">
        <v>22</v>
      </c>
      <c r="H592" s="828" t="s">
        <v>22</v>
      </c>
      <c r="I592" s="2363" t="s">
        <v>983</v>
      </c>
      <c r="J592" s="828" t="s">
        <v>22</v>
      </c>
      <c r="K592" s="2363" t="s">
        <v>22</v>
      </c>
      <c r="L592" s="828" t="s">
        <v>22</v>
      </c>
      <c r="M592" s="2363" t="s">
        <v>22</v>
      </c>
      <c r="N592" s="828" t="s">
        <v>22</v>
      </c>
      <c r="O592" s="2363" t="s">
        <v>22</v>
      </c>
      <c r="P592" s="828" t="s">
        <v>22</v>
      </c>
      <c r="Q592" s="1535"/>
      <c r="R592" s="1645"/>
      <c r="S592" s="1645"/>
      <c r="T592" s="1645"/>
      <c r="U592" s="1645"/>
      <c r="V592" s="1645"/>
      <c r="W592" s="1645"/>
      <c r="X592" s="1645"/>
      <c r="Y592" s="1645"/>
      <c r="Z592" s="1645"/>
      <c r="AA592" s="685"/>
      <c r="AB592" s="1645">
        <v>0</v>
      </c>
    </row>
    <row s="1860" customFormat="1" customHeight="1" ht="15">
      <c r="A593" s="1645"/>
      <c r="B593" s="2407"/>
      <c r="C593" s="2408"/>
      <c r="D593" s="699" t="str">
        <f>B592&amp;".2"</f>
        <v>3.186.2</v>
      </c>
      <c r="E593" s="1677" t="s">
        <v>967</v>
      </c>
      <c r="F593" s="2273" t="s">
        <v>328</v>
      </c>
      <c r="G593" s="1748" t="s">
        <v>22</v>
      </c>
      <c r="H593" s="828" t="s">
        <v>22</v>
      </c>
      <c r="I593" s="1748">
        <v>46162</v>
      </c>
      <c r="J593" s="828" t="s">
        <v>22</v>
      </c>
      <c r="K593" s="1748" t="s">
        <v>22</v>
      </c>
      <c r="L593" s="828" t="s">
        <v>22</v>
      </c>
      <c r="M593" s="1748" t="s">
        <v>22</v>
      </c>
      <c r="N593" s="828" t="s">
        <v>22</v>
      </c>
      <c r="O593" s="1748" t="s">
        <v>22</v>
      </c>
      <c r="P593" s="828" t="s">
        <v>22</v>
      </c>
      <c r="Q593" s="1535" t="s">
        <v>968</v>
      </c>
      <c r="R593" s="1645"/>
      <c r="S593" s="1645"/>
      <c r="T593" s="1645"/>
      <c r="U593" s="1645"/>
      <c r="V593" s="1645"/>
      <c r="W593" s="1645"/>
      <c r="X593" s="1645"/>
      <c r="Y593" s="1645"/>
      <c r="Z593" s="1645"/>
      <c r="AA593" s="685"/>
      <c r="AB593" s="1645">
        <v>0</v>
      </c>
    </row>
    <row s="1860" customFormat="1" customHeight="1" ht="15">
      <c r="A594" s="1645"/>
      <c r="B594" s="2407"/>
      <c r="C594" s="2408"/>
      <c r="D594" s="699" t="str">
        <f>B592&amp;".3"</f>
        <v>3.186.3</v>
      </c>
      <c r="E594" s="1677" t="s">
        <v>969</v>
      </c>
      <c r="F594" s="2273" t="s">
        <v>328</v>
      </c>
      <c r="G594" s="1748" t="s">
        <v>22</v>
      </c>
      <c r="H594" s="828" t="s">
        <v>22</v>
      </c>
      <c r="I594" s="1748" t="s">
        <v>22</v>
      </c>
      <c r="J594" s="828" t="s">
        <v>22</v>
      </c>
      <c r="K594" s="1748" t="s">
        <v>22</v>
      </c>
      <c r="L594" s="828" t="s">
        <v>22</v>
      </c>
      <c r="M594" s="1748" t="s">
        <v>22</v>
      </c>
      <c r="N594" s="828" t="s">
        <v>22</v>
      </c>
      <c r="O594" s="1748" t="s">
        <v>22</v>
      </c>
      <c r="P594" s="828" t="s">
        <v>22</v>
      </c>
      <c r="Q594" s="1535" t="s">
        <v>970</v>
      </c>
      <c r="R594" s="1645"/>
      <c r="S594" s="1645"/>
      <c r="T594" s="1645"/>
      <c r="U594" s="1645"/>
      <c r="V594" s="1645"/>
      <c r="W594" s="1645"/>
      <c r="X594" s="1645"/>
      <c r="Y594" s="1645"/>
      <c r="Z594" s="1645"/>
      <c r="AA594" s="685"/>
      <c r="AB594" s="1645">
        <v>0</v>
      </c>
    </row>
    <row s="1860" customFormat="1" customHeight="1" ht="22.5">
      <c r="A595" s="1645"/>
      <c r="B595" s="2407" t="s">
        <v>1178</v>
      </c>
      <c r="C595" s="2408" t="s">
        <v>105</v>
      </c>
      <c r="D595" s="699" t="str">
        <f>B595&amp;".1"</f>
        <v>3.187.1</v>
      </c>
      <c r="E595" s="1677" t="s">
        <v>966</v>
      </c>
      <c r="F595" s="2273" t="s">
        <v>328</v>
      </c>
      <c r="G595" s="2363" t="s">
        <v>22</v>
      </c>
      <c r="H595" s="828" t="s">
        <v>22</v>
      </c>
      <c r="I595" s="2363" t="s">
        <v>983</v>
      </c>
      <c r="J595" s="828" t="s">
        <v>22</v>
      </c>
      <c r="K595" s="2363" t="s">
        <v>22</v>
      </c>
      <c r="L595" s="828" t="s">
        <v>22</v>
      </c>
      <c r="M595" s="2363" t="s">
        <v>22</v>
      </c>
      <c r="N595" s="828" t="s">
        <v>22</v>
      </c>
      <c r="O595" s="2363" t="s">
        <v>22</v>
      </c>
      <c r="P595" s="828" t="s">
        <v>22</v>
      </c>
      <c r="Q595" s="1535"/>
      <c r="R595" s="1645"/>
      <c r="S595" s="1645"/>
      <c r="T595" s="1645"/>
      <c r="U595" s="1645"/>
      <c r="V595" s="1645"/>
      <c r="W595" s="1645"/>
      <c r="X595" s="1645"/>
      <c r="Y595" s="1645"/>
      <c r="Z595" s="1645"/>
      <c r="AA595" s="685"/>
      <c r="AB595" s="1645">
        <v>0</v>
      </c>
    </row>
    <row s="1860" customFormat="1" customHeight="1" ht="15">
      <c r="A596" s="1645"/>
      <c r="B596" s="2407"/>
      <c r="C596" s="2408"/>
      <c r="D596" s="699" t="str">
        <f>B595&amp;".2"</f>
        <v>3.187.2</v>
      </c>
      <c r="E596" s="1677" t="s">
        <v>967</v>
      </c>
      <c r="F596" s="2273" t="s">
        <v>328</v>
      </c>
      <c r="G596" s="1748" t="s">
        <v>22</v>
      </c>
      <c r="H596" s="828" t="s">
        <v>22</v>
      </c>
      <c r="I596" s="1748">
        <v>46162</v>
      </c>
      <c r="J596" s="828" t="s">
        <v>22</v>
      </c>
      <c r="K596" s="1748" t="s">
        <v>22</v>
      </c>
      <c r="L596" s="828" t="s">
        <v>22</v>
      </c>
      <c r="M596" s="1748" t="s">
        <v>22</v>
      </c>
      <c r="N596" s="828" t="s">
        <v>22</v>
      </c>
      <c r="O596" s="1748" t="s">
        <v>22</v>
      </c>
      <c r="P596" s="828" t="s">
        <v>22</v>
      </c>
      <c r="Q596" s="1535" t="s">
        <v>968</v>
      </c>
      <c r="R596" s="1645"/>
      <c r="S596" s="1645"/>
      <c r="T596" s="1645"/>
      <c r="U596" s="1645"/>
      <c r="V596" s="1645"/>
      <c r="W596" s="1645"/>
      <c r="X596" s="1645"/>
      <c r="Y596" s="1645"/>
      <c r="Z596" s="1645"/>
      <c r="AA596" s="685"/>
      <c r="AB596" s="1645">
        <v>0</v>
      </c>
    </row>
    <row s="1860" customFormat="1" customHeight="1" ht="15">
      <c r="A597" s="1645"/>
      <c r="B597" s="2407"/>
      <c r="C597" s="2408"/>
      <c r="D597" s="699" t="str">
        <f>B595&amp;".3"</f>
        <v>3.187.3</v>
      </c>
      <c r="E597" s="1677" t="s">
        <v>969</v>
      </c>
      <c r="F597" s="2273" t="s">
        <v>328</v>
      </c>
      <c r="G597" s="1748" t="s">
        <v>22</v>
      </c>
      <c r="H597" s="828" t="s">
        <v>22</v>
      </c>
      <c r="I597" s="1748" t="s">
        <v>22</v>
      </c>
      <c r="J597" s="828" t="s">
        <v>22</v>
      </c>
      <c r="K597" s="1748" t="s">
        <v>22</v>
      </c>
      <c r="L597" s="828" t="s">
        <v>22</v>
      </c>
      <c r="M597" s="1748" t="s">
        <v>22</v>
      </c>
      <c r="N597" s="828" t="s">
        <v>22</v>
      </c>
      <c r="O597" s="1748" t="s">
        <v>22</v>
      </c>
      <c r="P597" s="828" t="s">
        <v>22</v>
      </c>
      <c r="Q597" s="1535" t="s">
        <v>970</v>
      </c>
      <c r="R597" s="1645"/>
      <c r="S597" s="1645"/>
      <c r="T597" s="1645"/>
      <c r="U597" s="1645"/>
      <c r="V597" s="1645"/>
      <c r="W597" s="1645"/>
      <c r="X597" s="1645"/>
      <c r="Y597" s="1645"/>
      <c r="Z597" s="1645"/>
      <c r="AA597" s="685"/>
      <c r="AB597" s="1645">
        <v>0</v>
      </c>
    </row>
    <row s="1860" customFormat="1" customHeight="1" ht="22.5">
      <c r="A598" s="1645"/>
      <c r="B598" s="2407" t="s">
        <v>1179</v>
      </c>
      <c r="C598" s="2408" t="s">
        <v>105</v>
      </c>
      <c r="D598" s="699" t="str">
        <f>B598&amp;".1"</f>
        <v>3.188.1</v>
      </c>
      <c r="E598" s="1677" t="s">
        <v>966</v>
      </c>
      <c r="F598" s="2273" t="s">
        <v>328</v>
      </c>
      <c r="G598" s="2363" t="s">
        <v>22</v>
      </c>
      <c r="H598" s="828" t="s">
        <v>22</v>
      </c>
      <c r="I598" s="2363" t="s">
        <v>1180</v>
      </c>
      <c r="J598" s="828" t="s">
        <v>22</v>
      </c>
      <c r="K598" s="2363" t="s">
        <v>22</v>
      </c>
      <c r="L598" s="828" t="s">
        <v>22</v>
      </c>
      <c r="M598" s="2363" t="s">
        <v>22</v>
      </c>
      <c r="N598" s="828" t="s">
        <v>22</v>
      </c>
      <c r="O598" s="2363" t="s">
        <v>22</v>
      </c>
      <c r="P598" s="828" t="s">
        <v>22</v>
      </c>
      <c r="Q598" s="1535"/>
      <c r="R598" s="1645"/>
      <c r="S598" s="1645"/>
      <c r="T598" s="1645"/>
      <c r="U598" s="1645"/>
      <c r="V598" s="1645"/>
      <c r="W598" s="1645"/>
      <c r="X598" s="1645"/>
      <c r="Y598" s="1645"/>
      <c r="Z598" s="1645"/>
      <c r="AA598" s="685"/>
      <c r="AB598" s="1645">
        <v>0</v>
      </c>
    </row>
    <row s="1860" customFormat="1" customHeight="1" ht="15">
      <c r="A599" s="1645"/>
      <c r="B599" s="2407"/>
      <c r="C599" s="2408"/>
      <c r="D599" s="699" t="str">
        <f>B598&amp;".2"</f>
        <v>3.188.2</v>
      </c>
      <c r="E599" s="1677" t="s">
        <v>967</v>
      </c>
      <c r="F599" s="2273" t="s">
        <v>328</v>
      </c>
      <c r="G599" s="1748" t="s">
        <v>22</v>
      </c>
      <c r="H599" s="828" t="s">
        <v>22</v>
      </c>
      <c r="I599" s="1748">
        <v>46163</v>
      </c>
      <c r="J599" s="828" t="s">
        <v>22</v>
      </c>
      <c r="K599" s="1748" t="s">
        <v>22</v>
      </c>
      <c r="L599" s="828" t="s">
        <v>22</v>
      </c>
      <c r="M599" s="1748" t="s">
        <v>22</v>
      </c>
      <c r="N599" s="828" t="s">
        <v>22</v>
      </c>
      <c r="O599" s="1748" t="s">
        <v>22</v>
      </c>
      <c r="P599" s="828" t="s">
        <v>22</v>
      </c>
      <c r="Q599" s="1535" t="s">
        <v>968</v>
      </c>
      <c r="R599" s="1645"/>
      <c r="S599" s="1645"/>
      <c r="T599" s="1645"/>
      <c r="U599" s="1645"/>
      <c r="V599" s="1645"/>
      <c r="W599" s="1645"/>
      <c r="X599" s="1645"/>
      <c r="Y599" s="1645"/>
      <c r="Z599" s="1645"/>
      <c r="AA599" s="685"/>
      <c r="AB599" s="1645">
        <v>0</v>
      </c>
    </row>
    <row s="1860" customFormat="1" customHeight="1" ht="15">
      <c r="A600" s="1645"/>
      <c r="B600" s="2407"/>
      <c r="C600" s="2408"/>
      <c r="D600" s="699" t="str">
        <f>B598&amp;".3"</f>
        <v>3.188.3</v>
      </c>
      <c r="E600" s="1677" t="s">
        <v>969</v>
      </c>
      <c r="F600" s="2273" t="s">
        <v>328</v>
      </c>
      <c r="G600" s="1748" t="s">
        <v>22</v>
      </c>
      <c r="H600" s="828" t="s">
        <v>22</v>
      </c>
      <c r="I600" s="1748" t="s">
        <v>22</v>
      </c>
      <c r="J600" s="828" t="s">
        <v>22</v>
      </c>
      <c r="K600" s="1748" t="s">
        <v>22</v>
      </c>
      <c r="L600" s="828" t="s">
        <v>22</v>
      </c>
      <c r="M600" s="1748" t="s">
        <v>22</v>
      </c>
      <c r="N600" s="828" t="s">
        <v>22</v>
      </c>
      <c r="O600" s="1748" t="s">
        <v>22</v>
      </c>
      <c r="P600" s="828" t="s">
        <v>22</v>
      </c>
      <c r="Q600" s="1535" t="s">
        <v>970</v>
      </c>
      <c r="R600" s="1645"/>
      <c r="S600" s="1645"/>
      <c r="T600" s="1645"/>
      <c r="U600" s="1645"/>
      <c r="V600" s="1645"/>
      <c r="W600" s="1645"/>
      <c r="X600" s="1645"/>
      <c r="Y600" s="1645"/>
      <c r="Z600" s="1645"/>
      <c r="AA600" s="685"/>
      <c r="AB600" s="1645">
        <v>0</v>
      </c>
    </row>
    <row s="1860" customFormat="1" customHeight="1" ht="22.5">
      <c r="A601" s="1645"/>
      <c r="B601" s="2407" t="s">
        <v>1181</v>
      </c>
      <c r="C601" s="2408" t="s">
        <v>105</v>
      </c>
      <c r="D601" s="699" t="str">
        <f>B601&amp;".1"</f>
        <v>3.189.1</v>
      </c>
      <c r="E601" s="1677" t="s">
        <v>966</v>
      </c>
      <c r="F601" s="2273" t="s">
        <v>328</v>
      </c>
      <c r="G601" s="2363" t="s">
        <v>22</v>
      </c>
      <c r="H601" s="828" t="s">
        <v>22</v>
      </c>
      <c r="I601" s="2363" t="s">
        <v>983</v>
      </c>
      <c r="J601" s="828" t="s">
        <v>22</v>
      </c>
      <c r="K601" s="2363" t="s">
        <v>22</v>
      </c>
      <c r="L601" s="828" t="s">
        <v>22</v>
      </c>
      <c r="M601" s="2363" t="s">
        <v>22</v>
      </c>
      <c r="N601" s="828" t="s">
        <v>22</v>
      </c>
      <c r="O601" s="2363" t="s">
        <v>22</v>
      </c>
      <c r="P601" s="828" t="s">
        <v>22</v>
      </c>
      <c r="Q601" s="1535"/>
      <c r="R601" s="1645"/>
      <c r="S601" s="1645"/>
      <c r="T601" s="1645"/>
      <c r="U601" s="1645"/>
      <c r="V601" s="1645"/>
      <c r="W601" s="1645"/>
      <c r="X601" s="1645"/>
      <c r="Y601" s="1645"/>
      <c r="Z601" s="1645"/>
      <c r="AA601" s="685"/>
      <c r="AB601" s="1645">
        <v>0</v>
      </c>
    </row>
    <row s="1860" customFormat="1" customHeight="1" ht="15">
      <c r="A602" s="1645"/>
      <c r="B602" s="2407"/>
      <c r="C602" s="2408"/>
      <c r="D602" s="699" t="str">
        <f>B601&amp;".2"</f>
        <v>3.189.2</v>
      </c>
      <c r="E602" s="1677" t="s">
        <v>967</v>
      </c>
      <c r="F602" s="2273" t="s">
        <v>328</v>
      </c>
      <c r="G602" s="1748" t="s">
        <v>22</v>
      </c>
      <c r="H602" s="828" t="s">
        <v>22</v>
      </c>
      <c r="I602" s="1748">
        <v>46163</v>
      </c>
      <c r="J602" s="828" t="s">
        <v>22</v>
      </c>
      <c r="K602" s="1748" t="s">
        <v>22</v>
      </c>
      <c r="L602" s="828" t="s">
        <v>22</v>
      </c>
      <c r="M602" s="1748" t="s">
        <v>22</v>
      </c>
      <c r="N602" s="828" t="s">
        <v>22</v>
      </c>
      <c r="O602" s="1748" t="s">
        <v>22</v>
      </c>
      <c r="P602" s="828" t="s">
        <v>22</v>
      </c>
      <c r="Q602" s="1535" t="s">
        <v>968</v>
      </c>
      <c r="R602" s="1645"/>
      <c r="S602" s="1645"/>
      <c r="T602" s="1645"/>
      <c r="U602" s="1645"/>
      <c r="V602" s="1645"/>
      <c r="W602" s="1645"/>
      <c r="X602" s="1645"/>
      <c r="Y602" s="1645"/>
      <c r="Z602" s="1645"/>
      <c r="AA602" s="685"/>
      <c r="AB602" s="1645">
        <v>0</v>
      </c>
    </row>
    <row s="1860" customFormat="1" customHeight="1" ht="15">
      <c r="A603" s="1645"/>
      <c r="B603" s="2407"/>
      <c r="C603" s="2408"/>
      <c r="D603" s="699" t="str">
        <f>B601&amp;".3"</f>
        <v>3.189.3</v>
      </c>
      <c r="E603" s="1677" t="s">
        <v>969</v>
      </c>
      <c r="F603" s="2273" t="s">
        <v>328</v>
      </c>
      <c r="G603" s="1748" t="s">
        <v>22</v>
      </c>
      <c r="H603" s="828" t="s">
        <v>22</v>
      </c>
      <c r="I603" s="1748" t="s">
        <v>22</v>
      </c>
      <c r="J603" s="828" t="s">
        <v>22</v>
      </c>
      <c r="K603" s="1748" t="s">
        <v>22</v>
      </c>
      <c r="L603" s="828" t="s">
        <v>22</v>
      </c>
      <c r="M603" s="1748" t="s">
        <v>22</v>
      </c>
      <c r="N603" s="828" t="s">
        <v>22</v>
      </c>
      <c r="O603" s="1748" t="s">
        <v>22</v>
      </c>
      <c r="P603" s="828" t="s">
        <v>22</v>
      </c>
      <c r="Q603" s="1535" t="s">
        <v>970</v>
      </c>
      <c r="R603" s="1645"/>
      <c r="S603" s="1645"/>
      <c r="T603" s="1645"/>
      <c r="U603" s="1645"/>
      <c r="V603" s="1645"/>
      <c r="W603" s="1645"/>
      <c r="X603" s="1645"/>
      <c r="Y603" s="1645"/>
      <c r="Z603" s="1645"/>
      <c r="AA603" s="685"/>
      <c r="AB603" s="1645">
        <v>0</v>
      </c>
    </row>
    <row s="1860" customFormat="1" customHeight="1" ht="22.5">
      <c r="A604" s="1645"/>
      <c r="B604" s="2407" t="s">
        <v>1182</v>
      </c>
      <c r="C604" s="2408" t="s">
        <v>105</v>
      </c>
      <c r="D604" s="699" t="str">
        <f>B604&amp;".1"</f>
        <v>3.190.1</v>
      </c>
      <c r="E604" s="1677" t="s">
        <v>966</v>
      </c>
      <c r="F604" s="2273" t="s">
        <v>328</v>
      </c>
      <c r="G604" s="2363" t="s">
        <v>22</v>
      </c>
      <c r="H604" s="828" t="s">
        <v>22</v>
      </c>
      <c r="I604" s="2363" t="s">
        <v>983</v>
      </c>
      <c r="J604" s="828" t="s">
        <v>22</v>
      </c>
      <c r="K604" s="2363" t="s">
        <v>22</v>
      </c>
      <c r="L604" s="828" t="s">
        <v>22</v>
      </c>
      <c r="M604" s="2363" t="s">
        <v>22</v>
      </c>
      <c r="N604" s="828" t="s">
        <v>22</v>
      </c>
      <c r="O604" s="2363" t="s">
        <v>22</v>
      </c>
      <c r="P604" s="828" t="s">
        <v>22</v>
      </c>
      <c r="Q604" s="1535"/>
      <c r="R604" s="1645"/>
      <c r="S604" s="1645"/>
      <c r="T604" s="1645"/>
      <c r="U604" s="1645"/>
      <c r="V604" s="1645"/>
      <c r="W604" s="1645"/>
      <c r="X604" s="1645"/>
      <c r="Y604" s="1645"/>
      <c r="Z604" s="1645"/>
      <c r="AA604" s="685"/>
      <c r="AB604" s="1645">
        <v>0</v>
      </c>
    </row>
    <row s="1860" customFormat="1" customHeight="1" ht="15">
      <c r="A605" s="1645"/>
      <c r="B605" s="2407"/>
      <c r="C605" s="2408"/>
      <c r="D605" s="699" t="str">
        <f>B604&amp;".2"</f>
        <v>3.190.2</v>
      </c>
      <c r="E605" s="1677" t="s">
        <v>967</v>
      </c>
      <c r="F605" s="2273" t="s">
        <v>328</v>
      </c>
      <c r="G605" s="1748" t="s">
        <v>22</v>
      </c>
      <c r="H605" s="828" t="s">
        <v>22</v>
      </c>
      <c r="I605" s="1748">
        <v>46163</v>
      </c>
      <c r="J605" s="828" t="s">
        <v>22</v>
      </c>
      <c r="K605" s="1748" t="s">
        <v>22</v>
      </c>
      <c r="L605" s="828" t="s">
        <v>22</v>
      </c>
      <c r="M605" s="1748" t="s">
        <v>22</v>
      </c>
      <c r="N605" s="828" t="s">
        <v>22</v>
      </c>
      <c r="O605" s="1748" t="s">
        <v>22</v>
      </c>
      <c r="P605" s="828" t="s">
        <v>22</v>
      </c>
      <c r="Q605" s="1535" t="s">
        <v>968</v>
      </c>
      <c r="R605" s="1645"/>
      <c r="S605" s="1645"/>
      <c r="T605" s="1645"/>
      <c r="U605" s="1645"/>
      <c r="V605" s="1645"/>
      <c r="W605" s="1645"/>
      <c r="X605" s="1645"/>
      <c r="Y605" s="1645"/>
      <c r="Z605" s="1645"/>
      <c r="AA605" s="685"/>
      <c r="AB605" s="1645">
        <v>0</v>
      </c>
    </row>
    <row s="1860" customFormat="1" customHeight="1" ht="15">
      <c r="A606" s="1645"/>
      <c r="B606" s="2407"/>
      <c r="C606" s="2408"/>
      <c r="D606" s="699" t="str">
        <f>B604&amp;".3"</f>
        <v>3.190.3</v>
      </c>
      <c r="E606" s="1677" t="s">
        <v>969</v>
      </c>
      <c r="F606" s="2273" t="s">
        <v>328</v>
      </c>
      <c r="G606" s="1748" t="s">
        <v>22</v>
      </c>
      <c r="H606" s="828" t="s">
        <v>22</v>
      </c>
      <c r="I606" s="1748" t="s">
        <v>22</v>
      </c>
      <c r="J606" s="828" t="s">
        <v>22</v>
      </c>
      <c r="K606" s="1748" t="s">
        <v>22</v>
      </c>
      <c r="L606" s="828" t="s">
        <v>22</v>
      </c>
      <c r="M606" s="1748" t="s">
        <v>22</v>
      </c>
      <c r="N606" s="828" t="s">
        <v>22</v>
      </c>
      <c r="O606" s="1748" t="s">
        <v>22</v>
      </c>
      <c r="P606" s="828" t="s">
        <v>22</v>
      </c>
      <c r="Q606" s="1535" t="s">
        <v>970</v>
      </c>
      <c r="R606" s="1645"/>
      <c r="S606" s="1645"/>
      <c r="T606" s="1645"/>
      <c r="U606" s="1645"/>
      <c r="V606" s="1645"/>
      <c r="W606" s="1645"/>
      <c r="X606" s="1645"/>
      <c r="Y606" s="1645"/>
      <c r="Z606" s="1645"/>
      <c r="AA606" s="685"/>
      <c r="AB606" s="1645">
        <v>0</v>
      </c>
    </row>
    <row s="1860" customFormat="1" customHeight="1" ht="22.5">
      <c r="A607" s="1645"/>
      <c r="B607" s="2407" t="s">
        <v>1183</v>
      </c>
      <c r="C607" s="2408" t="s">
        <v>105</v>
      </c>
      <c r="D607" s="699" t="str">
        <f>B607&amp;".1"</f>
        <v>3.191.1</v>
      </c>
      <c r="E607" s="1677" t="s">
        <v>966</v>
      </c>
      <c r="F607" s="2273" t="s">
        <v>328</v>
      </c>
      <c r="G607" s="2363" t="s">
        <v>22</v>
      </c>
      <c r="H607" s="828" t="s">
        <v>22</v>
      </c>
      <c r="I607" s="2363" t="s">
        <v>983</v>
      </c>
      <c r="J607" s="828" t="s">
        <v>22</v>
      </c>
      <c r="K607" s="2363" t="s">
        <v>22</v>
      </c>
      <c r="L607" s="828" t="s">
        <v>22</v>
      </c>
      <c r="M607" s="2363" t="s">
        <v>22</v>
      </c>
      <c r="N607" s="828" t="s">
        <v>22</v>
      </c>
      <c r="O607" s="2363" t="s">
        <v>22</v>
      </c>
      <c r="P607" s="828" t="s">
        <v>22</v>
      </c>
      <c r="Q607" s="1535"/>
      <c r="R607" s="1645"/>
      <c r="S607" s="1645"/>
      <c r="T607" s="1645"/>
      <c r="U607" s="1645"/>
      <c r="V607" s="1645"/>
      <c r="W607" s="1645"/>
      <c r="X607" s="1645"/>
      <c r="Y607" s="1645"/>
      <c r="Z607" s="1645"/>
      <c r="AA607" s="685"/>
      <c r="AB607" s="1645">
        <v>0</v>
      </c>
    </row>
    <row s="1860" customFormat="1" customHeight="1" ht="15">
      <c r="A608" s="1645"/>
      <c r="B608" s="2407"/>
      <c r="C608" s="2408"/>
      <c r="D608" s="699" t="str">
        <f>B607&amp;".2"</f>
        <v>3.191.2</v>
      </c>
      <c r="E608" s="1677" t="s">
        <v>967</v>
      </c>
      <c r="F608" s="2273" t="s">
        <v>328</v>
      </c>
      <c r="G608" s="1748" t="s">
        <v>22</v>
      </c>
      <c r="H608" s="828" t="s">
        <v>22</v>
      </c>
      <c r="I608" s="1748">
        <v>46163</v>
      </c>
      <c r="J608" s="828" t="s">
        <v>22</v>
      </c>
      <c r="K608" s="1748" t="s">
        <v>22</v>
      </c>
      <c r="L608" s="828" t="s">
        <v>22</v>
      </c>
      <c r="M608" s="1748" t="s">
        <v>22</v>
      </c>
      <c r="N608" s="828" t="s">
        <v>22</v>
      </c>
      <c r="O608" s="1748" t="s">
        <v>22</v>
      </c>
      <c r="P608" s="828" t="s">
        <v>22</v>
      </c>
      <c r="Q608" s="1535" t="s">
        <v>968</v>
      </c>
      <c r="R608" s="1645"/>
      <c r="S608" s="1645"/>
      <c r="T608" s="1645"/>
      <c r="U608" s="1645"/>
      <c r="V608" s="1645"/>
      <c r="W608" s="1645"/>
      <c r="X608" s="1645"/>
      <c r="Y608" s="1645"/>
      <c r="Z608" s="1645"/>
      <c r="AA608" s="685"/>
      <c r="AB608" s="1645">
        <v>0</v>
      </c>
    </row>
    <row s="1860" customFormat="1" customHeight="1" ht="15">
      <c r="A609" s="1645"/>
      <c r="B609" s="2407"/>
      <c r="C609" s="2408"/>
      <c r="D609" s="699" t="str">
        <f>B607&amp;".3"</f>
        <v>3.191.3</v>
      </c>
      <c r="E609" s="1677" t="s">
        <v>969</v>
      </c>
      <c r="F609" s="2273" t="s">
        <v>328</v>
      </c>
      <c r="G609" s="1748" t="s">
        <v>22</v>
      </c>
      <c r="H609" s="828" t="s">
        <v>22</v>
      </c>
      <c r="I609" s="1748" t="s">
        <v>22</v>
      </c>
      <c r="J609" s="828" t="s">
        <v>22</v>
      </c>
      <c r="K609" s="1748" t="s">
        <v>22</v>
      </c>
      <c r="L609" s="828" t="s">
        <v>22</v>
      </c>
      <c r="M609" s="1748" t="s">
        <v>22</v>
      </c>
      <c r="N609" s="828" t="s">
        <v>22</v>
      </c>
      <c r="O609" s="1748" t="s">
        <v>22</v>
      </c>
      <c r="P609" s="828" t="s">
        <v>22</v>
      </c>
      <c r="Q609" s="1535" t="s">
        <v>970</v>
      </c>
      <c r="R609" s="1645"/>
      <c r="S609" s="1645"/>
      <c r="T609" s="1645"/>
      <c r="U609" s="1645"/>
      <c r="V609" s="1645"/>
      <c r="W609" s="1645"/>
      <c r="X609" s="1645"/>
      <c r="Y609" s="1645"/>
      <c r="Z609" s="1645"/>
      <c r="AA609" s="685"/>
      <c r="AB609" s="1645">
        <v>0</v>
      </c>
    </row>
    <row s="1860" customFormat="1" customHeight="1" ht="22.5">
      <c r="A610" s="1645"/>
      <c r="B610" s="2407" t="s">
        <v>1184</v>
      </c>
      <c r="C610" s="2408" t="s">
        <v>105</v>
      </c>
      <c r="D610" s="699" t="str">
        <f>B610&amp;".1"</f>
        <v>3.192.1</v>
      </c>
      <c r="E610" s="1677" t="s">
        <v>966</v>
      </c>
      <c r="F610" s="2273" t="s">
        <v>328</v>
      </c>
      <c r="G610" s="2363" t="s">
        <v>22</v>
      </c>
      <c r="H610" s="828" t="s">
        <v>22</v>
      </c>
      <c r="I610" s="2363" t="s">
        <v>983</v>
      </c>
      <c r="J610" s="828" t="s">
        <v>22</v>
      </c>
      <c r="K610" s="2363" t="s">
        <v>22</v>
      </c>
      <c r="L610" s="828" t="s">
        <v>22</v>
      </c>
      <c r="M610" s="2363" t="s">
        <v>22</v>
      </c>
      <c r="N610" s="828" t="s">
        <v>22</v>
      </c>
      <c r="O610" s="2363" t="s">
        <v>22</v>
      </c>
      <c r="P610" s="828" t="s">
        <v>22</v>
      </c>
      <c r="Q610" s="1535"/>
      <c r="R610" s="1645"/>
      <c r="S610" s="1645"/>
      <c r="T610" s="1645"/>
      <c r="U610" s="1645"/>
      <c r="V610" s="1645"/>
      <c r="W610" s="1645"/>
      <c r="X610" s="1645"/>
      <c r="Y610" s="1645"/>
      <c r="Z610" s="1645"/>
      <c r="AA610" s="685"/>
      <c r="AB610" s="1645">
        <v>0</v>
      </c>
    </row>
    <row s="1860" customFormat="1" customHeight="1" ht="15">
      <c r="A611" s="1645"/>
      <c r="B611" s="2407"/>
      <c r="C611" s="2408"/>
      <c r="D611" s="699" t="str">
        <f>B610&amp;".2"</f>
        <v>3.192.2</v>
      </c>
      <c r="E611" s="1677" t="s">
        <v>967</v>
      </c>
      <c r="F611" s="2273" t="s">
        <v>328</v>
      </c>
      <c r="G611" s="1748" t="s">
        <v>22</v>
      </c>
      <c r="H611" s="828" t="s">
        <v>22</v>
      </c>
      <c r="I611" s="1748">
        <v>46163</v>
      </c>
      <c r="J611" s="828" t="s">
        <v>22</v>
      </c>
      <c r="K611" s="1748" t="s">
        <v>22</v>
      </c>
      <c r="L611" s="828" t="s">
        <v>22</v>
      </c>
      <c r="M611" s="1748" t="s">
        <v>22</v>
      </c>
      <c r="N611" s="828" t="s">
        <v>22</v>
      </c>
      <c r="O611" s="1748" t="s">
        <v>22</v>
      </c>
      <c r="P611" s="828" t="s">
        <v>22</v>
      </c>
      <c r="Q611" s="1535" t="s">
        <v>968</v>
      </c>
      <c r="R611" s="1645"/>
      <c r="S611" s="1645"/>
      <c r="T611" s="1645"/>
      <c r="U611" s="1645"/>
      <c r="V611" s="1645"/>
      <c r="W611" s="1645"/>
      <c r="X611" s="1645"/>
      <c r="Y611" s="1645"/>
      <c r="Z611" s="1645"/>
      <c r="AA611" s="685"/>
      <c r="AB611" s="1645">
        <v>0</v>
      </c>
    </row>
    <row s="1860" customFormat="1" customHeight="1" ht="15">
      <c r="A612" s="1645"/>
      <c r="B612" s="2407"/>
      <c r="C612" s="2408"/>
      <c r="D612" s="699" t="str">
        <f>B610&amp;".3"</f>
        <v>3.192.3</v>
      </c>
      <c r="E612" s="1677" t="s">
        <v>969</v>
      </c>
      <c r="F612" s="2273" t="s">
        <v>328</v>
      </c>
      <c r="G612" s="1748" t="s">
        <v>22</v>
      </c>
      <c r="H612" s="828" t="s">
        <v>22</v>
      </c>
      <c r="I612" s="1748" t="s">
        <v>22</v>
      </c>
      <c r="J612" s="828" t="s">
        <v>22</v>
      </c>
      <c r="K612" s="1748" t="s">
        <v>22</v>
      </c>
      <c r="L612" s="828" t="s">
        <v>22</v>
      </c>
      <c r="M612" s="1748" t="s">
        <v>22</v>
      </c>
      <c r="N612" s="828" t="s">
        <v>22</v>
      </c>
      <c r="O612" s="1748" t="s">
        <v>22</v>
      </c>
      <c r="P612" s="828" t="s">
        <v>22</v>
      </c>
      <c r="Q612" s="1535" t="s">
        <v>970</v>
      </c>
      <c r="R612" s="1645"/>
      <c r="S612" s="1645"/>
      <c r="T612" s="1645"/>
      <c r="U612" s="1645"/>
      <c r="V612" s="1645"/>
      <c r="W612" s="1645"/>
      <c r="X612" s="1645"/>
      <c r="Y612" s="1645"/>
      <c r="Z612" s="1645"/>
      <c r="AA612" s="685"/>
      <c r="AB612" s="1645">
        <v>0</v>
      </c>
    </row>
    <row s="1860" customFormat="1" customHeight="1" ht="22.5">
      <c r="A613" s="1645"/>
      <c r="B613" s="2407" t="s">
        <v>1185</v>
      </c>
      <c r="C613" s="2408" t="s">
        <v>105</v>
      </c>
      <c r="D613" s="699" t="str">
        <f>B613&amp;".1"</f>
        <v>3.193.1</v>
      </c>
      <c r="E613" s="1677" t="s">
        <v>966</v>
      </c>
      <c r="F613" s="2273" t="s">
        <v>328</v>
      </c>
      <c r="G613" s="2363" t="s">
        <v>22</v>
      </c>
      <c r="H613" s="828" t="s">
        <v>22</v>
      </c>
      <c r="I613" s="2363" t="s">
        <v>983</v>
      </c>
      <c r="J613" s="828" t="s">
        <v>22</v>
      </c>
      <c r="K613" s="2363" t="s">
        <v>22</v>
      </c>
      <c r="L613" s="828" t="s">
        <v>22</v>
      </c>
      <c r="M613" s="2363" t="s">
        <v>22</v>
      </c>
      <c r="N613" s="828" t="s">
        <v>22</v>
      </c>
      <c r="O613" s="2363" t="s">
        <v>22</v>
      </c>
      <c r="P613" s="828" t="s">
        <v>22</v>
      </c>
      <c r="Q613" s="1535"/>
      <c r="R613" s="1645"/>
      <c r="S613" s="1645"/>
      <c r="T613" s="1645"/>
      <c r="U613" s="1645"/>
      <c r="V613" s="1645"/>
      <c r="W613" s="1645"/>
      <c r="X613" s="1645"/>
      <c r="Y613" s="1645"/>
      <c r="Z613" s="1645"/>
      <c r="AA613" s="685"/>
      <c r="AB613" s="1645">
        <v>0</v>
      </c>
    </row>
    <row s="1860" customFormat="1" customHeight="1" ht="15">
      <c r="A614" s="1645"/>
      <c r="B614" s="2407"/>
      <c r="C614" s="2408"/>
      <c r="D614" s="699" t="str">
        <f>B613&amp;".2"</f>
        <v>3.193.2</v>
      </c>
      <c r="E614" s="1677" t="s">
        <v>967</v>
      </c>
      <c r="F614" s="2273" t="s">
        <v>328</v>
      </c>
      <c r="G614" s="1748" t="s">
        <v>22</v>
      </c>
      <c r="H614" s="828" t="s">
        <v>22</v>
      </c>
      <c r="I614" s="1748">
        <v>46163</v>
      </c>
      <c r="J614" s="828" t="s">
        <v>22</v>
      </c>
      <c r="K614" s="1748" t="s">
        <v>22</v>
      </c>
      <c r="L614" s="828" t="s">
        <v>22</v>
      </c>
      <c r="M614" s="1748" t="s">
        <v>22</v>
      </c>
      <c r="N614" s="828" t="s">
        <v>22</v>
      </c>
      <c r="O614" s="1748" t="s">
        <v>22</v>
      </c>
      <c r="P614" s="828" t="s">
        <v>22</v>
      </c>
      <c r="Q614" s="1535" t="s">
        <v>968</v>
      </c>
      <c r="R614" s="1645"/>
      <c r="S614" s="1645"/>
      <c r="T614" s="1645"/>
      <c r="U614" s="1645"/>
      <c r="V614" s="1645"/>
      <c r="W614" s="1645"/>
      <c r="X614" s="1645"/>
      <c r="Y614" s="1645"/>
      <c r="Z614" s="1645"/>
      <c r="AA614" s="685"/>
      <c r="AB614" s="1645">
        <v>0</v>
      </c>
    </row>
    <row s="1860" customFormat="1" customHeight="1" ht="15">
      <c r="A615" s="1645"/>
      <c r="B615" s="2407"/>
      <c r="C615" s="2408"/>
      <c r="D615" s="699" t="str">
        <f>B613&amp;".3"</f>
        <v>3.193.3</v>
      </c>
      <c r="E615" s="1677" t="s">
        <v>969</v>
      </c>
      <c r="F615" s="2273" t="s">
        <v>328</v>
      </c>
      <c r="G615" s="1748" t="s">
        <v>22</v>
      </c>
      <c r="H615" s="828" t="s">
        <v>22</v>
      </c>
      <c r="I615" s="1748" t="s">
        <v>22</v>
      </c>
      <c r="J615" s="828" t="s">
        <v>22</v>
      </c>
      <c r="K615" s="1748" t="s">
        <v>22</v>
      </c>
      <c r="L615" s="828" t="s">
        <v>22</v>
      </c>
      <c r="M615" s="1748" t="s">
        <v>22</v>
      </c>
      <c r="N615" s="828" t="s">
        <v>22</v>
      </c>
      <c r="O615" s="1748" t="s">
        <v>22</v>
      </c>
      <c r="P615" s="828" t="s">
        <v>22</v>
      </c>
      <c r="Q615" s="1535" t="s">
        <v>970</v>
      </c>
      <c r="R615" s="1645"/>
      <c r="S615" s="1645"/>
      <c r="T615" s="1645"/>
      <c r="U615" s="1645"/>
      <c r="V615" s="1645"/>
      <c r="W615" s="1645"/>
      <c r="X615" s="1645"/>
      <c r="Y615" s="1645"/>
      <c r="Z615" s="1645"/>
      <c r="AA615" s="685"/>
      <c r="AB615" s="1645">
        <v>0</v>
      </c>
    </row>
    <row s="1860" customFormat="1" customHeight="1" ht="22.5">
      <c r="A616" s="1645"/>
      <c r="B616" s="2407" t="s">
        <v>1186</v>
      </c>
      <c r="C616" s="2408" t="s">
        <v>105</v>
      </c>
      <c r="D616" s="699" t="str">
        <f>B616&amp;".1"</f>
        <v>3.194.1</v>
      </c>
      <c r="E616" s="1677" t="s">
        <v>966</v>
      </c>
      <c r="F616" s="2273" t="s">
        <v>328</v>
      </c>
      <c r="G616" s="2363" t="s">
        <v>22</v>
      </c>
      <c r="H616" s="828" t="s">
        <v>22</v>
      </c>
      <c r="I616" s="2363" t="s">
        <v>983</v>
      </c>
      <c r="J616" s="828" t="s">
        <v>22</v>
      </c>
      <c r="K616" s="2363" t="s">
        <v>22</v>
      </c>
      <c r="L616" s="828" t="s">
        <v>22</v>
      </c>
      <c r="M616" s="2363" t="s">
        <v>22</v>
      </c>
      <c r="N616" s="828" t="s">
        <v>22</v>
      </c>
      <c r="O616" s="2363" t="s">
        <v>22</v>
      </c>
      <c r="P616" s="828" t="s">
        <v>22</v>
      </c>
      <c r="Q616" s="1535"/>
      <c r="R616" s="1645"/>
      <c r="S616" s="1645"/>
      <c r="T616" s="1645"/>
      <c r="U616" s="1645"/>
      <c r="V616" s="1645"/>
      <c r="W616" s="1645"/>
      <c r="X616" s="1645"/>
      <c r="Y616" s="1645"/>
      <c r="Z616" s="1645"/>
      <c r="AA616" s="685"/>
      <c r="AB616" s="1645">
        <v>0</v>
      </c>
    </row>
    <row s="1860" customFormat="1" customHeight="1" ht="15">
      <c r="A617" s="1645"/>
      <c r="B617" s="2407"/>
      <c r="C617" s="2408"/>
      <c r="D617" s="699" t="str">
        <f>B616&amp;".2"</f>
        <v>3.194.2</v>
      </c>
      <c r="E617" s="1677" t="s">
        <v>967</v>
      </c>
      <c r="F617" s="2273" t="s">
        <v>328</v>
      </c>
      <c r="G617" s="1748" t="s">
        <v>22</v>
      </c>
      <c r="H617" s="828" t="s">
        <v>22</v>
      </c>
      <c r="I617" s="1748">
        <v>46163</v>
      </c>
      <c r="J617" s="828" t="s">
        <v>22</v>
      </c>
      <c r="K617" s="1748" t="s">
        <v>22</v>
      </c>
      <c r="L617" s="828" t="s">
        <v>22</v>
      </c>
      <c r="M617" s="1748" t="s">
        <v>22</v>
      </c>
      <c r="N617" s="828" t="s">
        <v>22</v>
      </c>
      <c r="O617" s="1748" t="s">
        <v>22</v>
      </c>
      <c r="P617" s="828" t="s">
        <v>22</v>
      </c>
      <c r="Q617" s="1535" t="s">
        <v>968</v>
      </c>
      <c r="R617" s="1645"/>
      <c r="S617" s="1645"/>
      <c r="T617" s="1645"/>
      <c r="U617" s="1645"/>
      <c r="V617" s="1645"/>
      <c r="W617" s="1645"/>
      <c r="X617" s="1645"/>
      <c r="Y617" s="1645"/>
      <c r="Z617" s="1645"/>
      <c r="AA617" s="685"/>
      <c r="AB617" s="1645">
        <v>0</v>
      </c>
    </row>
    <row s="1860" customFormat="1" customHeight="1" ht="15">
      <c r="A618" s="1645"/>
      <c r="B618" s="2407"/>
      <c r="C618" s="2408"/>
      <c r="D618" s="699" t="str">
        <f>B616&amp;".3"</f>
        <v>3.194.3</v>
      </c>
      <c r="E618" s="1677" t="s">
        <v>969</v>
      </c>
      <c r="F618" s="2273" t="s">
        <v>328</v>
      </c>
      <c r="G618" s="1748" t="s">
        <v>22</v>
      </c>
      <c r="H618" s="828" t="s">
        <v>22</v>
      </c>
      <c r="I618" s="1748" t="s">
        <v>22</v>
      </c>
      <c r="J618" s="828" t="s">
        <v>22</v>
      </c>
      <c r="K618" s="1748" t="s">
        <v>22</v>
      </c>
      <c r="L618" s="828" t="s">
        <v>22</v>
      </c>
      <c r="M618" s="1748" t="s">
        <v>22</v>
      </c>
      <c r="N618" s="828" t="s">
        <v>22</v>
      </c>
      <c r="O618" s="1748" t="s">
        <v>22</v>
      </c>
      <c r="P618" s="828" t="s">
        <v>22</v>
      </c>
      <c r="Q618" s="1535" t="s">
        <v>970</v>
      </c>
      <c r="R618" s="1645"/>
      <c r="S618" s="1645"/>
      <c r="T618" s="1645"/>
      <c r="U618" s="1645"/>
      <c r="V618" s="1645"/>
      <c r="W618" s="1645"/>
      <c r="X618" s="1645"/>
      <c r="Y618" s="1645"/>
      <c r="Z618" s="1645"/>
      <c r="AA618" s="685"/>
      <c r="AB618" s="1645">
        <v>0</v>
      </c>
    </row>
    <row s="1860" customFormat="1" customHeight="1" ht="22.5">
      <c r="A619" s="1645"/>
      <c r="B619" s="2407" t="s">
        <v>1187</v>
      </c>
      <c r="C619" s="2408" t="s">
        <v>105</v>
      </c>
      <c r="D619" s="699" t="str">
        <f>B619&amp;".1"</f>
        <v>3.195.1</v>
      </c>
      <c r="E619" s="1677" t="s">
        <v>966</v>
      </c>
      <c r="F619" s="2273" t="s">
        <v>328</v>
      </c>
      <c r="G619" s="2363" t="s">
        <v>22</v>
      </c>
      <c r="H619" s="828" t="s">
        <v>22</v>
      </c>
      <c r="I619" s="2363" t="s">
        <v>1188</v>
      </c>
      <c r="J619" s="828" t="s">
        <v>22</v>
      </c>
      <c r="K619" s="2363" t="s">
        <v>22</v>
      </c>
      <c r="L619" s="828" t="s">
        <v>22</v>
      </c>
      <c r="M619" s="2363" t="s">
        <v>22</v>
      </c>
      <c r="N619" s="828" t="s">
        <v>22</v>
      </c>
      <c r="O619" s="2363" t="s">
        <v>22</v>
      </c>
      <c r="P619" s="828" t="s">
        <v>22</v>
      </c>
      <c r="Q619" s="1535"/>
      <c r="R619" s="1645"/>
      <c r="S619" s="1645"/>
      <c r="T619" s="1645"/>
      <c r="U619" s="1645"/>
      <c r="V619" s="1645"/>
      <c r="W619" s="1645"/>
      <c r="X619" s="1645"/>
      <c r="Y619" s="1645"/>
      <c r="Z619" s="1645"/>
      <c r="AA619" s="685"/>
      <c r="AB619" s="1645">
        <v>0</v>
      </c>
    </row>
    <row s="1860" customFormat="1" customHeight="1" ht="15">
      <c r="A620" s="1645"/>
      <c r="B620" s="2407"/>
      <c r="C620" s="2408"/>
      <c r="D620" s="699" t="str">
        <f>B619&amp;".2"</f>
        <v>3.195.2</v>
      </c>
      <c r="E620" s="1677" t="s">
        <v>967</v>
      </c>
      <c r="F620" s="2273" t="s">
        <v>328</v>
      </c>
      <c r="G620" s="1748" t="s">
        <v>22</v>
      </c>
      <c r="H620" s="828" t="s">
        <v>22</v>
      </c>
      <c r="I620" s="1748">
        <v>46164</v>
      </c>
      <c r="J620" s="828" t="s">
        <v>22</v>
      </c>
      <c r="K620" s="1748" t="s">
        <v>22</v>
      </c>
      <c r="L620" s="828" t="s">
        <v>22</v>
      </c>
      <c r="M620" s="1748" t="s">
        <v>22</v>
      </c>
      <c r="N620" s="828" t="s">
        <v>22</v>
      </c>
      <c r="O620" s="1748" t="s">
        <v>22</v>
      </c>
      <c r="P620" s="828" t="s">
        <v>22</v>
      </c>
      <c r="Q620" s="1535" t="s">
        <v>968</v>
      </c>
      <c r="R620" s="1645"/>
      <c r="S620" s="1645"/>
      <c r="T620" s="1645"/>
      <c r="U620" s="1645"/>
      <c r="V620" s="1645"/>
      <c r="W620" s="1645"/>
      <c r="X620" s="1645"/>
      <c r="Y620" s="1645"/>
      <c r="Z620" s="1645"/>
      <c r="AA620" s="685"/>
      <c r="AB620" s="1645">
        <v>0</v>
      </c>
    </row>
    <row s="1860" customFormat="1" customHeight="1" ht="15">
      <c r="A621" s="1645"/>
      <c r="B621" s="2407"/>
      <c r="C621" s="2408"/>
      <c r="D621" s="699" t="str">
        <f>B619&amp;".3"</f>
        <v>3.195.3</v>
      </c>
      <c r="E621" s="1677" t="s">
        <v>969</v>
      </c>
      <c r="F621" s="2273" t="s">
        <v>328</v>
      </c>
      <c r="G621" s="1748" t="s">
        <v>22</v>
      </c>
      <c r="H621" s="828" t="s">
        <v>22</v>
      </c>
      <c r="I621" s="1748" t="s">
        <v>22</v>
      </c>
      <c r="J621" s="828" t="s">
        <v>22</v>
      </c>
      <c r="K621" s="1748" t="s">
        <v>22</v>
      </c>
      <c r="L621" s="828" t="s">
        <v>22</v>
      </c>
      <c r="M621" s="1748" t="s">
        <v>22</v>
      </c>
      <c r="N621" s="828" t="s">
        <v>22</v>
      </c>
      <c r="O621" s="1748" t="s">
        <v>22</v>
      </c>
      <c r="P621" s="828" t="s">
        <v>22</v>
      </c>
      <c r="Q621" s="1535" t="s">
        <v>970</v>
      </c>
      <c r="R621" s="1645"/>
      <c r="S621" s="1645"/>
      <c r="T621" s="1645"/>
      <c r="U621" s="1645"/>
      <c r="V621" s="1645"/>
      <c r="W621" s="1645"/>
      <c r="X621" s="1645"/>
      <c r="Y621" s="1645"/>
      <c r="Z621" s="1645"/>
      <c r="AA621" s="685"/>
      <c r="AB621" s="1645">
        <v>0</v>
      </c>
    </row>
    <row s="1860" customFormat="1" customHeight="1" ht="22.5">
      <c r="A622" s="1645"/>
      <c r="B622" s="2407" t="s">
        <v>1189</v>
      </c>
      <c r="C622" s="2408" t="s">
        <v>105</v>
      </c>
      <c r="D622" s="699" t="str">
        <f>B622&amp;".1"</f>
        <v>3.196.1</v>
      </c>
      <c r="E622" s="1677" t="s">
        <v>966</v>
      </c>
      <c r="F622" s="2273" t="s">
        <v>328</v>
      </c>
      <c r="G622" s="2363" t="s">
        <v>22</v>
      </c>
      <c r="H622" s="828" t="s">
        <v>22</v>
      </c>
      <c r="I622" s="2363" t="s">
        <v>983</v>
      </c>
      <c r="J622" s="828" t="s">
        <v>22</v>
      </c>
      <c r="K622" s="2363" t="s">
        <v>22</v>
      </c>
      <c r="L622" s="828" t="s">
        <v>22</v>
      </c>
      <c r="M622" s="2363" t="s">
        <v>22</v>
      </c>
      <c r="N622" s="828" t="s">
        <v>22</v>
      </c>
      <c r="O622" s="2363" t="s">
        <v>22</v>
      </c>
      <c r="P622" s="828" t="s">
        <v>22</v>
      </c>
      <c r="Q622" s="1535"/>
      <c r="R622" s="1645"/>
      <c r="S622" s="1645"/>
      <c r="T622" s="1645"/>
      <c r="U622" s="1645"/>
      <c r="V622" s="1645"/>
      <c r="W622" s="1645"/>
      <c r="X622" s="1645"/>
      <c r="Y622" s="1645"/>
      <c r="Z622" s="1645"/>
      <c r="AA622" s="685"/>
      <c r="AB622" s="1645">
        <v>0</v>
      </c>
    </row>
    <row s="1860" customFormat="1" customHeight="1" ht="15">
      <c r="A623" s="1645"/>
      <c r="B623" s="2407"/>
      <c r="C623" s="2408"/>
      <c r="D623" s="699" t="str">
        <f>B622&amp;".2"</f>
        <v>3.196.2</v>
      </c>
      <c r="E623" s="1677" t="s">
        <v>967</v>
      </c>
      <c r="F623" s="2273" t="s">
        <v>328</v>
      </c>
      <c r="G623" s="1748" t="s">
        <v>22</v>
      </c>
      <c r="H623" s="828" t="s">
        <v>22</v>
      </c>
      <c r="I623" s="1748">
        <v>46164</v>
      </c>
      <c r="J623" s="828" t="s">
        <v>22</v>
      </c>
      <c r="K623" s="1748" t="s">
        <v>22</v>
      </c>
      <c r="L623" s="828" t="s">
        <v>22</v>
      </c>
      <c r="M623" s="1748" t="s">
        <v>22</v>
      </c>
      <c r="N623" s="828" t="s">
        <v>22</v>
      </c>
      <c r="O623" s="1748" t="s">
        <v>22</v>
      </c>
      <c r="P623" s="828" t="s">
        <v>22</v>
      </c>
      <c r="Q623" s="1535" t="s">
        <v>968</v>
      </c>
      <c r="R623" s="1645"/>
      <c r="S623" s="1645"/>
      <c r="T623" s="1645"/>
      <c r="U623" s="1645"/>
      <c r="V623" s="1645"/>
      <c r="W623" s="1645"/>
      <c r="X623" s="1645"/>
      <c r="Y623" s="1645"/>
      <c r="Z623" s="1645"/>
      <c r="AA623" s="685"/>
      <c r="AB623" s="1645">
        <v>0</v>
      </c>
    </row>
    <row s="1860" customFormat="1" customHeight="1" ht="15">
      <c r="A624" s="1645"/>
      <c r="B624" s="2407"/>
      <c r="C624" s="2408"/>
      <c r="D624" s="699" t="str">
        <f>B622&amp;".3"</f>
        <v>3.196.3</v>
      </c>
      <c r="E624" s="1677" t="s">
        <v>969</v>
      </c>
      <c r="F624" s="2273" t="s">
        <v>328</v>
      </c>
      <c r="G624" s="1748" t="s">
        <v>22</v>
      </c>
      <c r="H624" s="828" t="s">
        <v>22</v>
      </c>
      <c r="I624" s="1748" t="s">
        <v>22</v>
      </c>
      <c r="J624" s="828" t="s">
        <v>22</v>
      </c>
      <c r="K624" s="1748" t="s">
        <v>22</v>
      </c>
      <c r="L624" s="828" t="s">
        <v>22</v>
      </c>
      <c r="M624" s="1748" t="s">
        <v>22</v>
      </c>
      <c r="N624" s="828" t="s">
        <v>22</v>
      </c>
      <c r="O624" s="1748" t="s">
        <v>22</v>
      </c>
      <c r="P624" s="828" t="s">
        <v>22</v>
      </c>
      <c r="Q624" s="1535" t="s">
        <v>970</v>
      </c>
      <c r="R624" s="1645"/>
      <c r="S624" s="1645"/>
      <c r="T624" s="1645"/>
      <c r="U624" s="1645"/>
      <c r="V624" s="1645"/>
      <c r="W624" s="1645"/>
      <c r="X624" s="1645"/>
      <c r="Y624" s="1645"/>
      <c r="Z624" s="1645"/>
      <c r="AA624" s="685"/>
      <c r="AB624" s="1645">
        <v>0</v>
      </c>
    </row>
    <row s="1860" customFormat="1" customHeight="1" ht="22.5">
      <c r="A625" s="1645"/>
      <c r="B625" s="2407" t="s">
        <v>1190</v>
      </c>
      <c r="C625" s="2408" t="s">
        <v>105</v>
      </c>
      <c r="D625" s="699" t="str">
        <f>B625&amp;".1"</f>
        <v>3.197.1</v>
      </c>
      <c r="E625" s="1677" t="s">
        <v>966</v>
      </c>
      <c r="F625" s="2273" t="s">
        <v>328</v>
      </c>
      <c r="G625" s="2363" t="s">
        <v>22</v>
      </c>
      <c r="H625" s="828" t="s">
        <v>22</v>
      </c>
      <c r="I625" s="2363" t="s">
        <v>983</v>
      </c>
      <c r="J625" s="828" t="s">
        <v>22</v>
      </c>
      <c r="K625" s="2363" t="s">
        <v>22</v>
      </c>
      <c r="L625" s="828" t="s">
        <v>22</v>
      </c>
      <c r="M625" s="2363" t="s">
        <v>22</v>
      </c>
      <c r="N625" s="828" t="s">
        <v>22</v>
      </c>
      <c r="O625" s="2363" t="s">
        <v>22</v>
      </c>
      <c r="P625" s="828" t="s">
        <v>22</v>
      </c>
      <c r="Q625" s="1535"/>
      <c r="R625" s="1645"/>
      <c r="S625" s="1645"/>
      <c r="T625" s="1645"/>
      <c r="U625" s="1645"/>
      <c r="V625" s="1645"/>
      <c r="W625" s="1645"/>
      <c r="X625" s="1645"/>
      <c r="Y625" s="1645"/>
      <c r="Z625" s="1645"/>
      <c r="AA625" s="685"/>
      <c r="AB625" s="1645">
        <v>0</v>
      </c>
    </row>
    <row s="1860" customFormat="1" customHeight="1" ht="15">
      <c r="A626" s="1645"/>
      <c r="B626" s="2407"/>
      <c r="C626" s="2408"/>
      <c r="D626" s="699" t="str">
        <f>B625&amp;".2"</f>
        <v>3.197.2</v>
      </c>
      <c r="E626" s="1677" t="s">
        <v>967</v>
      </c>
      <c r="F626" s="2273" t="s">
        <v>328</v>
      </c>
      <c r="G626" s="1748" t="s">
        <v>22</v>
      </c>
      <c r="H626" s="828" t="s">
        <v>22</v>
      </c>
      <c r="I626" s="1748">
        <v>46164</v>
      </c>
      <c r="J626" s="828" t="s">
        <v>22</v>
      </c>
      <c r="K626" s="1748" t="s">
        <v>22</v>
      </c>
      <c r="L626" s="828" t="s">
        <v>22</v>
      </c>
      <c r="M626" s="1748" t="s">
        <v>22</v>
      </c>
      <c r="N626" s="828" t="s">
        <v>22</v>
      </c>
      <c r="O626" s="1748" t="s">
        <v>22</v>
      </c>
      <c r="P626" s="828" t="s">
        <v>22</v>
      </c>
      <c r="Q626" s="1535" t="s">
        <v>968</v>
      </c>
      <c r="R626" s="1645"/>
      <c r="S626" s="1645"/>
      <c r="T626" s="1645"/>
      <c r="U626" s="1645"/>
      <c r="V626" s="1645"/>
      <c r="W626" s="1645"/>
      <c r="X626" s="1645"/>
      <c r="Y626" s="1645"/>
      <c r="Z626" s="1645"/>
      <c r="AA626" s="685"/>
      <c r="AB626" s="1645">
        <v>0</v>
      </c>
    </row>
    <row s="1860" customFormat="1" customHeight="1" ht="15">
      <c r="A627" s="1645"/>
      <c r="B627" s="2407"/>
      <c r="C627" s="2408"/>
      <c r="D627" s="699" t="str">
        <f>B625&amp;".3"</f>
        <v>3.197.3</v>
      </c>
      <c r="E627" s="1677" t="s">
        <v>969</v>
      </c>
      <c r="F627" s="2273" t="s">
        <v>328</v>
      </c>
      <c r="G627" s="1748" t="s">
        <v>22</v>
      </c>
      <c r="H627" s="828" t="s">
        <v>22</v>
      </c>
      <c r="I627" s="1748" t="s">
        <v>22</v>
      </c>
      <c r="J627" s="828" t="s">
        <v>22</v>
      </c>
      <c r="K627" s="1748" t="s">
        <v>22</v>
      </c>
      <c r="L627" s="828" t="s">
        <v>22</v>
      </c>
      <c r="M627" s="1748" t="s">
        <v>22</v>
      </c>
      <c r="N627" s="828" t="s">
        <v>22</v>
      </c>
      <c r="O627" s="1748" t="s">
        <v>22</v>
      </c>
      <c r="P627" s="828" t="s">
        <v>22</v>
      </c>
      <c r="Q627" s="1535" t="s">
        <v>970</v>
      </c>
      <c r="R627" s="1645"/>
      <c r="S627" s="1645"/>
      <c r="T627" s="1645"/>
      <c r="U627" s="1645"/>
      <c r="V627" s="1645"/>
      <c r="W627" s="1645"/>
      <c r="X627" s="1645"/>
      <c r="Y627" s="1645"/>
      <c r="Z627" s="1645"/>
      <c r="AA627" s="685"/>
      <c r="AB627" s="1645">
        <v>0</v>
      </c>
    </row>
    <row s="1860" customFormat="1" customHeight="1" ht="22.5">
      <c r="A628" s="1645"/>
      <c r="B628" s="2407" t="s">
        <v>1191</v>
      </c>
      <c r="C628" s="2408" t="s">
        <v>105</v>
      </c>
      <c r="D628" s="699" t="str">
        <f>B628&amp;".1"</f>
        <v>3.198.1</v>
      </c>
      <c r="E628" s="1677" t="s">
        <v>966</v>
      </c>
      <c r="F628" s="2273" t="s">
        <v>328</v>
      </c>
      <c r="G628" s="2363" t="s">
        <v>22</v>
      </c>
      <c r="H628" s="828" t="s">
        <v>22</v>
      </c>
      <c r="I628" s="2363" t="s">
        <v>983</v>
      </c>
      <c r="J628" s="828" t="s">
        <v>22</v>
      </c>
      <c r="K628" s="2363" t="s">
        <v>22</v>
      </c>
      <c r="L628" s="828" t="s">
        <v>22</v>
      </c>
      <c r="M628" s="2363" t="s">
        <v>22</v>
      </c>
      <c r="N628" s="828" t="s">
        <v>22</v>
      </c>
      <c r="O628" s="2363" t="s">
        <v>22</v>
      </c>
      <c r="P628" s="828" t="s">
        <v>22</v>
      </c>
      <c r="Q628" s="1535"/>
      <c r="R628" s="1645"/>
      <c r="S628" s="1645"/>
      <c r="T628" s="1645"/>
      <c r="U628" s="1645"/>
      <c r="V628" s="1645"/>
      <c r="W628" s="1645"/>
      <c r="X628" s="1645"/>
      <c r="Y628" s="1645"/>
      <c r="Z628" s="1645"/>
      <c r="AA628" s="685"/>
      <c r="AB628" s="1645">
        <v>0</v>
      </c>
    </row>
    <row s="1860" customFormat="1" customHeight="1" ht="15">
      <c r="A629" s="1645"/>
      <c r="B629" s="2407"/>
      <c r="C629" s="2408"/>
      <c r="D629" s="699" t="str">
        <f>B628&amp;".2"</f>
        <v>3.198.2</v>
      </c>
      <c r="E629" s="1677" t="s">
        <v>967</v>
      </c>
      <c r="F629" s="2273" t="s">
        <v>328</v>
      </c>
      <c r="G629" s="1748" t="s">
        <v>22</v>
      </c>
      <c r="H629" s="828" t="s">
        <v>22</v>
      </c>
      <c r="I629" s="1748">
        <v>46164</v>
      </c>
      <c r="J629" s="828" t="s">
        <v>22</v>
      </c>
      <c r="K629" s="1748" t="s">
        <v>22</v>
      </c>
      <c r="L629" s="828" t="s">
        <v>22</v>
      </c>
      <c r="M629" s="1748" t="s">
        <v>22</v>
      </c>
      <c r="N629" s="828" t="s">
        <v>22</v>
      </c>
      <c r="O629" s="1748" t="s">
        <v>22</v>
      </c>
      <c r="P629" s="828" t="s">
        <v>22</v>
      </c>
      <c r="Q629" s="1535" t="s">
        <v>968</v>
      </c>
      <c r="R629" s="1645"/>
      <c r="S629" s="1645"/>
      <c r="T629" s="1645"/>
      <c r="U629" s="1645"/>
      <c r="V629" s="1645"/>
      <c r="W629" s="1645"/>
      <c r="X629" s="1645"/>
      <c r="Y629" s="1645"/>
      <c r="Z629" s="1645"/>
      <c r="AA629" s="685"/>
      <c r="AB629" s="1645">
        <v>0</v>
      </c>
    </row>
    <row s="1860" customFormat="1" customHeight="1" ht="15">
      <c r="A630" s="1645"/>
      <c r="B630" s="2407"/>
      <c r="C630" s="2408"/>
      <c r="D630" s="699" t="str">
        <f>B628&amp;".3"</f>
        <v>3.198.3</v>
      </c>
      <c r="E630" s="1677" t="s">
        <v>969</v>
      </c>
      <c r="F630" s="2273" t="s">
        <v>328</v>
      </c>
      <c r="G630" s="1748" t="s">
        <v>22</v>
      </c>
      <c r="H630" s="828" t="s">
        <v>22</v>
      </c>
      <c r="I630" s="1748" t="s">
        <v>22</v>
      </c>
      <c r="J630" s="828" t="s">
        <v>22</v>
      </c>
      <c r="K630" s="1748" t="s">
        <v>22</v>
      </c>
      <c r="L630" s="828" t="s">
        <v>22</v>
      </c>
      <c r="M630" s="1748" t="s">
        <v>22</v>
      </c>
      <c r="N630" s="828" t="s">
        <v>22</v>
      </c>
      <c r="O630" s="1748" t="s">
        <v>22</v>
      </c>
      <c r="P630" s="828" t="s">
        <v>22</v>
      </c>
      <c r="Q630" s="1535" t="s">
        <v>970</v>
      </c>
      <c r="R630" s="1645"/>
      <c r="S630" s="1645"/>
      <c r="T630" s="1645"/>
      <c r="U630" s="1645"/>
      <c r="V630" s="1645"/>
      <c r="W630" s="1645"/>
      <c r="X630" s="1645"/>
      <c r="Y630" s="1645"/>
      <c r="Z630" s="1645"/>
      <c r="AA630" s="685"/>
      <c r="AB630" s="1645">
        <v>0</v>
      </c>
    </row>
    <row s="1860" customFormat="1" customHeight="1" ht="22.5">
      <c r="A631" s="1645"/>
      <c r="B631" s="2407" t="s">
        <v>1192</v>
      </c>
      <c r="C631" s="2408" t="s">
        <v>105</v>
      </c>
      <c r="D631" s="699" t="str">
        <f>B631&amp;".1"</f>
        <v>3.199.1</v>
      </c>
      <c r="E631" s="1677" t="s">
        <v>966</v>
      </c>
      <c r="F631" s="2273" t="s">
        <v>328</v>
      </c>
      <c r="G631" s="2363" t="s">
        <v>22</v>
      </c>
      <c r="H631" s="828" t="s">
        <v>22</v>
      </c>
      <c r="I631" s="2363" t="s">
        <v>983</v>
      </c>
      <c r="J631" s="828" t="s">
        <v>22</v>
      </c>
      <c r="K631" s="2363" t="s">
        <v>22</v>
      </c>
      <c r="L631" s="828" t="s">
        <v>22</v>
      </c>
      <c r="M631" s="2363" t="s">
        <v>22</v>
      </c>
      <c r="N631" s="828" t="s">
        <v>22</v>
      </c>
      <c r="O631" s="2363" t="s">
        <v>22</v>
      </c>
      <c r="P631" s="828" t="s">
        <v>22</v>
      </c>
      <c r="Q631" s="1535"/>
      <c r="R631" s="1645"/>
      <c r="S631" s="1645"/>
      <c r="T631" s="1645"/>
      <c r="U631" s="1645"/>
      <c r="V631" s="1645"/>
      <c r="W631" s="1645"/>
      <c r="X631" s="1645"/>
      <c r="Y631" s="1645"/>
      <c r="Z631" s="1645"/>
      <c r="AA631" s="685"/>
      <c r="AB631" s="1645">
        <v>0</v>
      </c>
    </row>
    <row s="1860" customFormat="1" customHeight="1" ht="15">
      <c r="A632" s="1645"/>
      <c r="B632" s="2407"/>
      <c r="C632" s="2408"/>
      <c r="D632" s="699" t="str">
        <f>B631&amp;".2"</f>
        <v>3.199.2</v>
      </c>
      <c r="E632" s="1677" t="s">
        <v>967</v>
      </c>
      <c r="F632" s="2273" t="s">
        <v>328</v>
      </c>
      <c r="G632" s="1748" t="s">
        <v>22</v>
      </c>
      <c r="H632" s="828" t="s">
        <v>22</v>
      </c>
      <c r="I632" s="1748">
        <v>46164</v>
      </c>
      <c r="J632" s="828" t="s">
        <v>22</v>
      </c>
      <c r="K632" s="1748" t="s">
        <v>22</v>
      </c>
      <c r="L632" s="828" t="s">
        <v>22</v>
      </c>
      <c r="M632" s="1748" t="s">
        <v>22</v>
      </c>
      <c r="N632" s="828" t="s">
        <v>22</v>
      </c>
      <c r="O632" s="1748" t="s">
        <v>22</v>
      </c>
      <c r="P632" s="828" t="s">
        <v>22</v>
      </c>
      <c r="Q632" s="1535" t="s">
        <v>968</v>
      </c>
      <c r="R632" s="1645"/>
      <c r="S632" s="1645"/>
      <c r="T632" s="1645"/>
      <c r="U632" s="1645"/>
      <c r="V632" s="1645"/>
      <c r="W632" s="1645"/>
      <c r="X632" s="1645"/>
      <c r="Y632" s="1645"/>
      <c r="Z632" s="1645"/>
      <c r="AA632" s="685"/>
      <c r="AB632" s="1645">
        <v>0</v>
      </c>
    </row>
    <row s="1860" customFormat="1" customHeight="1" ht="15">
      <c r="A633" s="1645"/>
      <c r="B633" s="2407"/>
      <c r="C633" s="2408"/>
      <c r="D633" s="699" t="str">
        <f>B631&amp;".3"</f>
        <v>3.199.3</v>
      </c>
      <c r="E633" s="1677" t="s">
        <v>969</v>
      </c>
      <c r="F633" s="2273" t="s">
        <v>328</v>
      </c>
      <c r="G633" s="1748" t="s">
        <v>22</v>
      </c>
      <c r="H633" s="828" t="s">
        <v>22</v>
      </c>
      <c r="I633" s="1748" t="s">
        <v>22</v>
      </c>
      <c r="J633" s="828" t="s">
        <v>22</v>
      </c>
      <c r="K633" s="1748" t="s">
        <v>22</v>
      </c>
      <c r="L633" s="828" t="s">
        <v>22</v>
      </c>
      <c r="M633" s="1748" t="s">
        <v>22</v>
      </c>
      <c r="N633" s="828" t="s">
        <v>22</v>
      </c>
      <c r="O633" s="1748" t="s">
        <v>22</v>
      </c>
      <c r="P633" s="828" t="s">
        <v>22</v>
      </c>
      <c r="Q633" s="1535" t="s">
        <v>970</v>
      </c>
      <c r="R633" s="1645"/>
      <c r="S633" s="1645"/>
      <c r="T633" s="1645"/>
      <c r="U633" s="1645"/>
      <c r="V633" s="1645"/>
      <c r="W633" s="1645"/>
      <c r="X633" s="1645"/>
      <c r="Y633" s="1645"/>
      <c r="Z633" s="1645"/>
      <c r="AA633" s="685"/>
      <c r="AB633" s="1645">
        <v>0</v>
      </c>
    </row>
    <row s="1860" customFormat="1" customHeight="1" ht="22.5">
      <c r="A634" s="1645"/>
      <c r="B634" s="2407" t="s">
        <v>1193</v>
      </c>
      <c r="C634" s="2408" t="s">
        <v>105</v>
      </c>
      <c r="D634" s="699" t="str">
        <f>B634&amp;".1"</f>
        <v>3.200.1</v>
      </c>
      <c r="E634" s="1677" t="s">
        <v>966</v>
      </c>
      <c r="F634" s="2273" t="s">
        <v>328</v>
      </c>
      <c r="G634" s="2363" t="s">
        <v>22</v>
      </c>
      <c r="H634" s="828" t="s">
        <v>22</v>
      </c>
      <c r="I634" s="2363" t="s">
        <v>983</v>
      </c>
      <c r="J634" s="828" t="s">
        <v>22</v>
      </c>
      <c r="K634" s="2363" t="s">
        <v>22</v>
      </c>
      <c r="L634" s="828" t="s">
        <v>22</v>
      </c>
      <c r="M634" s="2363" t="s">
        <v>22</v>
      </c>
      <c r="N634" s="828" t="s">
        <v>22</v>
      </c>
      <c r="O634" s="2363" t="s">
        <v>22</v>
      </c>
      <c r="P634" s="828" t="s">
        <v>22</v>
      </c>
      <c r="Q634" s="1535"/>
      <c r="R634" s="1645"/>
      <c r="S634" s="1645"/>
      <c r="T634" s="1645"/>
      <c r="U634" s="1645"/>
      <c r="V634" s="1645"/>
      <c r="W634" s="1645"/>
      <c r="X634" s="1645"/>
      <c r="Y634" s="1645"/>
      <c r="Z634" s="1645"/>
      <c r="AA634" s="685"/>
      <c r="AB634" s="1645">
        <v>0</v>
      </c>
    </row>
    <row s="1860" customFormat="1" customHeight="1" ht="15">
      <c r="A635" s="1645"/>
      <c r="B635" s="2407"/>
      <c r="C635" s="2408"/>
      <c r="D635" s="699" t="str">
        <f>B634&amp;".2"</f>
        <v>3.200.2</v>
      </c>
      <c r="E635" s="1677" t="s">
        <v>967</v>
      </c>
      <c r="F635" s="2273" t="s">
        <v>328</v>
      </c>
      <c r="G635" s="1748" t="s">
        <v>22</v>
      </c>
      <c r="H635" s="828" t="s">
        <v>22</v>
      </c>
      <c r="I635" s="1748">
        <v>46164</v>
      </c>
      <c r="J635" s="828" t="s">
        <v>22</v>
      </c>
      <c r="K635" s="1748" t="s">
        <v>22</v>
      </c>
      <c r="L635" s="828" t="s">
        <v>22</v>
      </c>
      <c r="M635" s="1748" t="s">
        <v>22</v>
      </c>
      <c r="N635" s="828" t="s">
        <v>22</v>
      </c>
      <c r="O635" s="1748" t="s">
        <v>22</v>
      </c>
      <c r="P635" s="828" t="s">
        <v>22</v>
      </c>
      <c r="Q635" s="1535" t="s">
        <v>968</v>
      </c>
      <c r="R635" s="1645"/>
      <c r="S635" s="1645"/>
      <c r="T635" s="1645"/>
      <c r="U635" s="1645"/>
      <c r="V635" s="1645"/>
      <c r="W635" s="1645"/>
      <c r="X635" s="1645"/>
      <c r="Y635" s="1645"/>
      <c r="Z635" s="1645"/>
      <c r="AA635" s="685"/>
      <c r="AB635" s="1645">
        <v>0</v>
      </c>
    </row>
    <row s="1860" customFormat="1" customHeight="1" ht="15">
      <c r="A636" s="1645"/>
      <c r="B636" s="2407"/>
      <c r="C636" s="2408"/>
      <c r="D636" s="699" t="str">
        <f>B634&amp;".3"</f>
        <v>3.200.3</v>
      </c>
      <c r="E636" s="1677" t="s">
        <v>969</v>
      </c>
      <c r="F636" s="2273" t="s">
        <v>328</v>
      </c>
      <c r="G636" s="1748" t="s">
        <v>22</v>
      </c>
      <c r="H636" s="828" t="s">
        <v>22</v>
      </c>
      <c r="I636" s="1748" t="s">
        <v>22</v>
      </c>
      <c r="J636" s="828" t="s">
        <v>22</v>
      </c>
      <c r="K636" s="1748" t="s">
        <v>22</v>
      </c>
      <c r="L636" s="828" t="s">
        <v>22</v>
      </c>
      <c r="M636" s="1748" t="s">
        <v>22</v>
      </c>
      <c r="N636" s="828" t="s">
        <v>22</v>
      </c>
      <c r="O636" s="1748" t="s">
        <v>22</v>
      </c>
      <c r="P636" s="828" t="s">
        <v>22</v>
      </c>
      <c r="Q636" s="1535" t="s">
        <v>970</v>
      </c>
      <c r="R636" s="1645"/>
      <c r="S636" s="1645"/>
      <c r="T636" s="1645"/>
      <c r="U636" s="1645"/>
      <c r="V636" s="1645"/>
      <c r="W636" s="1645"/>
      <c r="X636" s="1645"/>
      <c r="Y636" s="1645"/>
      <c r="Z636" s="1645"/>
      <c r="AA636" s="685"/>
      <c r="AB636" s="1645">
        <v>0</v>
      </c>
    </row>
    <row s="1860" customFormat="1" customHeight="1" ht="22.5">
      <c r="A637" s="1645"/>
      <c r="B637" s="2407" t="s">
        <v>1194</v>
      </c>
      <c r="C637" s="2408" t="s">
        <v>105</v>
      </c>
      <c r="D637" s="699" t="str">
        <f>B637&amp;".1"</f>
        <v>3.201.1</v>
      </c>
      <c r="E637" s="1677" t="s">
        <v>966</v>
      </c>
      <c r="F637" s="2273" t="s">
        <v>328</v>
      </c>
      <c r="G637" s="2363" t="s">
        <v>22</v>
      </c>
      <c r="H637" s="828" t="s">
        <v>22</v>
      </c>
      <c r="I637" s="2363" t="s">
        <v>983</v>
      </c>
      <c r="J637" s="828" t="s">
        <v>22</v>
      </c>
      <c r="K637" s="2363" t="s">
        <v>22</v>
      </c>
      <c r="L637" s="828" t="s">
        <v>22</v>
      </c>
      <c r="M637" s="2363" t="s">
        <v>22</v>
      </c>
      <c r="N637" s="828" t="s">
        <v>22</v>
      </c>
      <c r="O637" s="2363" t="s">
        <v>22</v>
      </c>
      <c r="P637" s="828" t="s">
        <v>22</v>
      </c>
      <c r="Q637" s="1535"/>
      <c r="R637" s="1645"/>
      <c r="S637" s="1645"/>
      <c r="T637" s="1645"/>
      <c r="U637" s="1645"/>
      <c r="V637" s="1645"/>
      <c r="W637" s="1645"/>
      <c r="X637" s="1645"/>
      <c r="Y637" s="1645"/>
      <c r="Z637" s="1645"/>
      <c r="AA637" s="685"/>
      <c r="AB637" s="1645">
        <v>0</v>
      </c>
    </row>
    <row s="1860" customFormat="1" customHeight="1" ht="15">
      <c r="A638" s="1645"/>
      <c r="B638" s="2407"/>
      <c r="C638" s="2408"/>
      <c r="D638" s="699" t="str">
        <f>B637&amp;".2"</f>
        <v>3.201.2</v>
      </c>
      <c r="E638" s="1677" t="s">
        <v>967</v>
      </c>
      <c r="F638" s="2273" t="s">
        <v>328</v>
      </c>
      <c r="G638" s="1748" t="s">
        <v>22</v>
      </c>
      <c r="H638" s="828" t="s">
        <v>22</v>
      </c>
      <c r="I638" s="1748">
        <v>46164</v>
      </c>
      <c r="J638" s="828" t="s">
        <v>22</v>
      </c>
      <c r="K638" s="1748" t="s">
        <v>22</v>
      </c>
      <c r="L638" s="828" t="s">
        <v>22</v>
      </c>
      <c r="M638" s="1748" t="s">
        <v>22</v>
      </c>
      <c r="N638" s="828" t="s">
        <v>22</v>
      </c>
      <c r="O638" s="1748" t="s">
        <v>22</v>
      </c>
      <c r="P638" s="828" t="s">
        <v>22</v>
      </c>
      <c r="Q638" s="1535" t="s">
        <v>968</v>
      </c>
      <c r="R638" s="1645"/>
      <c r="S638" s="1645"/>
      <c r="T638" s="1645"/>
      <c r="U638" s="1645"/>
      <c r="V638" s="1645"/>
      <c r="W638" s="1645"/>
      <c r="X638" s="1645"/>
      <c r="Y638" s="1645"/>
      <c r="Z638" s="1645"/>
      <c r="AA638" s="685"/>
      <c r="AB638" s="1645">
        <v>0</v>
      </c>
    </row>
    <row s="1860" customFormat="1" customHeight="1" ht="15">
      <c r="A639" s="1645"/>
      <c r="B639" s="2407"/>
      <c r="C639" s="2408"/>
      <c r="D639" s="699" t="str">
        <f>B637&amp;".3"</f>
        <v>3.201.3</v>
      </c>
      <c r="E639" s="1677" t="s">
        <v>969</v>
      </c>
      <c r="F639" s="2273" t="s">
        <v>328</v>
      </c>
      <c r="G639" s="1748" t="s">
        <v>22</v>
      </c>
      <c r="H639" s="828" t="s">
        <v>22</v>
      </c>
      <c r="I639" s="1748" t="s">
        <v>22</v>
      </c>
      <c r="J639" s="828" t="s">
        <v>22</v>
      </c>
      <c r="K639" s="1748" t="s">
        <v>22</v>
      </c>
      <c r="L639" s="828" t="s">
        <v>22</v>
      </c>
      <c r="M639" s="1748" t="s">
        <v>22</v>
      </c>
      <c r="N639" s="828" t="s">
        <v>22</v>
      </c>
      <c r="O639" s="1748" t="s">
        <v>22</v>
      </c>
      <c r="P639" s="828" t="s">
        <v>22</v>
      </c>
      <c r="Q639" s="1535" t="s">
        <v>970</v>
      </c>
      <c r="R639" s="1645"/>
      <c r="S639" s="1645"/>
      <c r="T639" s="1645"/>
      <c r="U639" s="1645"/>
      <c r="V639" s="1645"/>
      <c r="W639" s="1645"/>
      <c r="X639" s="1645"/>
      <c r="Y639" s="1645"/>
      <c r="Z639" s="1645"/>
      <c r="AA639" s="685"/>
      <c r="AB639" s="1645">
        <v>0</v>
      </c>
    </row>
    <row s="1860" customFormat="1" customHeight="1" ht="22.5">
      <c r="A640" s="1645"/>
      <c r="B640" s="2407" t="s">
        <v>1195</v>
      </c>
      <c r="C640" s="2408" t="s">
        <v>105</v>
      </c>
      <c r="D640" s="699" t="str">
        <f>B640&amp;".1"</f>
        <v>3.202.1</v>
      </c>
      <c r="E640" s="1677" t="s">
        <v>966</v>
      </c>
      <c r="F640" s="2273" t="s">
        <v>328</v>
      </c>
      <c r="G640" s="2363" t="s">
        <v>22</v>
      </c>
      <c r="H640" s="828" t="s">
        <v>22</v>
      </c>
      <c r="I640" s="2363" t="s">
        <v>986</v>
      </c>
      <c r="J640" s="828" t="s">
        <v>22</v>
      </c>
      <c r="K640" s="2363" t="s">
        <v>22</v>
      </c>
      <c r="L640" s="828" t="s">
        <v>22</v>
      </c>
      <c r="M640" s="2363" t="s">
        <v>22</v>
      </c>
      <c r="N640" s="828" t="s">
        <v>22</v>
      </c>
      <c r="O640" s="2363" t="s">
        <v>22</v>
      </c>
      <c r="P640" s="828" t="s">
        <v>22</v>
      </c>
      <c r="Q640" s="1535"/>
      <c r="R640" s="1645"/>
      <c r="S640" s="1645"/>
      <c r="T640" s="1645"/>
      <c r="U640" s="1645"/>
      <c r="V640" s="1645"/>
      <c r="W640" s="1645"/>
      <c r="X640" s="1645"/>
      <c r="Y640" s="1645"/>
      <c r="Z640" s="1645"/>
      <c r="AA640" s="685"/>
      <c r="AB640" s="1645">
        <v>0</v>
      </c>
    </row>
    <row s="1860" customFormat="1" customHeight="1" ht="15">
      <c r="A641" s="1645"/>
      <c r="B641" s="2407"/>
      <c r="C641" s="2408"/>
      <c r="D641" s="699" t="str">
        <f>B640&amp;".2"</f>
        <v>3.202.2</v>
      </c>
      <c r="E641" s="1677" t="s">
        <v>967</v>
      </c>
      <c r="F641" s="2273" t="s">
        <v>328</v>
      </c>
      <c r="G641" s="1748" t="s">
        <v>22</v>
      </c>
      <c r="H641" s="828" t="s">
        <v>22</v>
      </c>
      <c r="I641" s="1748">
        <v>46164</v>
      </c>
      <c r="J641" s="828" t="s">
        <v>22</v>
      </c>
      <c r="K641" s="1748" t="s">
        <v>22</v>
      </c>
      <c r="L641" s="828" t="s">
        <v>22</v>
      </c>
      <c r="M641" s="1748" t="s">
        <v>22</v>
      </c>
      <c r="N641" s="828" t="s">
        <v>22</v>
      </c>
      <c r="O641" s="1748" t="s">
        <v>22</v>
      </c>
      <c r="P641" s="828" t="s">
        <v>22</v>
      </c>
      <c r="Q641" s="1535" t="s">
        <v>968</v>
      </c>
      <c r="R641" s="1645"/>
      <c r="S641" s="1645"/>
      <c r="T641" s="1645"/>
      <c r="U641" s="1645"/>
      <c r="V641" s="1645"/>
      <c r="W641" s="1645"/>
      <c r="X641" s="1645"/>
      <c r="Y641" s="1645"/>
      <c r="Z641" s="1645"/>
      <c r="AA641" s="685"/>
      <c r="AB641" s="1645">
        <v>0</v>
      </c>
    </row>
    <row s="1860" customFormat="1" customHeight="1" ht="15">
      <c r="A642" s="1645"/>
      <c r="B642" s="2407"/>
      <c r="C642" s="2408"/>
      <c r="D642" s="699" t="str">
        <f>B640&amp;".3"</f>
        <v>3.202.3</v>
      </c>
      <c r="E642" s="1677" t="s">
        <v>969</v>
      </c>
      <c r="F642" s="2273" t="s">
        <v>328</v>
      </c>
      <c r="G642" s="1748" t="s">
        <v>22</v>
      </c>
      <c r="H642" s="828" t="s">
        <v>22</v>
      </c>
      <c r="I642" s="1748" t="s">
        <v>22</v>
      </c>
      <c r="J642" s="828" t="s">
        <v>22</v>
      </c>
      <c r="K642" s="1748" t="s">
        <v>22</v>
      </c>
      <c r="L642" s="828" t="s">
        <v>22</v>
      </c>
      <c r="M642" s="1748" t="s">
        <v>22</v>
      </c>
      <c r="N642" s="828" t="s">
        <v>22</v>
      </c>
      <c r="O642" s="1748" t="s">
        <v>22</v>
      </c>
      <c r="P642" s="828" t="s">
        <v>22</v>
      </c>
      <c r="Q642" s="1535" t="s">
        <v>970</v>
      </c>
      <c r="R642" s="1645"/>
      <c r="S642" s="1645"/>
      <c r="T642" s="1645"/>
      <c r="U642" s="1645"/>
      <c r="V642" s="1645"/>
      <c r="W642" s="1645"/>
      <c r="X642" s="1645"/>
      <c r="Y642" s="1645"/>
      <c r="Z642" s="1645"/>
      <c r="AA642" s="685"/>
      <c r="AB642" s="1645">
        <v>0</v>
      </c>
    </row>
    <row s="1860" customFormat="1" customHeight="1" ht="22.5">
      <c r="A643" s="1645"/>
      <c r="B643" s="2407" t="s">
        <v>1196</v>
      </c>
      <c r="C643" s="2408" t="s">
        <v>105</v>
      </c>
      <c r="D643" s="699" t="str">
        <f>B643&amp;".1"</f>
        <v>3.203.1</v>
      </c>
      <c r="E643" s="1677" t="s">
        <v>966</v>
      </c>
      <c r="F643" s="2273" t="s">
        <v>328</v>
      </c>
      <c r="G643" s="2363" t="s">
        <v>22</v>
      </c>
      <c r="H643" s="828" t="s">
        <v>22</v>
      </c>
      <c r="I643" s="2363" t="s">
        <v>983</v>
      </c>
      <c r="J643" s="828" t="s">
        <v>22</v>
      </c>
      <c r="K643" s="2363" t="s">
        <v>22</v>
      </c>
      <c r="L643" s="828" t="s">
        <v>22</v>
      </c>
      <c r="M643" s="2363" t="s">
        <v>22</v>
      </c>
      <c r="N643" s="828" t="s">
        <v>22</v>
      </c>
      <c r="O643" s="2363" t="s">
        <v>22</v>
      </c>
      <c r="P643" s="828" t="s">
        <v>22</v>
      </c>
      <c r="Q643" s="1535"/>
      <c r="R643" s="1645"/>
      <c r="S643" s="1645"/>
      <c r="T643" s="1645"/>
      <c r="U643" s="1645"/>
      <c r="V643" s="1645"/>
      <c r="W643" s="1645"/>
      <c r="X643" s="1645"/>
      <c r="Y643" s="1645"/>
      <c r="Z643" s="1645"/>
      <c r="AA643" s="685"/>
      <c r="AB643" s="1645">
        <v>0</v>
      </c>
    </row>
    <row s="1860" customFormat="1" customHeight="1" ht="15">
      <c r="A644" s="1645"/>
      <c r="B644" s="2407"/>
      <c r="C644" s="2408"/>
      <c r="D644" s="699" t="str">
        <f>B643&amp;".2"</f>
        <v>3.203.2</v>
      </c>
      <c r="E644" s="1677" t="s">
        <v>967</v>
      </c>
      <c r="F644" s="2273" t="s">
        <v>328</v>
      </c>
      <c r="G644" s="1748" t="s">
        <v>22</v>
      </c>
      <c r="H644" s="828" t="s">
        <v>22</v>
      </c>
      <c r="I644" s="1748">
        <v>46167</v>
      </c>
      <c r="J644" s="828" t="s">
        <v>22</v>
      </c>
      <c r="K644" s="1748" t="s">
        <v>22</v>
      </c>
      <c r="L644" s="828" t="s">
        <v>22</v>
      </c>
      <c r="M644" s="1748" t="s">
        <v>22</v>
      </c>
      <c r="N644" s="828" t="s">
        <v>22</v>
      </c>
      <c r="O644" s="1748" t="s">
        <v>22</v>
      </c>
      <c r="P644" s="828" t="s">
        <v>22</v>
      </c>
      <c r="Q644" s="1535" t="s">
        <v>968</v>
      </c>
      <c r="R644" s="1645"/>
      <c r="S644" s="1645"/>
      <c r="T644" s="1645"/>
      <c r="U644" s="1645"/>
      <c r="V644" s="1645"/>
      <c r="W644" s="1645"/>
      <c r="X644" s="1645"/>
      <c r="Y644" s="1645"/>
      <c r="Z644" s="1645"/>
      <c r="AA644" s="685"/>
      <c r="AB644" s="1645">
        <v>0</v>
      </c>
    </row>
    <row s="1860" customFormat="1" customHeight="1" ht="15">
      <c r="A645" s="1645"/>
      <c r="B645" s="2407"/>
      <c r="C645" s="2408"/>
      <c r="D645" s="699" t="str">
        <f>B643&amp;".3"</f>
        <v>3.203.3</v>
      </c>
      <c r="E645" s="1677" t="s">
        <v>969</v>
      </c>
      <c r="F645" s="2273" t="s">
        <v>328</v>
      </c>
      <c r="G645" s="1748" t="s">
        <v>22</v>
      </c>
      <c r="H645" s="828" t="s">
        <v>22</v>
      </c>
      <c r="I645" s="1748" t="s">
        <v>22</v>
      </c>
      <c r="J645" s="828" t="s">
        <v>22</v>
      </c>
      <c r="K645" s="1748" t="s">
        <v>22</v>
      </c>
      <c r="L645" s="828" t="s">
        <v>22</v>
      </c>
      <c r="M645" s="1748" t="s">
        <v>22</v>
      </c>
      <c r="N645" s="828" t="s">
        <v>22</v>
      </c>
      <c r="O645" s="1748" t="s">
        <v>22</v>
      </c>
      <c r="P645" s="828" t="s">
        <v>22</v>
      </c>
      <c r="Q645" s="1535" t="s">
        <v>970</v>
      </c>
      <c r="R645" s="1645"/>
      <c r="S645" s="1645"/>
      <c r="T645" s="1645"/>
      <c r="U645" s="1645"/>
      <c r="V645" s="1645"/>
      <c r="W645" s="1645"/>
      <c r="X645" s="1645"/>
      <c r="Y645" s="1645"/>
      <c r="Z645" s="1645"/>
      <c r="AA645" s="685"/>
      <c r="AB645" s="1645">
        <v>0</v>
      </c>
    </row>
    <row s="1860" customFormat="1" customHeight="1" ht="22.5">
      <c r="A646" s="1645"/>
      <c r="B646" s="2407" t="s">
        <v>1197</v>
      </c>
      <c r="C646" s="2408" t="s">
        <v>105</v>
      </c>
      <c r="D646" s="699" t="str">
        <f>B646&amp;".1"</f>
        <v>3.204.1</v>
      </c>
      <c r="E646" s="1677" t="s">
        <v>966</v>
      </c>
      <c r="F646" s="2273" t="s">
        <v>328</v>
      </c>
      <c r="G646" s="2363" t="s">
        <v>22</v>
      </c>
      <c r="H646" s="828" t="s">
        <v>22</v>
      </c>
      <c r="I646" s="2363" t="s">
        <v>983</v>
      </c>
      <c r="J646" s="828" t="s">
        <v>22</v>
      </c>
      <c r="K646" s="2363" t="s">
        <v>22</v>
      </c>
      <c r="L646" s="828" t="s">
        <v>22</v>
      </c>
      <c r="M646" s="2363" t="s">
        <v>22</v>
      </c>
      <c r="N646" s="828" t="s">
        <v>22</v>
      </c>
      <c r="O646" s="2363" t="s">
        <v>22</v>
      </c>
      <c r="P646" s="828" t="s">
        <v>22</v>
      </c>
      <c r="Q646" s="1535"/>
      <c r="R646" s="1645"/>
      <c r="S646" s="1645"/>
      <c r="T646" s="1645"/>
      <c r="U646" s="1645"/>
      <c r="V646" s="1645"/>
      <c r="W646" s="1645"/>
      <c r="X646" s="1645"/>
      <c r="Y646" s="1645"/>
      <c r="Z646" s="1645"/>
      <c r="AA646" s="685"/>
      <c r="AB646" s="1645">
        <v>0</v>
      </c>
    </row>
    <row s="1860" customFormat="1" customHeight="1" ht="15">
      <c r="A647" s="1645"/>
      <c r="B647" s="2407"/>
      <c r="C647" s="2408"/>
      <c r="D647" s="699" t="str">
        <f>B646&amp;".2"</f>
        <v>3.204.2</v>
      </c>
      <c r="E647" s="1677" t="s">
        <v>967</v>
      </c>
      <c r="F647" s="2273" t="s">
        <v>328</v>
      </c>
      <c r="G647" s="1748" t="s">
        <v>22</v>
      </c>
      <c r="H647" s="828" t="s">
        <v>22</v>
      </c>
      <c r="I647" s="1748">
        <v>46167</v>
      </c>
      <c r="J647" s="828" t="s">
        <v>22</v>
      </c>
      <c r="K647" s="1748" t="s">
        <v>22</v>
      </c>
      <c r="L647" s="828" t="s">
        <v>22</v>
      </c>
      <c r="M647" s="1748" t="s">
        <v>22</v>
      </c>
      <c r="N647" s="828" t="s">
        <v>22</v>
      </c>
      <c r="O647" s="1748" t="s">
        <v>22</v>
      </c>
      <c r="P647" s="828" t="s">
        <v>22</v>
      </c>
      <c r="Q647" s="1535" t="s">
        <v>968</v>
      </c>
      <c r="R647" s="1645"/>
      <c r="S647" s="1645"/>
      <c r="T647" s="1645"/>
      <c r="U647" s="1645"/>
      <c r="V647" s="1645"/>
      <c r="W647" s="1645"/>
      <c r="X647" s="1645"/>
      <c r="Y647" s="1645"/>
      <c r="Z647" s="1645"/>
      <c r="AA647" s="685"/>
      <c r="AB647" s="1645">
        <v>0</v>
      </c>
    </row>
    <row s="1860" customFormat="1" customHeight="1" ht="15">
      <c r="A648" s="1645"/>
      <c r="B648" s="2407"/>
      <c r="C648" s="2408"/>
      <c r="D648" s="699" t="str">
        <f>B646&amp;".3"</f>
        <v>3.204.3</v>
      </c>
      <c r="E648" s="1677" t="s">
        <v>969</v>
      </c>
      <c r="F648" s="2273" t="s">
        <v>328</v>
      </c>
      <c r="G648" s="1748" t="s">
        <v>22</v>
      </c>
      <c r="H648" s="828" t="s">
        <v>22</v>
      </c>
      <c r="I648" s="1748" t="s">
        <v>22</v>
      </c>
      <c r="J648" s="828" t="s">
        <v>22</v>
      </c>
      <c r="K648" s="1748" t="s">
        <v>22</v>
      </c>
      <c r="L648" s="828" t="s">
        <v>22</v>
      </c>
      <c r="M648" s="1748" t="s">
        <v>22</v>
      </c>
      <c r="N648" s="828" t="s">
        <v>22</v>
      </c>
      <c r="O648" s="1748" t="s">
        <v>22</v>
      </c>
      <c r="P648" s="828" t="s">
        <v>22</v>
      </c>
      <c r="Q648" s="1535" t="s">
        <v>970</v>
      </c>
      <c r="R648" s="1645"/>
      <c r="S648" s="1645"/>
      <c r="T648" s="1645"/>
      <c r="U648" s="1645"/>
      <c r="V648" s="1645"/>
      <c r="W648" s="1645"/>
      <c r="X648" s="1645"/>
      <c r="Y648" s="1645"/>
      <c r="Z648" s="1645"/>
      <c r="AA648" s="685"/>
      <c r="AB648" s="1645">
        <v>0</v>
      </c>
    </row>
    <row s="1860" customFormat="1" customHeight="1" ht="22.5">
      <c r="A649" s="1645"/>
      <c r="B649" s="2407" t="s">
        <v>1198</v>
      </c>
      <c r="C649" s="2408" t="s">
        <v>105</v>
      </c>
      <c r="D649" s="699" t="str">
        <f>B649&amp;".1"</f>
        <v>3.205.1</v>
      </c>
      <c r="E649" s="1677" t="s">
        <v>966</v>
      </c>
      <c r="F649" s="2273" t="s">
        <v>328</v>
      </c>
      <c r="G649" s="2363" t="s">
        <v>22</v>
      </c>
      <c r="H649" s="828" t="s">
        <v>22</v>
      </c>
      <c r="I649" s="2363" t="s">
        <v>983</v>
      </c>
      <c r="J649" s="828" t="s">
        <v>22</v>
      </c>
      <c r="K649" s="2363" t="s">
        <v>22</v>
      </c>
      <c r="L649" s="828" t="s">
        <v>22</v>
      </c>
      <c r="M649" s="2363" t="s">
        <v>22</v>
      </c>
      <c r="N649" s="828" t="s">
        <v>22</v>
      </c>
      <c r="O649" s="2363" t="s">
        <v>22</v>
      </c>
      <c r="P649" s="828" t="s">
        <v>22</v>
      </c>
      <c r="Q649" s="1535"/>
      <c r="R649" s="1645"/>
      <c r="S649" s="1645"/>
      <c r="T649" s="1645"/>
      <c r="U649" s="1645"/>
      <c r="V649" s="1645"/>
      <c r="W649" s="1645"/>
      <c r="X649" s="1645"/>
      <c r="Y649" s="1645"/>
      <c r="Z649" s="1645"/>
      <c r="AA649" s="685"/>
      <c r="AB649" s="1645">
        <v>0</v>
      </c>
    </row>
    <row s="1860" customFormat="1" customHeight="1" ht="15">
      <c r="A650" s="1645"/>
      <c r="B650" s="2407"/>
      <c r="C650" s="2408"/>
      <c r="D650" s="699" t="str">
        <f>B649&amp;".2"</f>
        <v>3.205.2</v>
      </c>
      <c r="E650" s="1677" t="s">
        <v>967</v>
      </c>
      <c r="F650" s="2273" t="s">
        <v>328</v>
      </c>
      <c r="G650" s="1748" t="s">
        <v>22</v>
      </c>
      <c r="H650" s="828" t="s">
        <v>22</v>
      </c>
      <c r="I650" s="1748">
        <v>46167</v>
      </c>
      <c r="J650" s="828" t="s">
        <v>22</v>
      </c>
      <c r="K650" s="1748" t="s">
        <v>22</v>
      </c>
      <c r="L650" s="828" t="s">
        <v>22</v>
      </c>
      <c r="M650" s="1748" t="s">
        <v>22</v>
      </c>
      <c r="N650" s="828" t="s">
        <v>22</v>
      </c>
      <c r="O650" s="1748" t="s">
        <v>22</v>
      </c>
      <c r="P650" s="828" t="s">
        <v>22</v>
      </c>
      <c r="Q650" s="1535" t="s">
        <v>968</v>
      </c>
      <c r="R650" s="1645"/>
      <c r="S650" s="1645"/>
      <c r="T650" s="1645"/>
      <c r="U650" s="1645"/>
      <c r="V650" s="1645"/>
      <c r="W650" s="1645"/>
      <c r="X650" s="1645"/>
      <c r="Y650" s="1645"/>
      <c r="Z650" s="1645"/>
      <c r="AA650" s="685"/>
      <c r="AB650" s="1645">
        <v>0</v>
      </c>
    </row>
    <row s="1860" customFormat="1" customHeight="1" ht="15">
      <c r="A651" s="1645"/>
      <c r="B651" s="2407"/>
      <c r="C651" s="2408"/>
      <c r="D651" s="699" t="str">
        <f>B649&amp;".3"</f>
        <v>3.205.3</v>
      </c>
      <c r="E651" s="1677" t="s">
        <v>969</v>
      </c>
      <c r="F651" s="2273" t="s">
        <v>328</v>
      </c>
      <c r="G651" s="1748" t="s">
        <v>22</v>
      </c>
      <c r="H651" s="828" t="s">
        <v>22</v>
      </c>
      <c r="I651" s="1748" t="s">
        <v>22</v>
      </c>
      <c r="J651" s="828" t="s">
        <v>22</v>
      </c>
      <c r="K651" s="1748" t="s">
        <v>22</v>
      </c>
      <c r="L651" s="828" t="s">
        <v>22</v>
      </c>
      <c r="M651" s="1748" t="s">
        <v>22</v>
      </c>
      <c r="N651" s="828" t="s">
        <v>22</v>
      </c>
      <c r="O651" s="1748" t="s">
        <v>22</v>
      </c>
      <c r="P651" s="828" t="s">
        <v>22</v>
      </c>
      <c r="Q651" s="1535" t="s">
        <v>970</v>
      </c>
      <c r="R651" s="1645"/>
      <c r="S651" s="1645"/>
      <c r="T651" s="1645"/>
      <c r="U651" s="1645"/>
      <c r="V651" s="1645"/>
      <c r="W651" s="1645"/>
      <c r="X651" s="1645"/>
      <c r="Y651" s="1645"/>
      <c r="Z651" s="1645"/>
      <c r="AA651" s="685"/>
      <c r="AB651" s="1645">
        <v>0</v>
      </c>
    </row>
    <row s="1860" customFormat="1" customHeight="1" ht="22.5">
      <c r="A652" s="1645"/>
      <c r="B652" s="2407" t="s">
        <v>1199</v>
      </c>
      <c r="C652" s="2408" t="s">
        <v>105</v>
      </c>
      <c r="D652" s="699" t="str">
        <f>B652&amp;".1"</f>
        <v>3.206.1</v>
      </c>
      <c r="E652" s="1677" t="s">
        <v>966</v>
      </c>
      <c r="F652" s="2273" t="s">
        <v>328</v>
      </c>
      <c r="G652" s="2363" t="s">
        <v>22</v>
      </c>
      <c r="H652" s="828" t="s">
        <v>22</v>
      </c>
      <c r="I652" s="2363" t="s">
        <v>983</v>
      </c>
      <c r="J652" s="828" t="s">
        <v>22</v>
      </c>
      <c r="K652" s="2363" t="s">
        <v>22</v>
      </c>
      <c r="L652" s="828" t="s">
        <v>22</v>
      </c>
      <c r="M652" s="2363" t="s">
        <v>22</v>
      </c>
      <c r="N652" s="828" t="s">
        <v>22</v>
      </c>
      <c r="O652" s="2363" t="s">
        <v>22</v>
      </c>
      <c r="P652" s="828" t="s">
        <v>22</v>
      </c>
      <c r="Q652" s="1535"/>
      <c r="R652" s="1645"/>
      <c r="S652" s="1645"/>
      <c r="T652" s="1645"/>
      <c r="U652" s="1645"/>
      <c r="V652" s="1645"/>
      <c r="W652" s="1645"/>
      <c r="X652" s="1645"/>
      <c r="Y652" s="1645"/>
      <c r="Z652" s="1645"/>
      <c r="AA652" s="685"/>
      <c r="AB652" s="1645">
        <v>0</v>
      </c>
    </row>
    <row s="1860" customFormat="1" customHeight="1" ht="15">
      <c r="A653" s="1645"/>
      <c r="B653" s="2407"/>
      <c r="C653" s="2408"/>
      <c r="D653" s="699" t="str">
        <f>B652&amp;".2"</f>
        <v>3.206.2</v>
      </c>
      <c r="E653" s="1677" t="s">
        <v>967</v>
      </c>
      <c r="F653" s="2273" t="s">
        <v>328</v>
      </c>
      <c r="G653" s="1748" t="s">
        <v>22</v>
      </c>
      <c r="H653" s="828" t="s">
        <v>22</v>
      </c>
      <c r="I653" s="1748">
        <v>46167</v>
      </c>
      <c r="J653" s="828" t="s">
        <v>22</v>
      </c>
      <c r="K653" s="1748" t="s">
        <v>22</v>
      </c>
      <c r="L653" s="828" t="s">
        <v>22</v>
      </c>
      <c r="M653" s="1748" t="s">
        <v>22</v>
      </c>
      <c r="N653" s="828" t="s">
        <v>22</v>
      </c>
      <c r="O653" s="1748" t="s">
        <v>22</v>
      </c>
      <c r="P653" s="828" t="s">
        <v>22</v>
      </c>
      <c r="Q653" s="1535" t="s">
        <v>968</v>
      </c>
      <c r="R653" s="1645"/>
      <c r="S653" s="1645"/>
      <c r="T653" s="1645"/>
      <c r="U653" s="1645"/>
      <c r="V653" s="1645"/>
      <c r="W653" s="1645"/>
      <c r="X653" s="1645"/>
      <c r="Y653" s="1645"/>
      <c r="Z653" s="1645"/>
      <c r="AA653" s="685"/>
      <c r="AB653" s="1645">
        <v>0</v>
      </c>
    </row>
    <row s="1860" customFormat="1" customHeight="1" ht="15">
      <c r="A654" s="1645"/>
      <c r="B654" s="2407"/>
      <c r="C654" s="2408"/>
      <c r="D654" s="699" t="str">
        <f>B652&amp;".3"</f>
        <v>3.206.3</v>
      </c>
      <c r="E654" s="1677" t="s">
        <v>969</v>
      </c>
      <c r="F654" s="2273" t="s">
        <v>328</v>
      </c>
      <c r="G654" s="1748" t="s">
        <v>22</v>
      </c>
      <c r="H654" s="828" t="s">
        <v>22</v>
      </c>
      <c r="I654" s="1748" t="s">
        <v>22</v>
      </c>
      <c r="J654" s="828" t="s">
        <v>22</v>
      </c>
      <c r="K654" s="1748" t="s">
        <v>22</v>
      </c>
      <c r="L654" s="828" t="s">
        <v>22</v>
      </c>
      <c r="M654" s="1748" t="s">
        <v>22</v>
      </c>
      <c r="N654" s="828" t="s">
        <v>22</v>
      </c>
      <c r="O654" s="1748" t="s">
        <v>22</v>
      </c>
      <c r="P654" s="828" t="s">
        <v>22</v>
      </c>
      <c r="Q654" s="1535" t="s">
        <v>970</v>
      </c>
      <c r="R654" s="1645"/>
      <c r="S654" s="1645"/>
      <c r="T654" s="1645"/>
      <c r="U654" s="1645"/>
      <c r="V654" s="1645"/>
      <c r="W654" s="1645"/>
      <c r="X654" s="1645"/>
      <c r="Y654" s="1645"/>
      <c r="Z654" s="1645"/>
      <c r="AA654" s="685"/>
      <c r="AB654" s="1645">
        <v>0</v>
      </c>
    </row>
    <row s="1860" customFormat="1" customHeight="1" ht="22.5">
      <c r="A655" s="1645"/>
      <c r="B655" s="2407" t="s">
        <v>1200</v>
      </c>
      <c r="C655" s="2408" t="s">
        <v>105</v>
      </c>
      <c r="D655" s="699" t="str">
        <f>B655&amp;".1"</f>
        <v>3.207.1</v>
      </c>
      <c r="E655" s="1677" t="s">
        <v>966</v>
      </c>
      <c r="F655" s="2273" t="s">
        <v>328</v>
      </c>
      <c r="G655" s="2363" t="s">
        <v>22</v>
      </c>
      <c r="H655" s="828" t="s">
        <v>22</v>
      </c>
      <c r="I655" s="2363" t="s">
        <v>983</v>
      </c>
      <c r="J655" s="828" t="s">
        <v>22</v>
      </c>
      <c r="K655" s="2363" t="s">
        <v>22</v>
      </c>
      <c r="L655" s="828" t="s">
        <v>22</v>
      </c>
      <c r="M655" s="2363" t="s">
        <v>22</v>
      </c>
      <c r="N655" s="828" t="s">
        <v>22</v>
      </c>
      <c r="O655" s="2363" t="s">
        <v>22</v>
      </c>
      <c r="P655" s="828" t="s">
        <v>22</v>
      </c>
      <c r="Q655" s="1535"/>
      <c r="R655" s="1645"/>
      <c r="S655" s="1645"/>
      <c r="T655" s="1645"/>
      <c r="U655" s="1645"/>
      <c r="V655" s="1645"/>
      <c r="W655" s="1645"/>
      <c r="X655" s="1645"/>
      <c r="Y655" s="1645"/>
      <c r="Z655" s="1645"/>
      <c r="AA655" s="685"/>
      <c r="AB655" s="1645">
        <v>0</v>
      </c>
    </row>
    <row s="1860" customFormat="1" customHeight="1" ht="15">
      <c r="A656" s="1645"/>
      <c r="B656" s="2407"/>
      <c r="C656" s="2408"/>
      <c r="D656" s="699" t="str">
        <f>B655&amp;".2"</f>
        <v>3.207.2</v>
      </c>
      <c r="E656" s="1677" t="s">
        <v>967</v>
      </c>
      <c r="F656" s="2273" t="s">
        <v>328</v>
      </c>
      <c r="G656" s="1748" t="s">
        <v>22</v>
      </c>
      <c r="H656" s="828" t="s">
        <v>22</v>
      </c>
      <c r="I656" s="1748">
        <v>46167</v>
      </c>
      <c r="J656" s="828" t="s">
        <v>22</v>
      </c>
      <c r="K656" s="1748" t="s">
        <v>22</v>
      </c>
      <c r="L656" s="828" t="s">
        <v>22</v>
      </c>
      <c r="M656" s="1748" t="s">
        <v>22</v>
      </c>
      <c r="N656" s="828" t="s">
        <v>22</v>
      </c>
      <c r="O656" s="1748" t="s">
        <v>22</v>
      </c>
      <c r="P656" s="828" t="s">
        <v>22</v>
      </c>
      <c r="Q656" s="1535" t="s">
        <v>968</v>
      </c>
      <c r="R656" s="1645"/>
      <c r="S656" s="1645"/>
      <c r="T656" s="1645"/>
      <c r="U656" s="1645"/>
      <c r="V656" s="1645"/>
      <c r="W656" s="1645"/>
      <c r="X656" s="1645"/>
      <c r="Y656" s="1645"/>
      <c r="Z656" s="1645"/>
      <c r="AA656" s="685"/>
      <c r="AB656" s="1645">
        <v>0</v>
      </c>
    </row>
    <row s="1860" customFormat="1" customHeight="1" ht="15">
      <c r="A657" s="1645"/>
      <c r="B657" s="2407"/>
      <c r="C657" s="2408"/>
      <c r="D657" s="699" t="str">
        <f>B655&amp;".3"</f>
        <v>3.207.3</v>
      </c>
      <c r="E657" s="1677" t="s">
        <v>969</v>
      </c>
      <c r="F657" s="2273" t="s">
        <v>328</v>
      </c>
      <c r="G657" s="1748" t="s">
        <v>22</v>
      </c>
      <c r="H657" s="828" t="s">
        <v>22</v>
      </c>
      <c r="I657" s="1748" t="s">
        <v>22</v>
      </c>
      <c r="J657" s="828" t="s">
        <v>22</v>
      </c>
      <c r="K657" s="1748" t="s">
        <v>22</v>
      </c>
      <c r="L657" s="828" t="s">
        <v>22</v>
      </c>
      <c r="M657" s="1748" t="s">
        <v>22</v>
      </c>
      <c r="N657" s="828" t="s">
        <v>22</v>
      </c>
      <c r="O657" s="1748" t="s">
        <v>22</v>
      </c>
      <c r="P657" s="828" t="s">
        <v>22</v>
      </c>
      <c r="Q657" s="1535" t="s">
        <v>970</v>
      </c>
      <c r="R657" s="1645"/>
      <c r="S657" s="1645"/>
      <c r="T657" s="1645"/>
      <c r="U657" s="1645"/>
      <c r="V657" s="1645"/>
      <c r="W657" s="1645"/>
      <c r="X657" s="1645"/>
      <c r="Y657" s="1645"/>
      <c r="Z657" s="1645"/>
      <c r="AA657" s="685"/>
      <c r="AB657" s="1645">
        <v>0</v>
      </c>
    </row>
    <row s="1860" customFormat="1" customHeight="1" ht="22.5">
      <c r="A658" s="1645"/>
      <c r="B658" s="2407" t="s">
        <v>1201</v>
      </c>
      <c r="C658" s="2408" t="s">
        <v>105</v>
      </c>
      <c r="D658" s="699" t="str">
        <f>B658&amp;".1"</f>
        <v>3.208.1</v>
      </c>
      <c r="E658" s="1677" t="s">
        <v>966</v>
      </c>
      <c r="F658" s="2273" t="s">
        <v>328</v>
      </c>
      <c r="G658" s="2363" t="s">
        <v>22</v>
      </c>
      <c r="H658" s="828" t="s">
        <v>22</v>
      </c>
      <c r="I658" s="2363" t="s">
        <v>983</v>
      </c>
      <c r="J658" s="828" t="s">
        <v>22</v>
      </c>
      <c r="K658" s="2363" t="s">
        <v>22</v>
      </c>
      <c r="L658" s="828" t="s">
        <v>22</v>
      </c>
      <c r="M658" s="2363" t="s">
        <v>22</v>
      </c>
      <c r="N658" s="828" t="s">
        <v>22</v>
      </c>
      <c r="O658" s="2363" t="s">
        <v>22</v>
      </c>
      <c r="P658" s="828" t="s">
        <v>22</v>
      </c>
      <c r="Q658" s="1535"/>
      <c r="R658" s="1645"/>
      <c r="S658" s="1645"/>
      <c r="T658" s="1645"/>
      <c r="U658" s="1645"/>
      <c r="V658" s="1645"/>
      <c r="W658" s="1645"/>
      <c r="X658" s="1645"/>
      <c r="Y658" s="1645"/>
      <c r="Z658" s="1645"/>
      <c r="AA658" s="685"/>
      <c r="AB658" s="1645">
        <v>0</v>
      </c>
    </row>
    <row s="1860" customFormat="1" customHeight="1" ht="15">
      <c r="A659" s="1645"/>
      <c r="B659" s="2407"/>
      <c r="C659" s="2408"/>
      <c r="D659" s="699" t="str">
        <f>B658&amp;".2"</f>
        <v>3.208.2</v>
      </c>
      <c r="E659" s="1677" t="s">
        <v>967</v>
      </c>
      <c r="F659" s="2273" t="s">
        <v>328</v>
      </c>
      <c r="G659" s="1748" t="s">
        <v>22</v>
      </c>
      <c r="H659" s="828" t="s">
        <v>22</v>
      </c>
      <c r="I659" s="1748">
        <v>46167</v>
      </c>
      <c r="J659" s="828" t="s">
        <v>22</v>
      </c>
      <c r="K659" s="1748" t="s">
        <v>22</v>
      </c>
      <c r="L659" s="828" t="s">
        <v>22</v>
      </c>
      <c r="M659" s="1748" t="s">
        <v>22</v>
      </c>
      <c r="N659" s="828" t="s">
        <v>22</v>
      </c>
      <c r="O659" s="1748" t="s">
        <v>22</v>
      </c>
      <c r="P659" s="828" t="s">
        <v>22</v>
      </c>
      <c r="Q659" s="1535" t="s">
        <v>968</v>
      </c>
      <c r="R659" s="1645"/>
      <c r="S659" s="1645"/>
      <c r="T659" s="1645"/>
      <c r="U659" s="1645"/>
      <c r="V659" s="1645"/>
      <c r="W659" s="1645"/>
      <c r="X659" s="1645"/>
      <c r="Y659" s="1645"/>
      <c r="Z659" s="1645"/>
      <c r="AA659" s="685"/>
      <c r="AB659" s="1645">
        <v>0</v>
      </c>
    </row>
    <row s="1860" customFormat="1" customHeight="1" ht="15">
      <c r="A660" s="1645"/>
      <c r="B660" s="2407"/>
      <c r="C660" s="2408"/>
      <c r="D660" s="699" t="str">
        <f>B658&amp;".3"</f>
        <v>3.208.3</v>
      </c>
      <c r="E660" s="1677" t="s">
        <v>969</v>
      </c>
      <c r="F660" s="2273" t="s">
        <v>328</v>
      </c>
      <c r="G660" s="1748" t="s">
        <v>22</v>
      </c>
      <c r="H660" s="828" t="s">
        <v>22</v>
      </c>
      <c r="I660" s="1748" t="s">
        <v>22</v>
      </c>
      <c r="J660" s="828" t="s">
        <v>22</v>
      </c>
      <c r="K660" s="1748" t="s">
        <v>22</v>
      </c>
      <c r="L660" s="828" t="s">
        <v>22</v>
      </c>
      <c r="M660" s="1748" t="s">
        <v>22</v>
      </c>
      <c r="N660" s="828" t="s">
        <v>22</v>
      </c>
      <c r="O660" s="1748" t="s">
        <v>22</v>
      </c>
      <c r="P660" s="828" t="s">
        <v>22</v>
      </c>
      <c r="Q660" s="1535" t="s">
        <v>970</v>
      </c>
      <c r="R660" s="1645"/>
      <c r="S660" s="1645"/>
      <c r="T660" s="1645"/>
      <c r="U660" s="1645"/>
      <c r="V660" s="1645"/>
      <c r="W660" s="1645"/>
      <c r="X660" s="1645"/>
      <c r="Y660" s="1645"/>
      <c r="Z660" s="1645"/>
      <c r="AA660" s="685"/>
      <c r="AB660" s="1645">
        <v>0</v>
      </c>
    </row>
    <row s="1860" customFormat="1" customHeight="1" ht="22.5">
      <c r="A661" s="1645"/>
      <c r="B661" s="2407" t="s">
        <v>1202</v>
      </c>
      <c r="C661" s="2408" t="s">
        <v>105</v>
      </c>
      <c r="D661" s="699" t="str">
        <f>B661&amp;".1"</f>
        <v>3.209.1</v>
      </c>
      <c r="E661" s="1677" t="s">
        <v>966</v>
      </c>
      <c r="F661" s="2273" t="s">
        <v>328</v>
      </c>
      <c r="G661" s="2363" t="s">
        <v>22</v>
      </c>
      <c r="H661" s="828" t="s">
        <v>22</v>
      </c>
      <c r="I661" s="2363" t="s">
        <v>983</v>
      </c>
      <c r="J661" s="828" t="s">
        <v>22</v>
      </c>
      <c r="K661" s="2363" t="s">
        <v>22</v>
      </c>
      <c r="L661" s="828" t="s">
        <v>22</v>
      </c>
      <c r="M661" s="2363" t="s">
        <v>22</v>
      </c>
      <c r="N661" s="828" t="s">
        <v>22</v>
      </c>
      <c r="O661" s="2363" t="s">
        <v>22</v>
      </c>
      <c r="P661" s="828" t="s">
        <v>22</v>
      </c>
      <c r="Q661" s="1535"/>
      <c r="R661" s="1645"/>
      <c r="S661" s="1645"/>
      <c r="T661" s="1645"/>
      <c r="U661" s="1645"/>
      <c r="V661" s="1645"/>
      <c r="W661" s="1645"/>
      <c r="X661" s="1645"/>
      <c r="Y661" s="1645"/>
      <c r="Z661" s="1645"/>
      <c r="AA661" s="685"/>
      <c r="AB661" s="1645">
        <v>0</v>
      </c>
    </row>
    <row s="1860" customFormat="1" customHeight="1" ht="15">
      <c r="A662" s="1645"/>
      <c r="B662" s="2407"/>
      <c r="C662" s="2408"/>
      <c r="D662" s="699" t="str">
        <f>B661&amp;".2"</f>
        <v>3.209.2</v>
      </c>
      <c r="E662" s="1677" t="s">
        <v>967</v>
      </c>
      <c r="F662" s="2273" t="s">
        <v>328</v>
      </c>
      <c r="G662" s="1748" t="s">
        <v>22</v>
      </c>
      <c r="H662" s="828" t="s">
        <v>22</v>
      </c>
      <c r="I662" s="1748">
        <v>46167</v>
      </c>
      <c r="J662" s="828" t="s">
        <v>22</v>
      </c>
      <c r="K662" s="1748" t="s">
        <v>22</v>
      </c>
      <c r="L662" s="828" t="s">
        <v>22</v>
      </c>
      <c r="M662" s="1748" t="s">
        <v>22</v>
      </c>
      <c r="N662" s="828" t="s">
        <v>22</v>
      </c>
      <c r="O662" s="1748" t="s">
        <v>22</v>
      </c>
      <c r="P662" s="828" t="s">
        <v>22</v>
      </c>
      <c r="Q662" s="1535" t="s">
        <v>968</v>
      </c>
      <c r="R662" s="1645"/>
      <c r="S662" s="1645"/>
      <c r="T662" s="1645"/>
      <c r="U662" s="1645"/>
      <c r="V662" s="1645"/>
      <c r="W662" s="1645"/>
      <c r="X662" s="1645"/>
      <c r="Y662" s="1645"/>
      <c r="Z662" s="1645"/>
      <c r="AA662" s="685"/>
      <c r="AB662" s="1645">
        <v>0</v>
      </c>
    </row>
    <row s="1860" customFormat="1" customHeight="1" ht="15">
      <c r="A663" s="1645"/>
      <c r="B663" s="2407"/>
      <c r="C663" s="2408"/>
      <c r="D663" s="699" t="str">
        <f>B661&amp;".3"</f>
        <v>3.209.3</v>
      </c>
      <c r="E663" s="1677" t="s">
        <v>969</v>
      </c>
      <c r="F663" s="2273" t="s">
        <v>328</v>
      </c>
      <c r="G663" s="1748" t="s">
        <v>22</v>
      </c>
      <c r="H663" s="828" t="s">
        <v>22</v>
      </c>
      <c r="I663" s="1748" t="s">
        <v>22</v>
      </c>
      <c r="J663" s="828" t="s">
        <v>22</v>
      </c>
      <c r="K663" s="1748" t="s">
        <v>22</v>
      </c>
      <c r="L663" s="828" t="s">
        <v>22</v>
      </c>
      <c r="M663" s="1748" t="s">
        <v>22</v>
      </c>
      <c r="N663" s="828" t="s">
        <v>22</v>
      </c>
      <c r="O663" s="1748" t="s">
        <v>22</v>
      </c>
      <c r="P663" s="828" t="s">
        <v>22</v>
      </c>
      <c r="Q663" s="1535" t="s">
        <v>970</v>
      </c>
      <c r="R663" s="1645"/>
      <c r="S663" s="1645"/>
      <c r="T663" s="1645"/>
      <c r="U663" s="1645"/>
      <c r="V663" s="1645"/>
      <c r="W663" s="1645"/>
      <c r="X663" s="1645"/>
      <c r="Y663" s="1645"/>
      <c r="Z663" s="1645"/>
      <c r="AA663" s="685"/>
      <c r="AB663" s="1645">
        <v>0</v>
      </c>
    </row>
    <row s="1860" customFormat="1" customHeight="1" ht="22.5">
      <c r="A664" s="1645"/>
      <c r="B664" s="2407" t="s">
        <v>1203</v>
      </c>
      <c r="C664" s="2408" t="s">
        <v>105</v>
      </c>
      <c r="D664" s="699" t="str">
        <f>B664&amp;".1"</f>
        <v>3.210.1</v>
      </c>
      <c r="E664" s="1677" t="s">
        <v>966</v>
      </c>
      <c r="F664" s="2273" t="s">
        <v>328</v>
      </c>
      <c r="G664" s="2363" t="s">
        <v>22</v>
      </c>
      <c r="H664" s="828" t="s">
        <v>22</v>
      </c>
      <c r="I664" s="2363" t="s">
        <v>983</v>
      </c>
      <c r="J664" s="828" t="s">
        <v>22</v>
      </c>
      <c r="K664" s="2363" t="s">
        <v>22</v>
      </c>
      <c r="L664" s="828" t="s">
        <v>22</v>
      </c>
      <c r="M664" s="2363" t="s">
        <v>22</v>
      </c>
      <c r="N664" s="828" t="s">
        <v>22</v>
      </c>
      <c r="O664" s="2363" t="s">
        <v>22</v>
      </c>
      <c r="P664" s="828" t="s">
        <v>22</v>
      </c>
      <c r="Q664" s="1535"/>
      <c r="R664" s="1645"/>
      <c r="S664" s="1645"/>
      <c r="T664" s="1645"/>
      <c r="U664" s="1645"/>
      <c r="V664" s="1645"/>
      <c r="W664" s="1645"/>
      <c r="X664" s="1645"/>
      <c r="Y664" s="1645"/>
      <c r="Z664" s="1645"/>
      <c r="AA664" s="685"/>
      <c r="AB664" s="1645">
        <v>0</v>
      </c>
    </row>
    <row s="1860" customFormat="1" customHeight="1" ht="15">
      <c r="A665" s="1645"/>
      <c r="B665" s="2407"/>
      <c r="C665" s="2408"/>
      <c r="D665" s="699" t="str">
        <f>B664&amp;".2"</f>
        <v>3.210.2</v>
      </c>
      <c r="E665" s="1677" t="s">
        <v>967</v>
      </c>
      <c r="F665" s="2273" t="s">
        <v>328</v>
      </c>
      <c r="G665" s="1748" t="s">
        <v>22</v>
      </c>
      <c r="H665" s="828" t="s">
        <v>22</v>
      </c>
      <c r="I665" s="1748">
        <v>46167</v>
      </c>
      <c r="J665" s="828" t="s">
        <v>22</v>
      </c>
      <c r="K665" s="1748" t="s">
        <v>22</v>
      </c>
      <c r="L665" s="828" t="s">
        <v>22</v>
      </c>
      <c r="M665" s="1748" t="s">
        <v>22</v>
      </c>
      <c r="N665" s="828" t="s">
        <v>22</v>
      </c>
      <c r="O665" s="1748" t="s">
        <v>22</v>
      </c>
      <c r="P665" s="828" t="s">
        <v>22</v>
      </c>
      <c r="Q665" s="1535" t="s">
        <v>968</v>
      </c>
      <c r="R665" s="1645"/>
      <c r="S665" s="1645"/>
      <c r="T665" s="1645"/>
      <c r="U665" s="1645"/>
      <c r="V665" s="1645"/>
      <c r="W665" s="1645"/>
      <c r="X665" s="1645"/>
      <c r="Y665" s="1645"/>
      <c r="Z665" s="1645"/>
      <c r="AA665" s="685"/>
      <c r="AB665" s="1645">
        <v>0</v>
      </c>
    </row>
    <row s="1860" customFormat="1" customHeight="1" ht="15">
      <c r="A666" s="1645"/>
      <c r="B666" s="2407"/>
      <c r="C666" s="2408"/>
      <c r="D666" s="699" t="str">
        <f>B664&amp;".3"</f>
        <v>3.210.3</v>
      </c>
      <c r="E666" s="1677" t="s">
        <v>969</v>
      </c>
      <c r="F666" s="2273" t="s">
        <v>328</v>
      </c>
      <c r="G666" s="1748" t="s">
        <v>22</v>
      </c>
      <c r="H666" s="828" t="s">
        <v>22</v>
      </c>
      <c r="I666" s="1748" t="s">
        <v>22</v>
      </c>
      <c r="J666" s="828" t="s">
        <v>22</v>
      </c>
      <c r="K666" s="1748" t="s">
        <v>22</v>
      </c>
      <c r="L666" s="828" t="s">
        <v>22</v>
      </c>
      <c r="M666" s="1748" t="s">
        <v>22</v>
      </c>
      <c r="N666" s="828" t="s">
        <v>22</v>
      </c>
      <c r="O666" s="1748" t="s">
        <v>22</v>
      </c>
      <c r="P666" s="828" t="s">
        <v>22</v>
      </c>
      <c r="Q666" s="1535" t="s">
        <v>970</v>
      </c>
      <c r="R666" s="1645"/>
      <c r="S666" s="1645"/>
      <c r="T666" s="1645"/>
      <c r="U666" s="1645"/>
      <c r="V666" s="1645"/>
      <c r="W666" s="1645"/>
      <c r="X666" s="1645"/>
      <c r="Y666" s="1645"/>
      <c r="Z666" s="1645"/>
      <c r="AA666" s="685"/>
      <c r="AB666" s="1645">
        <v>0</v>
      </c>
    </row>
    <row s="1860" customFormat="1" customHeight="1" ht="22.5">
      <c r="A667" s="1645"/>
      <c r="B667" s="2407" t="s">
        <v>1204</v>
      </c>
      <c r="C667" s="2408" t="s">
        <v>105</v>
      </c>
      <c r="D667" s="699" t="str">
        <f>B667&amp;".1"</f>
        <v>3.211.1</v>
      </c>
      <c r="E667" s="1677" t="s">
        <v>966</v>
      </c>
      <c r="F667" s="2273" t="s">
        <v>328</v>
      </c>
      <c r="G667" s="2363" t="s">
        <v>22</v>
      </c>
      <c r="H667" s="828" t="s">
        <v>22</v>
      </c>
      <c r="I667" s="2363" t="s">
        <v>983</v>
      </c>
      <c r="J667" s="828" t="s">
        <v>22</v>
      </c>
      <c r="K667" s="2363" t="s">
        <v>22</v>
      </c>
      <c r="L667" s="828" t="s">
        <v>22</v>
      </c>
      <c r="M667" s="2363" t="s">
        <v>22</v>
      </c>
      <c r="N667" s="828" t="s">
        <v>22</v>
      </c>
      <c r="O667" s="2363" t="s">
        <v>22</v>
      </c>
      <c r="P667" s="828" t="s">
        <v>22</v>
      </c>
      <c r="Q667" s="1535"/>
      <c r="R667" s="1645"/>
      <c r="S667" s="1645"/>
      <c r="T667" s="1645"/>
      <c r="U667" s="1645"/>
      <c r="V667" s="1645"/>
      <c r="W667" s="1645"/>
      <c r="X667" s="1645"/>
      <c r="Y667" s="1645"/>
      <c r="Z667" s="1645"/>
      <c r="AA667" s="685"/>
      <c r="AB667" s="1645">
        <v>0</v>
      </c>
    </row>
    <row s="1860" customFormat="1" customHeight="1" ht="15">
      <c r="A668" s="1645"/>
      <c r="B668" s="2407"/>
      <c r="C668" s="2408"/>
      <c r="D668" s="699" t="str">
        <f>B667&amp;".2"</f>
        <v>3.211.2</v>
      </c>
      <c r="E668" s="1677" t="s">
        <v>967</v>
      </c>
      <c r="F668" s="2273" t="s">
        <v>328</v>
      </c>
      <c r="G668" s="1748" t="s">
        <v>22</v>
      </c>
      <c r="H668" s="828" t="s">
        <v>22</v>
      </c>
      <c r="I668" s="1748">
        <v>46167</v>
      </c>
      <c r="J668" s="828" t="s">
        <v>22</v>
      </c>
      <c r="K668" s="1748" t="s">
        <v>22</v>
      </c>
      <c r="L668" s="828" t="s">
        <v>22</v>
      </c>
      <c r="M668" s="1748" t="s">
        <v>22</v>
      </c>
      <c r="N668" s="828" t="s">
        <v>22</v>
      </c>
      <c r="O668" s="1748" t="s">
        <v>22</v>
      </c>
      <c r="P668" s="828" t="s">
        <v>22</v>
      </c>
      <c r="Q668" s="1535" t="s">
        <v>968</v>
      </c>
      <c r="R668" s="1645"/>
      <c r="S668" s="1645"/>
      <c r="T668" s="1645"/>
      <c r="U668" s="1645"/>
      <c r="V668" s="1645"/>
      <c r="W668" s="1645"/>
      <c r="X668" s="1645"/>
      <c r="Y668" s="1645"/>
      <c r="Z668" s="1645"/>
      <c r="AA668" s="685"/>
      <c r="AB668" s="1645">
        <v>0</v>
      </c>
    </row>
    <row s="1860" customFormat="1" customHeight="1" ht="15">
      <c r="A669" s="1645"/>
      <c r="B669" s="2407"/>
      <c r="C669" s="2408"/>
      <c r="D669" s="699" t="str">
        <f>B667&amp;".3"</f>
        <v>3.211.3</v>
      </c>
      <c r="E669" s="1677" t="s">
        <v>969</v>
      </c>
      <c r="F669" s="2273" t="s">
        <v>328</v>
      </c>
      <c r="G669" s="1748" t="s">
        <v>22</v>
      </c>
      <c r="H669" s="828" t="s">
        <v>22</v>
      </c>
      <c r="I669" s="1748" t="s">
        <v>22</v>
      </c>
      <c r="J669" s="828" t="s">
        <v>22</v>
      </c>
      <c r="K669" s="1748" t="s">
        <v>22</v>
      </c>
      <c r="L669" s="828" t="s">
        <v>22</v>
      </c>
      <c r="M669" s="1748" t="s">
        <v>22</v>
      </c>
      <c r="N669" s="828" t="s">
        <v>22</v>
      </c>
      <c r="O669" s="1748" t="s">
        <v>22</v>
      </c>
      <c r="P669" s="828" t="s">
        <v>22</v>
      </c>
      <c r="Q669" s="1535" t="s">
        <v>970</v>
      </c>
      <c r="R669" s="1645"/>
      <c r="S669" s="1645"/>
      <c r="T669" s="1645"/>
      <c r="U669" s="1645"/>
      <c r="V669" s="1645"/>
      <c r="W669" s="1645"/>
      <c r="X669" s="1645"/>
      <c r="Y669" s="1645"/>
      <c r="Z669" s="1645"/>
      <c r="AA669" s="685"/>
      <c r="AB669" s="1645">
        <v>0</v>
      </c>
    </row>
    <row s="1860" customFormat="1" customHeight="1" ht="22.5">
      <c r="A670" s="1645"/>
      <c r="B670" s="2407" t="s">
        <v>1205</v>
      </c>
      <c r="C670" s="2408" t="s">
        <v>105</v>
      </c>
      <c r="D670" s="699" t="str">
        <f>B670&amp;".1"</f>
        <v>3.212.1</v>
      </c>
      <c r="E670" s="1677" t="s">
        <v>966</v>
      </c>
      <c r="F670" s="2273" t="s">
        <v>328</v>
      </c>
      <c r="G670" s="2363" t="s">
        <v>22</v>
      </c>
      <c r="H670" s="828" t="s">
        <v>22</v>
      </c>
      <c r="I670" s="2363" t="s">
        <v>983</v>
      </c>
      <c r="J670" s="828" t="s">
        <v>22</v>
      </c>
      <c r="K670" s="2363" t="s">
        <v>22</v>
      </c>
      <c r="L670" s="828" t="s">
        <v>22</v>
      </c>
      <c r="M670" s="2363" t="s">
        <v>22</v>
      </c>
      <c r="N670" s="828" t="s">
        <v>22</v>
      </c>
      <c r="O670" s="2363" t="s">
        <v>22</v>
      </c>
      <c r="P670" s="828" t="s">
        <v>22</v>
      </c>
      <c r="Q670" s="1535"/>
      <c r="R670" s="1645"/>
      <c r="S670" s="1645"/>
      <c r="T670" s="1645"/>
      <c r="U670" s="1645"/>
      <c r="V670" s="1645"/>
      <c r="W670" s="1645"/>
      <c r="X670" s="1645"/>
      <c r="Y670" s="1645"/>
      <c r="Z670" s="1645"/>
      <c r="AA670" s="685"/>
      <c r="AB670" s="1645">
        <v>0</v>
      </c>
    </row>
    <row s="1860" customFormat="1" customHeight="1" ht="15">
      <c r="A671" s="1645"/>
      <c r="B671" s="2407"/>
      <c r="C671" s="2408"/>
      <c r="D671" s="699" t="str">
        <f>B670&amp;".2"</f>
        <v>3.212.2</v>
      </c>
      <c r="E671" s="1677" t="s">
        <v>967</v>
      </c>
      <c r="F671" s="2273" t="s">
        <v>328</v>
      </c>
      <c r="G671" s="1748" t="s">
        <v>22</v>
      </c>
      <c r="H671" s="828" t="s">
        <v>22</v>
      </c>
      <c r="I671" s="1748">
        <v>46167</v>
      </c>
      <c r="J671" s="828" t="s">
        <v>22</v>
      </c>
      <c r="K671" s="1748" t="s">
        <v>22</v>
      </c>
      <c r="L671" s="828" t="s">
        <v>22</v>
      </c>
      <c r="M671" s="1748" t="s">
        <v>22</v>
      </c>
      <c r="N671" s="828" t="s">
        <v>22</v>
      </c>
      <c r="O671" s="1748" t="s">
        <v>22</v>
      </c>
      <c r="P671" s="828" t="s">
        <v>22</v>
      </c>
      <c r="Q671" s="1535" t="s">
        <v>968</v>
      </c>
      <c r="R671" s="1645"/>
      <c r="S671" s="1645"/>
      <c r="T671" s="1645"/>
      <c r="U671" s="1645"/>
      <c r="V671" s="1645"/>
      <c r="W671" s="1645"/>
      <c r="X671" s="1645"/>
      <c r="Y671" s="1645"/>
      <c r="Z671" s="1645"/>
      <c r="AA671" s="685"/>
      <c r="AB671" s="1645">
        <v>0</v>
      </c>
    </row>
    <row s="1860" customFormat="1" customHeight="1" ht="15">
      <c r="A672" s="1645"/>
      <c r="B672" s="2407"/>
      <c r="C672" s="2408"/>
      <c r="D672" s="699" t="str">
        <f>B670&amp;".3"</f>
        <v>3.212.3</v>
      </c>
      <c r="E672" s="1677" t="s">
        <v>969</v>
      </c>
      <c r="F672" s="2273" t="s">
        <v>328</v>
      </c>
      <c r="G672" s="1748" t="s">
        <v>22</v>
      </c>
      <c r="H672" s="828" t="s">
        <v>22</v>
      </c>
      <c r="I672" s="1748" t="s">
        <v>22</v>
      </c>
      <c r="J672" s="828" t="s">
        <v>22</v>
      </c>
      <c r="K672" s="1748" t="s">
        <v>22</v>
      </c>
      <c r="L672" s="828" t="s">
        <v>22</v>
      </c>
      <c r="M672" s="1748" t="s">
        <v>22</v>
      </c>
      <c r="N672" s="828" t="s">
        <v>22</v>
      </c>
      <c r="O672" s="1748" t="s">
        <v>22</v>
      </c>
      <c r="P672" s="828" t="s">
        <v>22</v>
      </c>
      <c r="Q672" s="1535" t="s">
        <v>970</v>
      </c>
      <c r="R672" s="1645"/>
      <c r="S672" s="1645"/>
      <c r="T672" s="1645"/>
      <c r="U672" s="1645"/>
      <c r="V672" s="1645"/>
      <c r="W672" s="1645"/>
      <c r="X672" s="1645"/>
      <c r="Y672" s="1645"/>
      <c r="Z672" s="1645"/>
      <c r="AA672" s="685"/>
      <c r="AB672" s="1645">
        <v>0</v>
      </c>
    </row>
    <row s="1860" customFormat="1" customHeight="1" ht="22.5">
      <c r="A673" s="1645"/>
      <c r="B673" s="2407" t="s">
        <v>1206</v>
      </c>
      <c r="C673" s="2408" t="s">
        <v>105</v>
      </c>
      <c r="D673" s="699" t="str">
        <f>B673&amp;".1"</f>
        <v>3.213.1</v>
      </c>
      <c r="E673" s="1677" t="s">
        <v>966</v>
      </c>
      <c r="F673" s="2273" t="s">
        <v>328</v>
      </c>
      <c r="G673" s="2363" t="s">
        <v>22</v>
      </c>
      <c r="H673" s="828" t="s">
        <v>22</v>
      </c>
      <c r="I673" s="2363" t="s">
        <v>983</v>
      </c>
      <c r="J673" s="828" t="s">
        <v>22</v>
      </c>
      <c r="K673" s="2363" t="s">
        <v>22</v>
      </c>
      <c r="L673" s="828" t="s">
        <v>22</v>
      </c>
      <c r="M673" s="2363" t="s">
        <v>22</v>
      </c>
      <c r="N673" s="828" t="s">
        <v>22</v>
      </c>
      <c r="O673" s="2363" t="s">
        <v>22</v>
      </c>
      <c r="P673" s="828" t="s">
        <v>22</v>
      </c>
      <c r="Q673" s="1535"/>
      <c r="R673" s="1645"/>
      <c r="S673" s="1645"/>
      <c r="T673" s="1645"/>
      <c r="U673" s="1645"/>
      <c r="V673" s="1645"/>
      <c r="W673" s="1645"/>
      <c r="X673" s="1645"/>
      <c r="Y673" s="1645"/>
      <c r="Z673" s="1645"/>
      <c r="AA673" s="685"/>
      <c r="AB673" s="1645">
        <v>0</v>
      </c>
    </row>
    <row s="1860" customFormat="1" customHeight="1" ht="15">
      <c r="A674" s="1645"/>
      <c r="B674" s="2407"/>
      <c r="C674" s="2408"/>
      <c r="D674" s="699" t="str">
        <f>B673&amp;".2"</f>
        <v>3.213.2</v>
      </c>
      <c r="E674" s="1677" t="s">
        <v>967</v>
      </c>
      <c r="F674" s="2273" t="s">
        <v>328</v>
      </c>
      <c r="G674" s="1748" t="s">
        <v>22</v>
      </c>
      <c r="H674" s="828" t="s">
        <v>22</v>
      </c>
      <c r="I674" s="1748">
        <v>46167</v>
      </c>
      <c r="J674" s="828" t="s">
        <v>22</v>
      </c>
      <c r="K674" s="1748" t="s">
        <v>22</v>
      </c>
      <c r="L674" s="828" t="s">
        <v>22</v>
      </c>
      <c r="M674" s="1748" t="s">
        <v>22</v>
      </c>
      <c r="N674" s="828" t="s">
        <v>22</v>
      </c>
      <c r="O674" s="1748" t="s">
        <v>22</v>
      </c>
      <c r="P674" s="828" t="s">
        <v>22</v>
      </c>
      <c r="Q674" s="1535" t="s">
        <v>968</v>
      </c>
      <c r="R674" s="1645"/>
      <c r="S674" s="1645"/>
      <c r="T674" s="1645"/>
      <c r="U674" s="1645"/>
      <c r="V674" s="1645"/>
      <c r="W674" s="1645"/>
      <c r="X674" s="1645"/>
      <c r="Y674" s="1645"/>
      <c r="Z674" s="1645"/>
      <c r="AA674" s="685"/>
      <c r="AB674" s="1645">
        <v>0</v>
      </c>
    </row>
    <row s="1860" customFormat="1" customHeight="1" ht="15">
      <c r="A675" s="1645"/>
      <c r="B675" s="2407"/>
      <c r="C675" s="2408"/>
      <c r="D675" s="699" t="str">
        <f>B673&amp;".3"</f>
        <v>3.213.3</v>
      </c>
      <c r="E675" s="1677" t="s">
        <v>969</v>
      </c>
      <c r="F675" s="2273" t="s">
        <v>328</v>
      </c>
      <c r="G675" s="1748" t="s">
        <v>22</v>
      </c>
      <c r="H675" s="828" t="s">
        <v>22</v>
      </c>
      <c r="I675" s="1748" t="s">
        <v>22</v>
      </c>
      <c r="J675" s="828" t="s">
        <v>22</v>
      </c>
      <c r="K675" s="1748" t="s">
        <v>22</v>
      </c>
      <c r="L675" s="828" t="s">
        <v>22</v>
      </c>
      <c r="M675" s="1748" t="s">
        <v>22</v>
      </c>
      <c r="N675" s="828" t="s">
        <v>22</v>
      </c>
      <c r="O675" s="1748" t="s">
        <v>22</v>
      </c>
      <c r="P675" s="828" t="s">
        <v>22</v>
      </c>
      <c r="Q675" s="1535" t="s">
        <v>970</v>
      </c>
      <c r="R675" s="1645"/>
      <c r="S675" s="1645"/>
      <c r="T675" s="1645"/>
      <c r="U675" s="1645"/>
      <c r="V675" s="1645"/>
      <c r="W675" s="1645"/>
      <c r="X675" s="1645"/>
      <c r="Y675" s="1645"/>
      <c r="Z675" s="1645"/>
      <c r="AA675" s="685"/>
      <c r="AB675" s="1645">
        <v>0</v>
      </c>
    </row>
    <row s="1860" customFormat="1" customHeight="1" ht="22.5">
      <c r="A676" s="1645"/>
      <c r="B676" s="2407" t="s">
        <v>1207</v>
      </c>
      <c r="C676" s="2408" t="s">
        <v>105</v>
      </c>
      <c r="D676" s="699" t="str">
        <f>B676&amp;".1"</f>
        <v>3.214.1</v>
      </c>
      <c r="E676" s="1677" t="s">
        <v>966</v>
      </c>
      <c r="F676" s="2273" t="s">
        <v>328</v>
      </c>
      <c r="G676" s="2363" t="s">
        <v>22</v>
      </c>
      <c r="H676" s="828" t="s">
        <v>22</v>
      </c>
      <c r="I676" s="2363" t="s">
        <v>983</v>
      </c>
      <c r="J676" s="828" t="s">
        <v>22</v>
      </c>
      <c r="K676" s="2363" t="s">
        <v>22</v>
      </c>
      <c r="L676" s="828" t="s">
        <v>22</v>
      </c>
      <c r="M676" s="2363" t="s">
        <v>22</v>
      </c>
      <c r="N676" s="828" t="s">
        <v>22</v>
      </c>
      <c r="O676" s="2363" t="s">
        <v>22</v>
      </c>
      <c r="P676" s="828" t="s">
        <v>22</v>
      </c>
      <c r="Q676" s="1535"/>
      <c r="R676" s="1645"/>
      <c r="S676" s="1645"/>
      <c r="T676" s="1645"/>
      <c r="U676" s="1645"/>
      <c r="V676" s="1645"/>
      <c r="W676" s="1645"/>
      <c r="X676" s="1645"/>
      <c r="Y676" s="1645"/>
      <c r="Z676" s="1645"/>
      <c r="AA676" s="685"/>
      <c r="AB676" s="1645">
        <v>0</v>
      </c>
    </row>
    <row s="1860" customFormat="1" customHeight="1" ht="15">
      <c r="A677" s="1645"/>
      <c r="B677" s="2407"/>
      <c r="C677" s="2408"/>
      <c r="D677" s="699" t="str">
        <f>B676&amp;".2"</f>
        <v>3.214.2</v>
      </c>
      <c r="E677" s="1677" t="s">
        <v>967</v>
      </c>
      <c r="F677" s="2273" t="s">
        <v>328</v>
      </c>
      <c r="G677" s="1748" t="s">
        <v>22</v>
      </c>
      <c r="H677" s="828" t="s">
        <v>22</v>
      </c>
      <c r="I677" s="1748">
        <v>46168</v>
      </c>
      <c r="J677" s="828" t="s">
        <v>22</v>
      </c>
      <c r="K677" s="1748" t="s">
        <v>22</v>
      </c>
      <c r="L677" s="828" t="s">
        <v>22</v>
      </c>
      <c r="M677" s="1748" t="s">
        <v>22</v>
      </c>
      <c r="N677" s="828" t="s">
        <v>22</v>
      </c>
      <c r="O677" s="1748" t="s">
        <v>22</v>
      </c>
      <c r="P677" s="828" t="s">
        <v>22</v>
      </c>
      <c r="Q677" s="1535" t="s">
        <v>968</v>
      </c>
      <c r="R677" s="1645"/>
      <c r="S677" s="1645"/>
      <c r="T677" s="1645"/>
      <c r="U677" s="1645"/>
      <c r="V677" s="1645"/>
      <c r="W677" s="1645"/>
      <c r="X677" s="1645"/>
      <c r="Y677" s="1645"/>
      <c r="Z677" s="1645"/>
      <c r="AA677" s="685"/>
      <c r="AB677" s="1645">
        <v>0</v>
      </c>
    </row>
    <row s="1860" customFormat="1" customHeight="1" ht="15">
      <c r="A678" s="1645"/>
      <c r="B678" s="2407"/>
      <c r="C678" s="2408"/>
      <c r="D678" s="699" t="str">
        <f>B676&amp;".3"</f>
        <v>3.214.3</v>
      </c>
      <c r="E678" s="1677" t="s">
        <v>969</v>
      </c>
      <c r="F678" s="2273" t="s">
        <v>328</v>
      </c>
      <c r="G678" s="1748" t="s">
        <v>22</v>
      </c>
      <c r="H678" s="828" t="s">
        <v>22</v>
      </c>
      <c r="I678" s="1748" t="s">
        <v>22</v>
      </c>
      <c r="J678" s="828" t="s">
        <v>22</v>
      </c>
      <c r="K678" s="1748" t="s">
        <v>22</v>
      </c>
      <c r="L678" s="828" t="s">
        <v>22</v>
      </c>
      <c r="M678" s="1748" t="s">
        <v>22</v>
      </c>
      <c r="N678" s="828" t="s">
        <v>22</v>
      </c>
      <c r="O678" s="1748" t="s">
        <v>22</v>
      </c>
      <c r="P678" s="828" t="s">
        <v>22</v>
      </c>
      <c r="Q678" s="1535" t="s">
        <v>970</v>
      </c>
      <c r="R678" s="1645"/>
      <c r="S678" s="1645"/>
      <c r="T678" s="1645"/>
      <c r="U678" s="1645"/>
      <c r="V678" s="1645"/>
      <c r="W678" s="1645"/>
      <c r="X678" s="1645"/>
      <c r="Y678" s="1645"/>
      <c r="Z678" s="1645"/>
      <c r="AA678" s="685"/>
      <c r="AB678" s="1645">
        <v>0</v>
      </c>
    </row>
    <row s="1860" customFormat="1" customHeight="1" ht="22.5">
      <c r="A679" s="1645"/>
      <c r="B679" s="2407" t="s">
        <v>1208</v>
      </c>
      <c r="C679" s="2408" t="s">
        <v>105</v>
      </c>
      <c r="D679" s="699" t="str">
        <f>B679&amp;".1"</f>
        <v>3.215.1</v>
      </c>
      <c r="E679" s="1677" t="s">
        <v>966</v>
      </c>
      <c r="F679" s="2273" t="s">
        <v>328</v>
      </c>
      <c r="G679" s="2363" t="s">
        <v>22</v>
      </c>
      <c r="H679" s="828" t="s">
        <v>22</v>
      </c>
      <c r="I679" s="2363" t="s">
        <v>983</v>
      </c>
      <c r="J679" s="828" t="s">
        <v>22</v>
      </c>
      <c r="K679" s="2363" t="s">
        <v>22</v>
      </c>
      <c r="L679" s="828" t="s">
        <v>22</v>
      </c>
      <c r="M679" s="2363" t="s">
        <v>22</v>
      </c>
      <c r="N679" s="828" t="s">
        <v>22</v>
      </c>
      <c r="O679" s="2363" t="s">
        <v>22</v>
      </c>
      <c r="P679" s="828" t="s">
        <v>22</v>
      </c>
      <c r="Q679" s="1535"/>
      <c r="R679" s="1645"/>
      <c r="S679" s="1645"/>
      <c r="T679" s="1645"/>
      <c r="U679" s="1645"/>
      <c r="V679" s="1645"/>
      <c r="W679" s="1645"/>
      <c r="X679" s="1645"/>
      <c r="Y679" s="1645"/>
      <c r="Z679" s="1645"/>
      <c r="AA679" s="685"/>
      <c r="AB679" s="1645">
        <v>0</v>
      </c>
    </row>
    <row s="1860" customFormat="1" customHeight="1" ht="15">
      <c r="A680" s="1645"/>
      <c r="B680" s="2407"/>
      <c r="C680" s="2408"/>
      <c r="D680" s="699" t="str">
        <f>B679&amp;".2"</f>
        <v>3.215.2</v>
      </c>
      <c r="E680" s="1677" t="s">
        <v>967</v>
      </c>
      <c r="F680" s="2273" t="s">
        <v>328</v>
      </c>
      <c r="G680" s="1748" t="s">
        <v>22</v>
      </c>
      <c r="H680" s="828" t="s">
        <v>22</v>
      </c>
      <c r="I680" s="1748">
        <v>46168</v>
      </c>
      <c r="J680" s="828" t="s">
        <v>22</v>
      </c>
      <c r="K680" s="1748" t="s">
        <v>22</v>
      </c>
      <c r="L680" s="828" t="s">
        <v>22</v>
      </c>
      <c r="M680" s="1748" t="s">
        <v>22</v>
      </c>
      <c r="N680" s="828" t="s">
        <v>22</v>
      </c>
      <c r="O680" s="1748" t="s">
        <v>22</v>
      </c>
      <c r="P680" s="828" t="s">
        <v>22</v>
      </c>
      <c r="Q680" s="1535" t="s">
        <v>968</v>
      </c>
      <c r="R680" s="1645"/>
      <c r="S680" s="1645"/>
      <c r="T680" s="1645"/>
      <c r="U680" s="1645"/>
      <c r="V680" s="1645"/>
      <c r="W680" s="1645"/>
      <c r="X680" s="1645"/>
      <c r="Y680" s="1645"/>
      <c r="Z680" s="1645"/>
      <c r="AA680" s="685"/>
      <c r="AB680" s="1645">
        <v>0</v>
      </c>
    </row>
    <row s="1860" customFormat="1" customHeight="1" ht="15">
      <c r="A681" s="1645"/>
      <c r="B681" s="2407"/>
      <c r="C681" s="2408"/>
      <c r="D681" s="699" t="str">
        <f>B679&amp;".3"</f>
        <v>3.215.3</v>
      </c>
      <c r="E681" s="1677" t="s">
        <v>969</v>
      </c>
      <c r="F681" s="2273" t="s">
        <v>328</v>
      </c>
      <c r="G681" s="1748" t="s">
        <v>22</v>
      </c>
      <c r="H681" s="828" t="s">
        <v>22</v>
      </c>
      <c r="I681" s="1748" t="s">
        <v>22</v>
      </c>
      <c r="J681" s="828" t="s">
        <v>22</v>
      </c>
      <c r="K681" s="1748" t="s">
        <v>22</v>
      </c>
      <c r="L681" s="828" t="s">
        <v>22</v>
      </c>
      <c r="M681" s="1748" t="s">
        <v>22</v>
      </c>
      <c r="N681" s="828" t="s">
        <v>22</v>
      </c>
      <c r="O681" s="1748" t="s">
        <v>22</v>
      </c>
      <c r="P681" s="828" t="s">
        <v>22</v>
      </c>
      <c r="Q681" s="1535" t="s">
        <v>970</v>
      </c>
      <c r="R681" s="1645"/>
      <c r="S681" s="1645"/>
      <c r="T681" s="1645"/>
      <c r="U681" s="1645"/>
      <c r="V681" s="1645"/>
      <c r="W681" s="1645"/>
      <c r="X681" s="1645"/>
      <c r="Y681" s="1645"/>
      <c r="Z681" s="1645"/>
      <c r="AA681" s="685"/>
      <c r="AB681" s="1645">
        <v>0</v>
      </c>
    </row>
    <row s="1860" customFormat="1" customHeight="1" ht="22.5">
      <c r="A682" s="1645"/>
      <c r="B682" s="2407" t="s">
        <v>1209</v>
      </c>
      <c r="C682" s="2408" t="s">
        <v>105</v>
      </c>
      <c r="D682" s="699" t="str">
        <f>B682&amp;".1"</f>
        <v>3.216.1</v>
      </c>
      <c r="E682" s="1677" t="s">
        <v>966</v>
      </c>
      <c r="F682" s="2273" t="s">
        <v>328</v>
      </c>
      <c r="G682" s="2363" t="s">
        <v>22</v>
      </c>
      <c r="H682" s="828" t="s">
        <v>22</v>
      </c>
      <c r="I682" s="2363" t="s">
        <v>983</v>
      </c>
      <c r="J682" s="828" t="s">
        <v>22</v>
      </c>
      <c r="K682" s="2363" t="s">
        <v>22</v>
      </c>
      <c r="L682" s="828" t="s">
        <v>22</v>
      </c>
      <c r="M682" s="2363" t="s">
        <v>22</v>
      </c>
      <c r="N682" s="828" t="s">
        <v>22</v>
      </c>
      <c r="O682" s="2363" t="s">
        <v>22</v>
      </c>
      <c r="P682" s="828" t="s">
        <v>22</v>
      </c>
      <c r="Q682" s="1535"/>
      <c r="R682" s="1645"/>
      <c r="S682" s="1645"/>
      <c r="T682" s="1645"/>
      <c r="U682" s="1645"/>
      <c r="V682" s="1645"/>
      <c r="W682" s="1645"/>
      <c r="X682" s="1645"/>
      <c r="Y682" s="1645"/>
      <c r="Z682" s="1645"/>
      <c r="AA682" s="685"/>
      <c r="AB682" s="1645">
        <v>0</v>
      </c>
    </row>
    <row s="1860" customFormat="1" customHeight="1" ht="15">
      <c r="A683" s="1645"/>
      <c r="B683" s="2407"/>
      <c r="C683" s="2408"/>
      <c r="D683" s="699" t="str">
        <f>B682&amp;".2"</f>
        <v>3.216.2</v>
      </c>
      <c r="E683" s="1677" t="s">
        <v>967</v>
      </c>
      <c r="F683" s="2273" t="s">
        <v>328</v>
      </c>
      <c r="G683" s="1748" t="s">
        <v>22</v>
      </c>
      <c r="H683" s="828" t="s">
        <v>22</v>
      </c>
      <c r="I683" s="1748">
        <v>46169</v>
      </c>
      <c r="J683" s="828" t="s">
        <v>22</v>
      </c>
      <c r="K683" s="1748" t="s">
        <v>22</v>
      </c>
      <c r="L683" s="828" t="s">
        <v>22</v>
      </c>
      <c r="M683" s="1748" t="s">
        <v>22</v>
      </c>
      <c r="N683" s="828" t="s">
        <v>22</v>
      </c>
      <c r="O683" s="1748" t="s">
        <v>22</v>
      </c>
      <c r="P683" s="828" t="s">
        <v>22</v>
      </c>
      <c r="Q683" s="1535" t="s">
        <v>968</v>
      </c>
      <c r="R683" s="1645"/>
      <c r="S683" s="1645"/>
      <c r="T683" s="1645"/>
      <c r="U683" s="1645"/>
      <c r="V683" s="1645"/>
      <c r="W683" s="1645"/>
      <c r="X683" s="1645"/>
      <c r="Y683" s="1645"/>
      <c r="Z683" s="1645"/>
      <c r="AA683" s="685"/>
      <c r="AB683" s="1645">
        <v>0</v>
      </c>
    </row>
    <row s="1860" customFormat="1" customHeight="1" ht="15">
      <c r="A684" s="1645"/>
      <c r="B684" s="2407"/>
      <c r="C684" s="2408"/>
      <c r="D684" s="699" t="str">
        <f>B682&amp;".3"</f>
        <v>3.216.3</v>
      </c>
      <c r="E684" s="1677" t="s">
        <v>969</v>
      </c>
      <c r="F684" s="2273" t="s">
        <v>328</v>
      </c>
      <c r="G684" s="1748" t="s">
        <v>22</v>
      </c>
      <c r="H684" s="828" t="s">
        <v>22</v>
      </c>
      <c r="I684" s="1748" t="s">
        <v>22</v>
      </c>
      <c r="J684" s="828" t="s">
        <v>22</v>
      </c>
      <c r="K684" s="1748" t="s">
        <v>22</v>
      </c>
      <c r="L684" s="828" t="s">
        <v>22</v>
      </c>
      <c r="M684" s="1748" t="s">
        <v>22</v>
      </c>
      <c r="N684" s="828" t="s">
        <v>22</v>
      </c>
      <c r="O684" s="1748" t="s">
        <v>22</v>
      </c>
      <c r="P684" s="828" t="s">
        <v>22</v>
      </c>
      <c r="Q684" s="1535" t="s">
        <v>970</v>
      </c>
      <c r="R684" s="1645"/>
      <c r="S684" s="1645"/>
      <c r="T684" s="1645"/>
      <c r="U684" s="1645"/>
      <c r="V684" s="1645"/>
      <c r="W684" s="1645"/>
      <c r="X684" s="1645"/>
      <c r="Y684" s="1645"/>
      <c r="Z684" s="1645"/>
      <c r="AA684" s="685"/>
      <c r="AB684" s="1645">
        <v>0</v>
      </c>
    </row>
    <row s="1860" customFormat="1" customHeight="1" ht="22.5">
      <c r="A685" s="1645"/>
      <c r="B685" s="2407" t="s">
        <v>1210</v>
      </c>
      <c r="C685" s="2408" t="s">
        <v>105</v>
      </c>
      <c r="D685" s="699" t="str">
        <f>B685&amp;".1"</f>
        <v>3.217.1</v>
      </c>
      <c r="E685" s="1677" t="s">
        <v>966</v>
      </c>
      <c r="F685" s="2273" t="s">
        <v>328</v>
      </c>
      <c r="G685" s="2363" t="s">
        <v>22</v>
      </c>
      <c r="H685" s="828" t="s">
        <v>22</v>
      </c>
      <c r="I685" s="2363" t="s">
        <v>983</v>
      </c>
      <c r="J685" s="828" t="s">
        <v>22</v>
      </c>
      <c r="K685" s="2363" t="s">
        <v>22</v>
      </c>
      <c r="L685" s="828" t="s">
        <v>22</v>
      </c>
      <c r="M685" s="2363" t="s">
        <v>22</v>
      </c>
      <c r="N685" s="828" t="s">
        <v>22</v>
      </c>
      <c r="O685" s="2363" t="s">
        <v>22</v>
      </c>
      <c r="P685" s="828" t="s">
        <v>22</v>
      </c>
      <c r="Q685" s="1535"/>
      <c r="R685" s="1645"/>
      <c r="S685" s="1645"/>
      <c r="T685" s="1645"/>
      <c r="U685" s="1645"/>
      <c r="V685" s="1645"/>
      <c r="W685" s="1645"/>
      <c r="X685" s="1645"/>
      <c r="Y685" s="1645"/>
      <c r="Z685" s="1645"/>
      <c r="AA685" s="685"/>
      <c r="AB685" s="1645">
        <v>0</v>
      </c>
    </row>
    <row s="1860" customFormat="1" customHeight="1" ht="15">
      <c r="A686" s="1645"/>
      <c r="B686" s="2407"/>
      <c r="C686" s="2408"/>
      <c r="D686" s="699" t="str">
        <f>B685&amp;".2"</f>
        <v>3.217.2</v>
      </c>
      <c r="E686" s="1677" t="s">
        <v>967</v>
      </c>
      <c r="F686" s="2273" t="s">
        <v>328</v>
      </c>
      <c r="G686" s="1748" t="s">
        <v>22</v>
      </c>
      <c r="H686" s="828" t="s">
        <v>22</v>
      </c>
      <c r="I686" s="1748">
        <v>46170</v>
      </c>
      <c r="J686" s="828" t="s">
        <v>22</v>
      </c>
      <c r="K686" s="1748" t="s">
        <v>22</v>
      </c>
      <c r="L686" s="828" t="s">
        <v>22</v>
      </c>
      <c r="M686" s="1748" t="s">
        <v>22</v>
      </c>
      <c r="N686" s="828" t="s">
        <v>22</v>
      </c>
      <c r="O686" s="1748" t="s">
        <v>22</v>
      </c>
      <c r="P686" s="828" t="s">
        <v>22</v>
      </c>
      <c r="Q686" s="1535" t="s">
        <v>968</v>
      </c>
      <c r="R686" s="1645"/>
      <c r="S686" s="1645"/>
      <c r="T686" s="1645"/>
      <c r="U686" s="1645"/>
      <c r="V686" s="1645"/>
      <c r="W686" s="1645"/>
      <c r="X686" s="1645"/>
      <c r="Y686" s="1645"/>
      <c r="Z686" s="1645"/>
      <c r="AA686" s="685"/>
      <c r="AB686" s="1645">
        <v>0</v>
      </c>
    </row>
    <row s="1860" customFormat="1" customHeight="1" ht="15">
      <c r="A687" s="1645"/>
      <c r="B687" s="2407"/>
      <c r="C687" s="2408"/>
      <c r="D687" s="699" t="str">
        <f>B685&amp;".3"</f>
        <v>3.217.3</v>
      </c>
      <c r="E687" s="1677" t="s">
        <v>969</v>
      </c>
      <c r="F687" s="2273" t="s">
        <v>328</v>
      </c>
      <c r="G687" s="1748" t="s">
        <v>22</v>
      </c>
      <c r="H687" s="828" t="s">
        <v>22</v>
      </c>
      <c r="I687" s="1748" t="s">
        <v>22</v>
      </c>
      <c r="J687" s="828" t="s">
        <v>22</v>
      </c>
      <c r="K687" s="1748" t="s">
        <v>22</v>
      </c>
      <c r="L687" s="828" t="s">
        <v>22</v>
      </c>
      <c r="M687" s="1748" t="s">
        <v>22</v>
      </c>
      <c r="N687" s="828" t="s">
        <v>22</v>
      </c>
      <c r="O687" s="1748" t="s">
        <v>22</v>
      </c>
      <c r="P687" s="828" t="s">
        <v>22</v>
      </c>
      <c r="Q687" s="1535" t="s">
        <v>970</v>
      </c>
      <c r="R687" s="1645"/>
      <c r="S687" s="1645"/>
      <c r="T687" s="1645"/>
      <c r="U687" s="1645"/>
      <c r="V687" s="1645"/>
      <c r="W687" s="1645"/>
      <c r="X687" s="1645"/>
      <c r="Y687" s="1645"/>
      <c r="Z687" s="1645"/>
      <c r="AA687" s="685"/>
      <c r="AB687" s="1645">
        <v>0</v>
      </c>
    </row>
    <row s="1860" customFormat="1" customHeight="1" ht="22.5">
      <c r="A688" s="1645"/>
      <c r="B688" s="2407" t="s">
        <v>1211</v>
      </c>
      <c r="C688" s="2408" t="s">
        <v>105</v>
      </c>
      <c r="D688" s="699" t="str">
        <f>B688&amp;".1"</f>
        <v>3.218.1</v>
      </c>
      <c r="E688" s="1677" t="s">
        <v>966</v>
      </c>
      <c r="F688" s="2273" t="s">
        <v>328</v>
      </c>
      <c r="G688" s="2363" t="s">
        <v>22</v>
      </c>
      <c r="H688" s="828" t="s">
        <v>22</v>
      </c>
      <c r="I688" s="2363" t="s">
        <v>983</v>
      </c>
      <c r="J688" s="828" t="s">
        <v>22</v>
      </c>
      <c r="K688" s="2363" t="s">
        <v>22</v>
      </c>
      <c r="L688" s="828" t="s">
        <v>22</v>
      </c>
      <c r="M688" s="2363" t="s">
        <v>22</v>
      </c>
      <c r="N688" s="828" t="s">
        <v>22</v>
      </c>
      <c r="O688" s="2363" t="s">
        <v>22</v>
      </c>
      <c r="P688" s="828" t="s">
        <v>22</v>
      </c>
      <c r="Q688" s="1535"/>
      <c r="R688" s="1645"/>
      <c r="S688" s="1645"/>
      <c r="T688" s="1645"/>
      <c r="U688" s="1645"/>
      <c r="V688" s="1645"/>
      <c r="W688" s="1645"/>
      <c r="X688" s="1645"/>
      <c r="Y688" s="1645"/>
      <c r="Z688" s="1645"/>
      <c r="AA688" s="685"/>
      <c r="AB688" s="1645">
        <v>0</v>
      </c>
    </row>
    <row s="1860" customFormat="1" customHeight="1" ht="15">
      <c r="A689" s="1645"/>
      <c r="B689" s="2407"/>
      <c r="C689" s="2408"/>
      <c r="D689" s="699" t="str">
        <f>B688&amp;".2"</f>
        <v>3.218.2</v>
      </c>
      <c r="E689" s="1677" t="s">
        <v>967</v>
      </c>
      <c r="F689" s="2273" t="s">
        <v>328</v>
      </c>
      <c r="G689" s="1748" t="s">
        <v>22</v>
      </c>
      <c r="H689" s="828" t="s">
        <v>22</v>
      </c>
      <c r="I689" s="1748">
        <v>46170</v>
      </c>
      <c r="J689" s="828" t="s">
        <v>22</v>
      </c>
      <c r="K689" s="1748" t="s">
        <v>22</v>
      </c>
      <c r="L689" s="828" t="s">
        <v>22</v>
      </c>
      <c r="M689" s="1748" t="s">
        <v>22</v>
      </c>
      <c r="N689" s="828" t="s">
        <v>22</v>
      </c>
      <c r="O689" s="1748" t="s">
        <v>22</v>
      </c>
      <c r="P689" s="828" t="s">
        <v>22</v>
      </c>
      <c r="Q689" s="1535" t="s">
        <v>968</v>
      </c>
      <c r="R689" s="1645"/>
      <c r="S689" s="1645"/>
      <c r="T689" s="1645"/>
      <c r="U689" s="1645"/>
      <c r="V689" s="1645"/>
      <c r="W689" s="1645"/>
      <c r="X689" s="1645"/>
      <c r="Y689" s="1645"/>
      <c r="Z689" s="1645"/>
      <c r="AA689" s="685"/>
      <c r="AB689" s="1645">
        <v>0</v>
      </c>
    </row>
    <row s="1860" customFormat="1" customHeight="1" ht="15">
      <c r="A690" s="1645"/>
      <c r="B690" s="2407"/>
      <c r="C690" s="2408"/>
      <c r="D690" s="699" t="str">
        <f>B688&amp;".3"</f>
        <v>3.218.3</v>
      </c>
      <c r="E690" s="1677" t="s">
        <v>969</v>
      </c>
      <c r="F690" s="2273" t="s">
        <v>328</v>
      </c>
      <c r="G690" s="1748" t="s">
        <v>22</v>
      </c>
      <c r="H690" s="828" t="s">
        <v>22</v>
      </c>
      <c r="I690" s="1748" t="s">
        <v>22</v>
      </c>
      <c r="J690" s="828" t="s">
        <v>22</v>
      </c>
      <c r="K690" s="1748" t="s">
        <v>22</v>
      </c>
      <c r="L690" s="828" t="s">
        <v>22</v>
      </c>
      <c r="M690" s="1748" t="s">
        <v>22</v>
      </c>
      <c r="N690" s="828" t="s">
        <v>22</v>
      </c>
      <c r="O690" s="1748" t="s">
        <v>22</v>
      </c>
      <c r="P690" s="828" t="s">
        <v>22</v>
      </c>
      <c r="Q690" s="1535" t="s">
        <v>970</v>
      </c>
      <c r="R690" s="1645"/>
      <c r="S690" s="1645"/>
      <c r="T690" s="1645"/>
      <c r="U690" s="1645"/>
      <c r="V690" s="1645"/>
      <c r="W690" s="1645"/>
      <c r="X690" s="1645"/>
      <c r="Y690" s="1645"/>
      <c r="Z690" s="1645"/>
      <c r="AA690" s="685"/>
      <c r="AB690" s="1645">
        <v>0</v>
      </c>
    </row>
    <row s="1860" customFormat="1" customHeight="1" ht="22.5">
      <c r="A691" s="1645"/>
      <c r="B691" s="2407" t="s">
        <v>1212</v>
      </c>
      <c r="C691" s="2408" t="s">
        <v>105</v>
      </c>
      <c r="D691" s="699" t="str">
        <f>B691&amp;".1"</f>
        <v>3.219.1</v>
      </c>
      <c r="E691" s="1677" t="s">
        <v>966</v>
      </c>
      <c r="F691" s="2273" t="s">
        <v>328</v>
      </c>
      <c r="G691" s="2363" t="s">
        <v>22</v>
      </c>
      <c r="H691" s="828" t="s">
        <v>22</v>
      </c>
      <c r="I691" s="2363" t="s">
        <v>983</v>
      </c>
      <c r="J691" s="828" t="s">
        <v>22</v>
      </c>
      <c r="K691" s="2363" t="s">
        <v>22</v>
      </c>
      <c r="L691" s="828" t="s">
        <v>22</v>
      </c>
      <c r="M691" s="2363" t="s">
        <v>22</v>
      </c>
      <c r="N691" s="828" t="s">
        <v>22</v>
      </c>
      <c r="O691" s="2363" t="s">
        <v>22</v>
      </c>
      <c r="P691" s="828" t="s">
        <v>22</v>
      </c>
      <c r="Q691" s="1535"/>
      <c r="R691" s="1645"/>
      <c r="S691" s="1645"/>
      <c r="T691" s="1645"/>
      <c r="U691" s="1645"/>
      <c r="V691" s="1645"/>
      <c r="W691" s="1645"/>
      <c r="X691" s="1645"/>
      <c r="Y691" s="1645"/>
      <c r="Z691" s="1645"/>
      <c r="AA691" s="685"/>
      <c r="AB691" s="1645">
        <v>0</v>
      </c>
    </row>
    <row s="1860" customFormat="1" customHeight="1" ht="15">
      <c r="A692" s="1645"/>
      <c r="B692" s="2407"/>
      <c r="C692" s="2408"/>
      <c r="D692" s="699" t="str">
        <f>B691&amp;".2"</f>
        <v>3.219.2</v>
      </c>
      <c r="E692" s="1677" t="s">
        <v>967</v>
      </c>
      <c r="F692" s="2273" t="s">
        <v>328</v>
      </c>
      <c r="G692" s="1748" t="s">
        <v>22</v>
      </c>
      <c r="H692" s="828" t="s">
        <v>22</v>
      </c>
      <c r="I692" s="1748">
        <v>46170</v>
      </c>
      <c r="J692" s="828" t="s">
        <v>22</v>
      </c>
      <c r="K692" s="1748" t="s">
        <v>22</v>
      </c>
      <c r="L692" s="828" t="s">
        <v>22</v>
      </c>
      <c r="M692" s="1748" t="s">
        <v>22</v>
      </c>
      <c r="N692" s="828" t="s">
        <v>22</v>
      </c>
      <c r="O692" s="1748" t="s">
        <v>22</v>
      </c>
      <c r="P692" s="828" t="s">
        <v>22</v>
      </c>
      <c r="Q692" s="1535" t="s">
        <v>968</v>
      </c>
      <c r="R692" s="1645"/>
      <c r="S692" s="1645"/>
      <c r="T692" s="1645"/>
      <c r="U692" s="1645"/>
      <c r="V692" s="1645"/>
      <c r="W692" s="1645"/>
      <c r="X692" s="1645"/>
      <c r="Y692" s="1645"/>
      <c r="Z692" s="1645"/>
      <c r="AA692" s="685"/>
      <c r="AB692" s="1645">
        <v>0</v>
      </c>
    </row>
    <row s="1860" customFormat="1" customHeight="1" ht="15">
      <c r="A693" s="1645"/>
      <c r="B693" s="2407"/>
      <c r="C693" s="2408"/>
      <c r="D693" s="699" t="str">
        <f>B691&amp;".3"</f>
        <v>3.219.3</v>
      </c>
      <c r="E693" s="1677" t="s">
        <v>969</v>
      </c>
      <c r="F693" s="2273" t="s">
        <v>328</v>
      </c>
      <c r="G693" s="1748" t="s">
        <v>22</v>
      </c>
      <c r="H693" s="828" t="s">
        <v>22</v>
      </c>
      <c r="I693" s="1748" t="s">
        <v>22</v>
      </c>
      <c r="J693" s="828" t="s">
        <v>22</v>
      </c>
      <c r="K693" s="1748" t="s">
        <v>22</v>
      </c>
      <c r="L693" s="828" t="s">
        <v>22</v>
      </c>
      <c r="M693" s="1748" t="s">
        <v>22</v>
      </c>
      <c r="N693" s="828" t="s">
        <v>22</v>
      </c>
      <c r="O693" s="1748" t="s">
        <v>22</v>
      </c>
      <c r="P693" s="828" t="s">
        <v>22</v>
      </c>
      <c r="Q693" s="1535" t="s">
        <v>970</v>
      </c>
      <c r="R693" s="1645"/>
      <c r="S693" s="1645"/>
      <c r="T693" s="1645"/>
      <c r="U693" s="1645"/>
      <c r="V693" s="1645"/>
      <c r="W693" s="1645"/>
      <c r="X693" s="1645"/>
      <c r="Y693" s="1645"/>
      <c r="Z693" s="1645"/>
      <c r="AA693" s="685"/>
      <c r="AB693" s="1645">
        <v>0</v>
      </c>
    </row>
    <row s="1860" customFormat="1" customHeight="1" ht="22.5">
      <c r="A694" s="1645"/>
      <c r="B694" s="2407" t="s">
        <v>1213</v>
      </c>
      <c r="C694" s="2408" t="s">
        <v>105</v>
      </c>
      <c r="D694" s="699" t="str">
        <f>B694&amp;".1"</f>
        <v>3.220.1</v>
      </c>
      <c r="E694" s="1677" t="s">
        <v>966</v>
      </c>
      <c r="F694" s="2273" t="s">
        <v>328</v>
      </c>
      <c r="G694" s="2363" t="s">
        <v>22</v>
      </c>
      <c r="H694" s="828" t="s">
        <v>22</v>
      </c>
      <c r="I694" s="2363" t="s">
        <v>983</v>
      </c>
      <c r="J694" s="828" t="s">
        <v>22</v>
      </c>
      <c r="K694" s="2363" t="s">
        <v>22</v>
      </c>
      <c r="L694" s="828" t="s">
        <v>22</v>
      </c>
      <c r="M694" s="2363" t="s">
        <v>22</v>
      </c>
      <c r="N694" s="828" t="s">
        <v>22</v>
      </c>
      <c r="O694" s="2363" t="s">
        <v>22</v>
      </c>
      <c r="P694" s="828" t="s">
        <v>22</v>
      </c>
      <c r="Q694" s="1535"/>
      <c r="R694" s="1645"/>
      <c r="S694" s="1645"/>
      <c r="T694" s="1645"/>
      <c r="U694" s="1645"/>
      <c r="V694" s="1645"/>
      <c r="W694" s="1645"/>
      <c r="X694" s="1645"/>
      <c r="Y694" s="1645"/>
      <c r="Z694" s="1645"/>
      <c r="AA694" s="685"/>
      <c r="AB694" s="1645">
        <v>0</v>
      </c>
    </row>
    <row s="1860" customFormat="1" customHeight="1" ht="15">
      <c r="A695" s="1645"/>
      <c r="B695" s="2407"/>
      <c r="C695" s="2408"/>
      <c r="D695" s="699" t="str">
        <f>B694&amp;".2"</f>
        <v>3.220.2</v>
      </c>
      <c r="E695" s="1677" t="s">
        <v>967</v>
      </c>
      <c r="F695" s="2273" t="s">
        <v>328</v>
      </c>
      <c r="G695" s="1748" t="s">
        <v>22</v>
      </c>
      <c r="H695" s="828" t="s">
        <v>22</v>
      </c>
      <c r="I695" s="1748">
        <v>46170</v>
      </c>
      <c r="J695" s="828" t="s">
        <v>22</v>
      </c>
      <c r="K695" s="1748" t="s">
        <v>22</v>
      </c>
      <c r="L695" s="828" t="s">
        <v>22</v>
      </c>
      <c r="M695" s="1748" t="s">
        <v>22</v>
      </c>
      <c r="N695" s="828" t="s">
        <v>22</v>
      </c>
      <c r="O695" s="1748" t="s">
        <v>22</v>
      </c>
      <c r="P695" s="828" t="s">
        <v>22</v>
      </c>
      <c r="Q695" s="1535" t="s">
        <v>968</v>
      </c>
      <c r="R695" s="1645"/>
      <c r="S695" s="1645"/>
      <c r="T695" s="1645"/>
      <c r="U695" s="1645"/>
      <c r="V695" s="1645"/>
      <c r="W695" s="1645"/>
      <c r="X695" s="1645"/>
      <c r="Y695" s="1645"/>
      <c r="Z695" s="1645"/>
      <c r="AA695" s="685"/>
      <c r="AB695" s="1645">
        <v>0</v>
      </c>
    </row>
    <row s="1860" customFormat="1" customHeight="1" ht="15">
      <c r="A696" s="1645"/>
      <c r="B696" s="2407"/>
      <c r="C696" s="2408"/>
      <c r="D696" s="699" t="str">
        <f>B694&amp;".3"</f>
        <v>3.220.3</v>
      </c>
      <c r="E696" s="1677" t="s">
        <v>969</v>
      </c>
      <c r="F696" s="2273" t="s">
        <v>328</v>
      </c>
      <c r="G696" s="1748" t="s">
        <v>22</v>
      </c>
      <c r="H696" s="828" t="s">
        <v>22</v>
      </c>
      <c r="I696" s="1748" t="s">
        <v>22</v>
      </c>
      <c r="J696" s="828" t="s">
        <v>22</v>
      </c>
      <c r="K696" s="1748" t="s">
        <v>22</v>
      </c>
      <c r="L696" s="828" t="s">
        <v>22</v>
      </c>
      <c r="M696" s="1748" t="s">
        <v>22</v>
      </c>
      <c r="N696" s="828" t="s">
        <v>22</v>
      </c>
      <c r="O696" s="1748" t="s">
        <v>22</v>
      </c>
      <c r="P696" s="828" t="s">
        <v>22</v>
      </c>
      <c r="Q696" s="1535" t="s">
        <v>970</v>
      </c>
      <c r="R696" s="1645"/>
      <c r="S696" s="1645"/>
      <c r="T696" s="1645"/>
      <c r="U696" s="1645"/>
      <c r="V696" s="1645"/>
      <c r="W696" s="1645"/>
      <c r="X696" s="1645"/>
      <c r="Y696" s="1645"/>
      <c r="Z696" s="1645"/>
      <c r="AA696" s="685"/>
      <c r="AB696" s="1645">
        <v>0</v>
      </c>
    </row>
    <row s="1860" customFormat="1" customHeight="1" ht="22.5">
      <c r="A697" s="1645"/>
      <c r="B697" s="2407" t="s">
        <v>1214</v>
      </c>
      <c r="C697" s="2408" t="s">
        <v>105</v>
      </c>
      <c r="D697" s="699" t="str">
        <f>B697&amp;".1"</f>
        <v>3.221.1</v>
      </c>
      <c r="E697" s="1677" t="s">
        <v>966</v>
      </c>
      <c r="F697" s="2273" t="s">
        <v>328</v>
      </c>
      <c r="G697" s="2363" t="s">
        <v>22</v>
      </c>
      <c r="H697" s="828" t="s">
        <v>22</v>
      </c>
      <c r="I697" s="2363" t="s">
        <v>983</v>
      </c>
      <c r="J697" s="828" t="s">
        <v>22</v>
      </c>
      <c r="K697" s="2363" t="s">
        <v>22</v>
      </c>
      <c r="L697" s="828" t="s">
        <v>22</v>
      </c>
      <c r="M697" s="2363" t="s">
        <v>22</v>
      </c>
      <c r="N697" s="828" t="s">
        <v>22</v>
      </c>
      <c r="O697" s="2363" t="s">
        <v>22</v>
      </c>
      <c r="P697" s="828" t="s">
        <v>22</v>
      </c>
      <c r="Q697" s="1535"/>
      <c r="R697" s="1645"/>
      <c r="S697" s="1645"/>
      <c r="T697" s="1645"/>
      <c r="U697" s="1645"/>
      <c r="V697" s="1645"/>
      <c r="W697" s="1645"/>
      <c r="X697" s="1645"/>
      <c r="Y697" s="1645"/>
      <c r="Z697" s="1645"/>
      <c r="AA697" s="685"/>
      <c r="AB697" s="1645">
        <v>0</v>
      </c>
    </row>
    <row s="1860" customFormat="1" customHeight="1" ht="15">
      <c r="A698" s="1645"/>
      <c r="B698" s="2407"/>
      <c r="C698" s="2408"/>
      <c r="D698" s="699" t="str">
        <f>B697&amp;".2"</f>
        <v>3.221.2</v>
      </c>
      <c r="E698" s="1677" t="s">
        <v>967</v>
      </c>
      <c r="F698" s="2273" t="s">
        <v>328</v>
      </c>
      <c r="G698" s="1748" t="s">
        <v>22</v>
      </c>
      <c r="H698" s="828" t="s">
        <v>22</v>
      </c>
      <c r="I698" s="1748">
        <v>46171</v>
      </c>
      <c r="J698" s="828" t="s">
        <v>22</v>
      </c>
      <c r="K698" s="1748" t="s">
        <v>22</v>
      </c>
      <c r="L698" s="828" t="s">
        <v>22</v>
      </c>
      <c r="M698" s="1748" t="s">
        <v>22</v>
      </c>
      <c r="N698" s="828" t="s">
        <v>22</v>
      </c>
      <c r="O698" s="1748" t="s">
        <v>22</v>
      </c>
      <c r="P698" s="828" t="s">
        <v>22</v>
      </c>
      <c r="Q698" s="1535" t="s">
        <v>968</v>
      </c>
      <c r="R698" s="1645"/>
      <c r="S698" s="1645"/>
      <c r="T698" s="1645"/>
      <c r="U698" s="1645"/>
      <c r="V698" s="1645"/>
      <c r="W698" s="1645"/>
      <c r="X698" s="1645"/>
      <c r="Y698" s="1645"/>
      <c r="Z698" s="1645"/>
      <c r="AA698" s="685"/>
      <c r="AB698" s="1645">
        <v>0</v>
      </c>
    </row>
    <row s="1860" customFormat="1" customHeight="1" ht="15">
      <c r="A699" s="1645"/>
      <c r="B699" s="2407"/>
      <c r="C699" s="2408"/>
      <c r="D699" s="699" t="str">
        <f>B697&amp;".3"</f>
        <v>3.221.3</v>
      </c>
      <c r="E699" s="1677" t="s">
        <v>969</v>
      </c>
      <c r="F699" s="2273" t="s">
        <v>328</v>
      </c>
      <c r="G699" s="1748" t="s">
        <v>22</v>
      </c>
      <c r="H699" s="828" t="s">
        <v>22</v>
      </c>
      <c r="I699" s="1748" t="s">
        <v>22</v>
      </c>
      <c r="J699" s="828" t="s">
        <v>22</v>
      </c>
      <c r="K699" s="1748" t="s">
        <v>22</v>
      </c>
      <c r="L699" s="828" t="s">
        <v>22</v>
      </c>
      <c r="M699" s="1748" t="s">
        <v>22</v>
      </c>
      <c r="N699" s="828" t="s">
        <v>22</v>
      </c>
      <c r="O699" s="1748" t="s">
        <v>22</v>
      </c>
      <c r="P699" s="828" t="s">
        <v>22</v>
      </c>
      <c r="Q699" s="1535" t="s">
        <v>970</v>
      </c>
      <c r="R699" s="1645"/>
      <c r="S699" s="1645"/>
      <c r="T699" s="1645"/>
      <c r="U699" s="1645"/>
      <c r="V699" s="1645"/>
      <c r="W699" s="1645"/>
      <c r="X699" s="1645"/>
      <c r="Y699" s="1645"/>
      <c r="Z699" s="1645"/>
      <c r="AA699" s="685"/>
      <c r="AB699" s="1645">
        <v>0</v>
      </c>
    </row>
    <row s="1860" customFormat="1" customHeight="1" ht="22.5">
      <c r="A700" s="1645"/>
      <c r="B700" s="2407" t="s">
        <v>1215</v>
      </c>
      <c r="C700" s="2408" t="s">
        <v>105</v>
      </c>
      <c r="D700" s="699" t="str">
        <f>B700&amp;".1"</f>
        <v>3.222.1</v>
      </c>
      <c r="E700" s="1677" t="s">
        <v>966</v>
      </c>
      <c r="F700" s="2273" t="s">
        <v>328</v>
      </c>
      <c r="G700" s="2363" t="s">
        <v>22</v>
      </c>
      <c r="H700" s="828" t="s">
        <v>22</v>
      </c>
      <c r="I700" s="2363" t="s">
        <v>983</v>
      </c>
      <c r="J700" s="828" t="s">
        <v>22</v>
      </c>
      <c r="K700" s="2363" t="s">
        <v>22</v>
      </c>
      <c r="L700" s="828" t="s">
        <v>22</v>
      </c>
      <c r="M700" s="2363" t="s">
        <v>22</v>
      </c>
      <c r="N700" s="828" t="s">
        <v>22</v>
      </c>
      <c r="O700" s="2363" t="s">
        <v>22</v>
      </c>
      <c r="P700" s="828" t="s">
        <v>22</v>
      </c>
      <c r="Q700" s="1535"/>
      <c r="R700" s="1645"/>
      <c r="S700" s="1645"/>
      <c r="T700" s="1645"/>
      <c r="U700" s="1645"/>
      <c r="V700" s="1645"/>
      <c r="W700" s="1645"/>
      <c r="X700" s="1645"/>
      <c r="Y700" s="1645"/>
      <c r="Z700" s="1645"/>
      <c r="AA700" s="685"/>
      <c r="AB700" s="1645">
        <v>0</v>
      </c>
    </row>
    <row s="1860" customFormat="1" customHeight="1" ht="15">
      <c r="A701" s="1645"/>
      <c r="B701" s="2407"/>
      <c r="C701" s="2408"/>
      <c r="D701" s="699" t="str">
        <f>B700&amp;".2"</f>
        <v>3.222.2</v>
      </c>
      <c r="E701" s="1677" t="s">
        <v>967</v>
      </c>
      <c r="F701" s="2273" t="s">
        <v>328</v>
      </c>
      <c r="G701" s="1748" t="s">
        <v>22</v>
      </c>
      <c r="H701" s="828" t="s">
        <v>22</v>
      </c>
      <c r="I701" s="1748">
        <v>46171</v>
      </c>
      <c r="J701" s="828" t="s">
        <v>22</v>
      </c>
      <c r="K701" s="1748" t="s">
        <v>22</v>
      </c>
      <c r="L701" s="828" t="s">
        <v>22</v>
      </c>
      <c r="M701" s="1748" t="s">
        <v>22</v>
      </c>
      <c r="N701" s="828" t="s">
        <v>22</v>
      </c>
      <c r="O701" s="1748" t="s">
        <v>22</v>
      </c>
      <c r="P701" s="828" t="s">
        <v>22</v>
      </c>
      <c r="Q701" s="1535" t="s">
        <v>968</v>
      </c>
      <c r="R701" s="1645"/>
      <c r="S701" s="1645"/>
      <c r="T701" s="1645"/>
      <c r="U701" s="1645"/>
      <c r="V701" s="1645"/>
      <c r="W701" s="1645"/>
      <c r="X701" s="1645"/>
      <c r="Y701" s="1645"/>
      <c r="Z701" s="1645"/>
      <c r="AA701" s="685"/>
      <c r="AB701" s="1645">
        <v>0</v>
      </c>
    </row>
    <row s="1860" customFormat="1" customHeight="1" ht="15">
      <c r="A702" s="1645"/>
      <c r="B702" s="2407"/>
      <c r="C702" s="2408"/>
      <c r="D702" s="699" t="str">
        <f>B700&amp;".3"</f>
        <v>3.222.3</v>
      </c>
      <c r="E702" s="1677" t="s">
        <v>969</v>
      </c>
      <c r="F702" s="2273" t="s">
        <v>328</v>
      </c>
      <c r="G702" s="1748" t="s">
        <v>22</v>
      </c>
      <c r="H702" s="828" t="s">
        <v>22</v>
      </c>
      <c r="I702" s="1748" t="s">
        <v>22</v>
      </c>
      <c r="J702" s="828" t="s">
        <v>22</v>
      </c>
      <c r="K702" s="1748" t="s">
        <v>22</v>
      </c>
      <c r="L702" s="828" t="s">
        <v>22</v>
      </c>
      <c r="M702" s="1748" t="s">
        <v>22</v>
      </c>
      <c r="N702" s="828" t="s">
        <v>22</v>
      </c>
      <c r="O702" s="1748" t="s">
        <v>22</v>
      </c>
      <c r="P702" s="828" t="s">
        <v>22</v>
      </c>
      <c r="Q702" s="1535" t="s">
        <v>970</v>
      </c>
      <c r="R702" s="1645"/>
      <c r="S702" s="1645"/>
      <c r="T702" s="1645"/>
      <c r="U702" s="1645"/>
      <c r="V702" s="1645"/>
      <c r="W702" s="1645"/>
      <c r="X702" s="1645"/>
      <c r="Y702" s="1645"/>
      <c r="Z702" s="1645"/>
      <c r="AA702" s="685"/>
      <c r="AB702" s="1645">
        <v>0</v>
      </c>
    </row>
    <row s="1860" customFormat="1" customHeight="1" ht="22.5">
      <c r="A703" s="1645"/>
      <c r="B703" s="2407" t="s">
        <v>1216</v>
      </c>
      <c r="C703" s="2408" t="s">
        <v>105</v>
      </c>
      <c r="D703" s="699" t="str">
        <f>B703&amp;".1"</f>
        <v>3.223.1</v>
      </c>
      <c r="E703" s="1677" t="s">
        <v>966</v>
      </c>
      <c r="F703" s="2273" t="s">
        <v>328</v>
      </c>
      <c r="G703" s="2363" t="s">
        <v>22</v>
      </c>
      <c r="H703" s="828" t="s">
        <v>22</v>
      </c>
      <c r="I703" s="2363" t="s">
        <v>983</v>
      </c>
      <c r="J703" s="828" t="s">
        <v>22</v>
      </c>
      <c r="K703" s="2363" t="s">
        <v>22</v>
      </c>
      <c r="L703" s="828" t="s">
        <v>22</v>
      </c>
      <c r="M703" s="2363" t="s">
        <v>22</v>
      </c>
      <c r="N703" s="828" t="s">
        <v>22</v>
      </c>
      <c r="O703" s="2363" t="s">
        <v>22</v>
      </c>
      <c r="P703" s="828" t="s">
        <v>22</v>
      </c>
      <c r="Q703" s="1535"/>
      <c r="R703" s="1645"/>
      <c r="S703" s="1645"/>
      <c r="T703" s="1645"/>
      <c r="U703" s="1645"/>
      <c r="V703" s="1645"/>
      <c r="W703" s="1645"/>
      <c r="X703" s="1645"/>
      <c r="Y703" s="1645"/>
      <c r="Z703" s="1645"/>
      <c r="AA703" s="685"/>
      <c r="AB703" s="1645">
        <v>0</v>
      </c>
    </row>
    <row s="1860" customFormat="1" customHeight="1" ht="15">
      <c r="A704" s="1645"/>
      <c r="B704" s="2407"/>
      <c r="C704" s="2408"/>
      <c r="D704" s="699" t="str">
        <f>B703&amp;".2"</f>
        <v>3.223.2</v>
      </c>
      <c r="E704" s="1677" t="s">
        <v>967</v>
      </c>
      <c r="F704" s="2273" t="s">
        <v>328</v>
      </c>
      <c r="G704" s="1748" t="s">
        <v>22</v>
      </c>
      <c r="H704" s="828" t="s">
        <v>22</v>
      </c>
      <c r="I704" s="1748">
        <v>46171</v>
      </c>
      <c r="J704" s="828" t="s">
        <v>22</v>
      </c>
      <c r="K704" s="1748" t="s">
        <v>22</v>
      </c>
      <c r="L704" s="828" t="s">
        <v>22</v>
      </c>
      <c r="M704" s="1748" t="s">
        <v>22</v>
      </c>
      <c r="N704" s="828" t="s">
        <v>22</v>
      </c>
      <c r="O704" s="1748" t="s">
        <v>22</v>
      </c>
      <c r="P704" s="828" t="s">
        <v>22</v>
      </c>
      <c r="Q704" s="1535" t="s">
        <v>968</v>
      </c>
      <c r="R704" s="1645"/>
      <c r="S704" s="1645"/>
      <c r="T704" s="1645"/>
      <c r="U704" s="1645"/>
      <c r="V704" s="1645"/>
      <c r="W704" s="1645"/>
      <c r="X704" s="1645"/>
      <c r="Y704" s="1645"/>
      <c r="Z704" s="1645"/>
      <c r="AA704" s="685"/>
      <c r="AB704" s="1645">
        <v>0</v>
      </c>
    </row>
    <row s="1860" customFormat="1" customHeight="1" ht="15">
      <c r="A705" s="1645"/>
      <c r="B705" s="2407"/>
      <c r="C705" s="2408"/>
      <c r="D705" s="699" t="str">
        <f>B703&amp;".3"</f>
        <v>3.223.3</v>
      </c>
      <c r="E705" s="1677" t="s">
        <v>969</v>
      </c>
      <c r="F705" s="2273" t="s">
        <v>328</v>
      </c>
      <c r="G705" s="1748" t="s">
        <v>22</v>
      </c>
      <c r="H705" s="828" t="s">
        <v>22</v>
      </c>
      <c r="I705" s="1748" t="s">
        <v>22</v>
      </c>
      <c r="J705" s="828" t="s">
        <v>22</v>
      </c>
      <c r="K705" s="1748" t="s">
        <v>22</v>
      </c>
      <c r="L705" s="828" t="s">
        <v>22</v>
      </c>
      <c r="M705" s="1748" t="s">
        <v>22</v>
      </c>
      <c r="N705" s="828" t="s">
        <v>22</v>
      </c>
      <c r="O705" s="1748" t="s">
        <v>22</v>
      </c>
      <c r="P705" s="828" t="s">
        <v>22</v>
      </c>
      <c r="Q705" s="1535" t="s">
        <v>970</v>
      </c>
      <c r="R705" s="1645"/>
      <c r="S705" s="1645"/>
      <c r="T705" s="1645"/>
      <c r="U705" s="1645"/>
      <c r="V705" s="1645"/>
      <c r="W705" s="1645"/>
      <c r="X705" s="1645"/>
      <c r="Y705" s="1645"/>
      <c r="Z705" s="1645"/>
      <c r="AA705" s="685"/>
      <c r="AB705" s="1645">
        <v>0</v>
      </c>
    </row>
    <row s="1860" customFormat="1" customHeight="1" ht="22.5">
      <c r="A706" s="1645"/>
      <c r="B706" s="2407" t="s">
        <v>1217</v>
      </c>
      <c r="C706" s="2408" t="s">
        <v>105</v>
      </c>
      <c r="D706" s="699" t="str">
        <f>B706&amp;".1"</f>
        <v>3.224.1</v>
      </c>
      <c r="E706" s="1677" t="s">
        <v>966</v>
      </c>
      <c r="F706" s="2273" t="s">
        <v>328</v>
      </c>
      <c r="G706" s="2363" t="s">
        <v>22</v>
      </c>
      <c r="H706" s="828" t="s">
        <v>22</v>
      </c>
      <c r="I706" s="2363" t="s">
        <v>983</v>
      </c>
      <c r="J706" s="828" t="s">
        <v>22</v>
      </c>
      <c r="K706" s="2363" t="s">
        <v>22</v>
      </c>
      <c r="L706" s="828" t="s">
        <v>22</v>
      </c>
      <c r="M706" s="2363" t="s">
        <v>22</v>
      </c>
      <c r="N706" s="828" t="s">
        <v>22</v>
      </c>
      <c r="O706" s="2363" t="s">
        <v>22</v>
      </c>
      <c r="P706" s="828" t="s">
        <v>22</v>
      </c>
      <c r="Q706" s="1535"/>
      <c r="R706" s="1645"/>
      <c r="S706" s="1645"/>
      <c r="T706" s="1645"/>
      <c r="U706" s="1645"/>
      <c r="V706" s="1645"/>
      <c r="W706" s="1645"/>
      <c r="X706" s="1645"/>
      <c r="Y706" s="1645"/>
      <c r="Z706" s="1645"/>
      <c r="AA706" s="685"/>
      <c r="AB706" s="1645">
        <v>0</v>
      </c>
    </row>
    <row s="1860" customFormat="1" customHeight="1" ht="15">
      <c r="A707" s="1645"/>
      <c r="B707" s="2407"/>
      <c r="C707" s="2408"/>
      <c r="D707" s="699" t="str">
        <f>B706&amp;".2"</f>
        <v>3.224.2</v>
      </c>
      <c r="E707" s="1677" t="s">
        <v>967</v>
      </c>
      <c r="F707" s="2273" t="s">
        <v>328</v>
      </c>
      <c r="G707" s="1748" t="s">
        <v>22</v>
      </c>
      <c r="H707" s="828" t="s">
        <v>22</v>
      </c>
      <c r="I707" s="1748">
        <v>46171</v>
      </c>
      <c r="J707" s="828" t="s">
        <v>22</v>
      </c>
      <c r="K707" s="1748" t="s">
        <v>22</v>
      </c>
      <c r="L707" s="828" t="s">
        <v>22</v>
      </c>
      <c r="M707" s="1748" t="s">
        <v>22</v>
      </c>
      <c r="N707" s="828" t="s">
        <v>22</v>
      </c>
      <c r="O707" s="1748" t="s">
        <v>22</v>
      </c>
      <c r="P707" s="828" t="s">
        <v>22</v>
      </c>
      <c r="Q707" s="1535" t="s">
        <v>968</v>
      </c>
      <c r="R707" s="1645"/>
      <c r="S707" s="1645"/>
      <c r="T707" s="1645"/>
      <c r="U707" s="1645"/>
      <c r="V707" s="1645"/>
      <c r="W707" s="1645"/>
      <c r="X707" s="1645"/>
      <c r="Y707" s="1645"/>
      <c r="Z707" s="1645"/>
      <c r="AA707" s="685"/>
      <c r="AB707" s="1645">
        <v>0</v>
      </c>
    </row>
    <row s="1860" customFormat="1" customHeight="1" ht="15">
      <c r="A708" s="1645"/>
      <c r="B708" s="2407"/>
      <c r="C708" s="2408"/>
      <c r="D708" s="699" t="str">
        <f>B706&amp;".3"</f>
        <v>3.224.3</v>
      </c>
      <c r="E708" s="1677" t="s">
        <v>969</v>
      </c>
      <c r="F708" s="2273" t="s">
        <v>328</v>
      </c>
      <c r="G708" s="1748" t="s">
        <v>22</v>
      </c>
      <c r="H708" s="828" t="s">
        <v>22</v>
      </c>
      <c r="I708" s="1748" t="s">
        <v>22</v>
      </c>
      <c r="J708" s="828" t="s">
        <v>22</v>
      </c>
      <c r="K708" s="1748" t="s">
        <v>22</v>
      </c>
      <c r="L708" s="828" t="s">
        <v>22</v>
      </c>
      <c r="M708" s="1748" t="s">
        <v>22</v>
      </c>
      <c r="N708" s="828" t="s">
        <v>22</v>
      </c>
      <c r="O708" s="1748" t="s">
        <v>22</v>
      </c>
      <c r="P708" s="828" t="s">
        <v>22</v>
      </c>
      <c r="Q708" s="1535" t="s">
        <v>970</v>
      </c>
      <c r="R708" s="1645"/>
      <c r="S708" s="1645"/>
      <c r="T708" s="1645"/>
      <c r="U708" s="1645"/>
      <c r="V708" s="1645"/>
      <c r="W708" s="1645"/>
      <c r="X708" s="1645"/>
      <c r="Y708" s="1645"/>
      <c r="Z708" s="1645"/>
      <c r="AA708" s="685"/>
      <c r="AB708" s="1645">
        <v>0</v>
      </c>
    </row>
    <row s="1860" customFormat="1" customHeight="1" ht="22.5">
      <c r="A709" s="1645"/>
      <c r="B709" s="2407" t="s">
        <v>1218</v>
      </c>
      <c r="C709" s="2408" t="s">
        <v>105</v>
      </c>
      <c r="D709" s="699" t="str">
        <f>B709&amp;".1"</f>
        <v>3.225.1</v>
      </c>
      <c r="E709" s="1677" t="s">
        <v>966</v>
      </c>
      <c r="F709" s="2273" t="s">
        <v>328</v>
      </c>
      <c r="G709" s="2363" t="s">
        <v>22</v>
      </c>
      <c r="H709" s="828" t="s">
        <v>22</v>
      </c>
      <c r="I709" s="2363" t="s">
        <v>983</v>
      </c>
      <c r="J709" s="828" t="s">
        <v>22</v>
      </c>
      <c r="K709" s="2363" t="s">
        <v>22</v>
      </c>
      <c r="L709" s="828" t="s">
        <v>22</v>
      </c>
      <c r="M709" s="2363" t="s">
        <v>22</v>
      </c>
      <c r="N709" s="828" t="s">
        <v>22</v>
      </c>
      <c r="O709" s="2363" t="s">
        <v>22</v>
      </c>
      <c r="P709" s="828" t="s">
        <v>22</v>
      </c>
      <c r="Q709" s="1535"/>
      <c r="R709" s="1645"/>
      <c r="S709" s="1645"/>
      <c r="T709" s="1645"/>
      <c r="U709" s="1645"/>
      <c r="V709" s="1645"/>
      <c r="W709" s="1645"/>
      <c r="X709" s="1645"/>
      <c r="Y709" s="1645"/>
      <c r="Z709" s="1645"/>
      <c r="AA709" s="685"/>
      <c r="AB709" s="1645">
        <v>0</v>
      </c>
    </row>
    <row s="1860" customFormat="1" customHeight="1" ht="15">
      <c r="A710" s="1645"/>
      <c r="B710" s="2407"/>
      <c r="C710" s="2408"/>
      <c r="D710" s="699" t="str">
        <f>B709&amp;".2"</f>
        <v>3.225.2</v>
      </c>
      <c r="E710" s="1677" t="s">
        <v>967</v>
      </c>
      <c r="F710" s="2273" t="s">
        <v>328</v>
      </c>
      <c r="G710" s="1748" t="s">
        <v>22</v>
      </c>
      <c r="H710" s="828" t="s">
        <v>22</v>
      </c>
      <c r="I710" s="1748">
        <v>46174</v>
      </c>
      <c r="J710" s="828" t="s">
        <v>22</v>
      </c>
      <c r="K710" s="1748" t="s">
        <v>22</v>
      </c>
      <c r="L710" s="828" t="s">
        <v>22</v>
      </c>
      <c r="M710" s="1748" t="s">
        <v>22</v>
      </c>
      <c r="N710" s="828" t="s">
        <v>22</v>
      </c>
      <c r="O710" s="1748" t="s">
        <v>22</v>
      </c>
      <c r="P710" s="828" t="s">
        <v>22</v>
      </c>
      <c r="Q710" s="1535" t="s">
        <v>968</v>
      </c>
      <c r="R710" s="1645"/>
      <c r="S710" s="1645"/>
      <c r="T710" s="1645"/>
      <c r="U710" s="1645"/>
      <c r="V710" s="1645"/>
      <c r="W710" s="1645"/>
      <c r="X710" s="1645"/>
      <c r="Y710" s="1645"/>
      <c r="Z710" s="1645"/>
      <c r="AA710" s="685"/>
      <c r="AB710" s="1645">
        <v>0</v>
      </c>
    </row>
    <row s="1860" customFormat="1" customHeight="1" ht="15">
      <c r="A711" s="1645"/>
      <c r="B711" s="2407"/>
      <c r="C711" s="2408"/>
      <c r="D711" s="699" t="str">
        <f>B709&amp;".3"</f>
        <v>3.225.3</v>
      </c>
      <c r="E711" s="1677" t="s">
        <v>969</v>
      </c>
      <c r="F711" s="2273" t="s">
        <v>328</v>
      </c>
      <c r="G711" s="1748" t="s">
        <v>22</v>
      </c>
      <c r="H711" s="828" t="s">
        <v>22</v>
      </c>
      <c r="I711" s="1748" t="s">
        <v>22</v>
      </c>
      <c r="J711" s="828" t="s">
        <v>22</v>
      </c>
      <c r="K711" s="1748" t="s">
        <v>22</v>
      </c>
      <c r="L711" s="828" t="s">
        <v>22</v>
      </c>
      <c r="M711" s="1748" t="s">
        <v>22</v>
      </c>
      <c r="N711" s="828" t="s">
        <v>22</v>
      </c>
      <c r="O711" s="1748" t="s">
        <v>22</v>
      </c>
      <c r="P711" s="828" t="s">
        <v>22</v>
      </c>
      <c r="Q711" s="1535" t="s">
        <v>970</v>
      </c>
      <c r="R711" s="1645"/>
      <c r="S711" s="1645"/>
      <c r="T711" s="1645"/>
      <c r="U711" s="1645"/>
      <c r="V711" s="1645"/>
      <c r="W711" s="1645"/>
      <c r="X711" s="1645"/>
      <c r="Y711" s="1645"/>
      <c r="Z711" s="1645"/>
      <c r="AA711" s="685"/>
      <c r="AB711" s="1645">
        <v>0</v>
      </c>
    </row>
    <row s="1860" customFormat="1" customHeight="1" ht="22.5">
      <c r="A712" s="1645"/>
      <c r="B712" s="2407" t="s">
        <v>1219</v>
      </c>
      <c r="C712" s="2408" t="s">
        <v>105</v>
      </c>
      <c r="D712" s="699" t="str">
        <f>B712&amp;".1"</f>
        <v>3.226.1</v>
      </c>
      <c r="E712" s="1677" t="s">
        <v>966</v>
      </c>
      <c r="F712" s="2273" t="s">
        <v>328</v>
      </c>
      <c r="G712" s="2363" t="s">
        <v>22</v>
      </c>
      <c r="H712" s="828" t="s">
        <v>22</v>
      </c>
      <c r="I712" s="2363" t="s">
        <v>983</v>
      </c>
      <c r="J712" s="828" t="s">
        <v>22</v>
      </c>
      <c r="K712" s="2363" t="s">
        <v>22</v>
      </c>
      <c r="L712" s="828" t="s">
        <v>22</v>
      </c>
      <c r="M712" s="2363" t="s">
        <v>22</v>
      </c>
      <c r="N712" s="828" t="s">
        <v>22</v>
      </c>
      <c r="O712" s="2363" t="s">
        <v>22</v>
      </c>
      <c r="P712" s="828" t="s">
        <v>22</v>
      </c>
      <c r="Q712" s="1535"/>
      <c r="R712" s="1645"/>
      <c r="S712" s="1645"/>
      <c r="T712" s="1645"/>
      <c r="U712" s="1645"/>
      <c r="V712" s="1645"/>
      <c r="W712" s="1645"/>
      <c r="X712" s="1645"/>
      <c r="Y712" s="1645"/>
      <c r="Z712" s="1645"/>
      <c r="AA712" s="685"/>
      <c r="AB712" s="1645">
        <v>0</v>
      </c>
    </row>
    <row s="1860" customFormat="1" customHeight="1" ht="15">
      <c r="A713" s="1645"/>
      <c r="B713" s="2407"/>
      <c r="C713" s="2408"/>
      <c r="D713" s="699" t="str">
        <f>B712&amp;".2"</f>
        <v>3.226.2</v>
      </c>
      <c r="E713" s="1677" t="s">
        <v>967</v>
      </c>
      <c r="F713" s="2273" t="s">
        <v>328</v>
      </c>
      <c r="G713" s="1748" t="s">
        <v>22</v>
      </c>
      <c r="H713" s="828" t="s">
        <v>22</v>
      </c>
      <c r="I713" s="1748">
        <v>46174</v>
      </c>
      <c r="J713" s="828" t="s">
        <v>22</v>
      </c>
      <c r="K713" s="1748" t="s">
        <v>22</v>
      </c>
      <c r="L713" s="828" t="s">
        <v>22</v>
      </c>
      <c r="M713" s="1748" t="s">
        <v>22</v>
      </c>
      <c r="N713" s="828" t="s">
        <v>22</v>
      </c>
      <c r="O713" s="1748" t="s">
        <v>22</v>
      </c>
      <c r="P713" s="828" t="s">
        <v>22</v>
      </c>
      <c r="Q713" s="1535" t="s">
        <v>968</v>
      </c>
      <c r="R713" s="1645"/>
      <c r="S713" s="1645"/>
      <c r="T713" s="1645"/>
      <c r="U713" s="1645"/>
      <c r="V713" s="1645"/>
      <c r="W713" s="1645"/>
      <c r="X713" s="1645"/>
      <c r="Y713" s="1645"/>
      <c r="Z713" s="1645"/>
      <c r="AA713" s="685"/>
      <c r="AB713" s="1645">
        <v>0</v>
      </c>
    </row>
    <row s="1860" customFormat="1" customHeight="1" ht="15">
      <c r="A714" s="1645"/>
      <c r="B714" s="2407"/>
      <c r="C714" s="2408"/>
      <c r="D714" s="699" t="str">
        <f>B712&amp;".3"</f>
        <v>3.226.3</v>
      </c>
      <c r="E714" s="1677" t="s">
        <v>969</v>
      </c>
      <c r="F714" s="2273" t="s">
        <v>328</v>
      </c>
      <c r="G714" s="1748" t="s">
        <v>22</v>
      </c>
      <c r="H714" s="828" t="s">
        <v>22</v>
      </c>
      <c r="I714" s="1748" t="s">
        <v>22</v>
      </c>
      <c r="J714" s="828" t="s">
        <v>22</v>
      </c>
      <c r="K714" s="1748" t="s">
        <v>22</v>
      </c>
      <c r="L714" s="828" t="s">
        <v>22</v>
      </c>
      <c r="M714" s="1748" t="s">
        <v>22</v>
      </c>
      <c r="N714" s="828" t="s">
        <v>22</v>
      </c>
      <c r="O714" s="1748" t="s">
        <v>22</v>
      </c>
      <c r="P714" s="828" t="s">
        <v>22</v>
      </c>
      <c r="Q714" s="1535" t="s">
        <v>970</v>
      </c>
      <c r="R714" s="1645"/>
      <c r="S714" s="1645"/>
      <c r="T714" s="1645"/>
      <c r="U714" s="1645"/>
      <c r="V714" s="1645"/>
      <c r="W714" s="1645"/>
      <c r="X714" s="1645"/>
      <c r="Y714" s="1645"/>
      <c r="Z714" s="1645"/>
      <c r="AA714" s="685"/>
      <c r="AB714" s="1645">
        <v>0</v>
      </c>
    </row>
    <row s="1860" customFormat="1" customHeight="1" ht="22.5">
      <c r="A715" s="1645"/>
      <c r="B715" s="2407" t="s">
        <v>1220</v>
      </c>
      <c r="C715" s="2408" t="s">
        <v>105</v>
      </c>
      <c r="D715" s="699" t="str">
        <f>B715&amp;".1"</f>
        <v>3.227.1</v>
      </c>
      <c r="E715" s="1677" t="s">
        <v>966</v>
      </c>
      <c r="F715" s="2273" t="s">
        <v>328</v>
      </c>
      <c r="G715" s="2363" t="s">
        <v>22</v>
      </c>
      <c r="H715" s="828" t="s">
        <v>22</v>
      </c>
      <c r="I715" s="2363" t="s">
        <v>983</v>
      </c>
      <c r="J715" s="828" t="s">
        <v>22</v>
      </c>
      <c r="K715" s="2363" t="s">
        <v>22</v>
      </c>
      <c r="L715" s="828" t="s">
        <v>22</v>
      </c>
      <c r="M715" s="2363" t="s">
        <v>22</v>
      </c>
      <c r="N715" s="828" t="s">
        <v>22</v>
      </c>
      <c r="O715" s="2363" t="s">
        <v>22</v>
      </c>
      <c r="P715" s="828" t="s">
        <v>22</v>
      </c>
      <c r="Q715" s="1535"/>
      <c r="R715" s="1645"/>
      <c r="S715" s="1645"/>
      <c r="T715" s="1645"/>
      <c r="U715" s="1645"/>
      <c r="V715" s="1645"/>
      <c r="W715" s="1645"/>
      <c r="X715" s="1645"/>
      <c r="Y715" s="1645"/>
      <c r="Z715" s="1645"/>
      <c r="AA715" s="685"/>
      <c r="AB715" s="1645">
        <v>0</v>
      </c>
    </row>
    <row s="1860" customFormat="1" customHeight="1" ht="15">
      <c r="A716" s="1645"/>
      <c r="B716" s="2407"/>
      <c r="C716" s="2408"/>
      <c r="D716" s="699" t="str">
        <f>B715&amp;".2"</f>
        <v>3.227.2</v>
      </c>
      <c r="E716" s="1677" t="s">
        <v>967</v>
      </c>
      <c r="F716" s="2273" t="s">
        <v>328</v>
      </c>
      <c r="G716" s="1748" t="s">
        <v>22</v>
      </c>
      <c r="H716" s="828" t="s">
        <v>22</v>
      </c>
      <c r="I716" s="1748">
        <v>46174</v>
      </c>
      <c r="J716" s="828" t="s">
        <v>22</v>
      </c>
      <c r="K716" s="1748" t="s">
        <v>22</v>
      </c>
      <c r="L716" s="828" t="s">
        <v>22</v>
      </c>
      <c r="M716" s="1748" t="s">
        <v>22</v>
      </c>
      <c r="N716" s="828" t="s">
        <v>22</v>
      </c>
      <c r="O716" s="1748" t="s">
        <v>22</v>
      </c>
      <c r="P716" s="828" t="s">
        <v>22</v>
      </c>
      <c r="Q716" s="1535" t="s">
        <v>968</v>
      </c>
      <c r="R716" s="1645"/>
      <c r="S716" s="1645"/>
      <c r="T716" s="1645"/>
      <c r="U716" s="1645"/>
      <c r="V716" s="1645"/>
      <c r="W716" s="1645"/>
      <c r="X716" s="1645"/>
      <c r="Y716" s="1645"/>
      <c r="Z716" s="1645"/>
      <c r="AA716" s="685"/>
      <c r="AB716" s="1645">
        <v>0</v>
      </c>
    </row>
    <row s="1860" customFormat="1" customHeight="1" ht="15">
      <c r="A717" s="1645"/>
      <c r="B717" s="2407"/>
      <c r="C717" s="2408"/>
      <c r="D717" s="699" t="str">
        <f>B715&amp;".3"</f>
        <v>3.227.3</v>
      </c>
      <c r="E717" s="1677" t="s">
        <v>969</v>
      </c>
      <c r="F717" s="2273" t="s">
        <v>328</v>
      </c>
      <c r="G717" s="1748" t="s">
        <v>22</v>
      </c>
      <c r="H717" s="828" t="s">
        <v>22</v>
      </c>
      <c r="I717" s="1748" t="s">
        <v>22</v>
      </c>
      <c r="J717" s="828" t="s">
        <v>22</v>
      </c>
      <c r="K717" s="1748" t="s">
        <v>22</v>
      </c>
      <c r="L717" s="828" t="s">
        <v>22</v>
      </c>
      <c r="M717" s="1748" t="s">
        <v>22</v>
      </c>
      <c r="N717" s="828" t="s">
        <v>22</v>
      </c>
      <c r="O717" s="1748" t="s">
        <v>22</v>
      </c>
      <c r="P717" s="828" t="s">
        <v>22</v>
      </c>
      <c r="Q717" s="1535" t="s">
        <v>970</v>
      </c>
      <c r="R717" s="1645"/>
      <c r="S717" s="1645"/>
      <c r="T717" s="1645"/>
      <c r="U717" s="1645"/>
      <c r="V717" s="1645"/>
      <c r="W717" s="1645"/>
      <c r="X717" s="1645"/>
      <c r="Y717" s="1645"/>
      <c r="Z717" s="1645"/>
      <c r="AA717" s="685"/>
      <c r="AB717" s="1645">
        <v>0</v>
      </c>
    </row>
    <row s="1860" customFormat="1" customHeight="1" ht="22.5">
      <c r="A718" s="1645"/>
      <c r="B718" s="2407" t="s">
        <v>1221</v>
      </c>
      <c r="C718" s="2408" t="s">
        <v>105</v>
      </c>
      <c r="D718" s="699" t="str">
        <f>B718&amp;".1"</f>
        <v>3.228.1</v>
      </c>
      <c r="E718" s="1677" t="s">
        <v>966</v>
      </c>
      <c r="F718" s="2273" t="s">
        <v>328</v>
      </c>
      <c r="G718" s="2363" t="s">
        <v>22</v>
      </c>
      <c r="H718" s="828" t="s">
        <v>22</v>
      </c>
      <c r="I718" s="2363" t="s">
        <v>983</v>
      </c>
      <c r="J718" s="828" t="s">
        <v>22</v>
      </c>
      <c r="K718" s="2363" t="s">
        <v>22</v>
      </c>
      <c r="L718" s="828" t="s">
        <v>22</v>
      </c>
      <c r="M718" s="2363" t="s">
        <v>22</v>
      </c>
      <c r="N718" s="828" t="s">
        <v>22</v>
      </c>
      <c r="O718" s="2363" t="s">
        <v>22</v>
      </c>
      <c r="P718" s="828" t="s">
        <v>22</v>
      </c>
      <c r="Q718" s="1535"/>
      <c r="R718" s="1645"/>
      <c r="S718" s="1645"/>
      <c r="T718" s="1645"/>
      <c r="U718" s="1645"/>
      <c r="V718" s="1645"/>
      <c r="W718" s="1645"/>
      <c r="X718" s="1645"/>
      <c r="Y718" s="1645"/>
      <c r="Z718" s="1645"/>
      <c r="AA718" s="685"/>
      <c r="AB718" s="1645">
        <v>0</v>
      </c>
    </row>
    <row s="1860" customFormat="1" customHeight="1" ht="15">
      <c r="A719" s="1645"/>
      <c r="B719" s="2407"/>
      <c r="C719" s="2408"/>
      <c r="D719" s="699" t="str">
        <f>B718&amp;".2"</f>
        <v>3.228.2</v>
      </c>
      <c r="E719" s="1677" t="s">
        <v>967</v>
      </c>
      <c r="F719" s="2273" t="s">
        <v>328</v>
      </c>
      <c r="G719" s="1748" t="s">
        <v>22</v>
      </c>
      <c r="H719" s="828" t="s">
        <v>22</v>
      </c>
      <c r="I719" s="1748">
        <v>46174</v>
      </c>
      <c r="J719" s="828" t="s">
        <v>22</v>
      </c>
      <c r="K719" s="1748" t="s">
        <v>22</v>
      </c>
      <c r="L719" s="828" t="s">
        <v>22</v>
      </c>
      <c r="M719" s="1748" t="s">
        <v>22</v>
      </c>
      <c r="N719" s="828" t="s">
        <v>22</v>
      </c>
      <c r="O719" s="1748" t="s">
        <v>22</v>
      </c>
      <c r="P719" s="828" t="s">
        <v>22</v>
      </c>
      <c r="Q719" s="1535" t="s">
        <v>968</v>
      </c>
      <c r="R719" s="1645"/>
      <c r="S719" s="1645"/>
      <c r="T719" s="1645"/>
      <c r="U719" s="1645"/>
      <c r="V719" s="1645"/>
      <c r="W719" s="1645"/>
      <c r="X719" s="1645"/>
      <c r="Y719" s="1645"/>
      <c r="Z719" s="1645"/>
      <c r="AA719" s="685"/>
      <c r="AB719" s="1645">
        <v>0</v>
      </c>
    </row>
    <row s="1860" customFormat="1" customHeight="1" ht="15">
      <c r="A720" s="1645"/>
      <c r="B720" s="2407"/>
      <c r="C720" s="2408"/>
      <c r="D720" s="699" t="str">
        <f>B718&amp;".3"</f>
        <v>3.228.3</v>
      </c>
      <c r="E720" s="1677" t="s">
        <v>969</v>
      </c>
      <c r="F720" s="2273" t="s">
        <v>328</v>
      </c>
      <c r="G720" s="1748" t="s">
        <v>22</v>
      </c>
      <c r="H720" s="828" t="s">
        <v>22</v>
      </c>
      <c r="I720" s="1748" t="s">
        <v>22</v>
      </c>
      <c r="J720" s="828" t="s">
        <v>22</v>
      </c>
      <c r="K720" s="1748" t="s">
        <v>22</v>
      </c>
      <c r="L720" s="828" t="s">
        <v>22</v>
      </c>
      <c r="M720" s="1748" t="s">
        <v>22</v>
      </c>
      <c r="N720" s="828" t="s">
        <v>22</v>
      </c>
      <c r="O720" s="1748" t="s">
        <v>22</v>
      </c>
      <c r="P720" s="828" t="s">
        <v>22</v>
      </c>
      <c r="Q720" s="1535" t="s">
        <v>970</v>
      </c>
      <c r="R720" s="1645"/>
      <c r="S720" s="1645"/>
      <c r="T720" s="1645"/>
      <c r="U720" s="1645"/>
      <c r="V720" s="1645"/>
      <c r="W720" s="1645"/>
      <c r="X720" s="1645"/>
      <c r="Y720" s="1645"/>
      <c r="Z720" s="1645"/>
      <c r="AA720" s="685"/>
      <c r="AB720" s="1645">
        <v>0</v>
      </c>
    </row>
    <row s="1860" customFormat="1" customHeight="1" ht="22.5">
      <c r="A721" s="1645"/>
      <c r="B721" s="2407" t="s">
        <v>1222</v>
      </c>
      <c r="C721" s="2408" t="s">
        <v>105</v>
      </c>
      <c r="D721" s="699" t="str">
        <f>B721&amp;".1"</f>
        <v>3.229.1</v>
      </c>
      <c r="E721" s="1677" t="s">
        <v>966</v>
      </c>
      <c r="F721" s="2273" t="s">
        <v>328</v>
      </c>
      <c r="G721" s="2363" t="s">
        <v>22</v>
      </c>
      <c r="H721" s="828" t="s">
        <v>22</v>
      </c>
      <c r="I721" s="2363" t="s">
        <v>983</v>
      </c>
      <c r="J721" s="828" t="s">
        <v>22</v>
      </c>
      <c r="K721" s="2363" t="s">
        <v>22</v>
      </c>
      <c r="L721" s="828" t="s">
        <v>22</v>
      </c>
      <c r="M721" s="2363" t="s">
        <v>22</v>
      </c>
      <c r="N721" s="828" t="s">
        <v>22</v>
      </c>
      <c r="O721" s="2363" t="s">
        <v>22</v>
      </c>
      <c r="P721" s="828" t="s">
        <v>22</v>
      </c>
      <c r="Q721" s="1535"/>
      <c r="R721" s="1645"/>
      <c r="S721" s="1645"/>
      <c r="T721" s="1645"/>
      <c r="U721" s="1645"/>
      <c r="V721" s="1645"/>
      <c r="W721" s="1645"/>
      <c r="X721" s="1645"/>
      <c r="Y721" s="1645"/>
      <c r="Z721" s="1645"/>
      <c r="AA721" s="685"/>
      <c r="AB721" s="1645">
        <v>0</v>
      </c>
    </row>
    <row s="1860" customFormat="1" customHeight="1" ht="15">
      <c r="A722" s="1645"/>
      <c r="B722" s="2407"/>
      <c r="C722" s="2408"/>
      <c r="D722" s="699" t="str">
        <f>B721&amp;".2"</f>
        <v>3.229.2</v>
      </c>
      <c r="E722" s="1677" t="s">
        <v>967</v>
      </c>
      <c r="F722" s="2273" t="s">
        <v>328</v>
      </c>
      <c r="G722" s="1748" t="s">
        <v>22</v>
      </c>
      <c r="H722" s="828" t="s">
        <v>22</v>
      </c>
      <c r="I722" s="1748">
        <v>46174</v>
      </c>
      <c r="J722" s="828" t="s">
        <v>22</v>
      </c>
      <c r="K722" s="1748" t="s">
        <v>22</v>
      </c>
      <c r="L722" s="828" t="s">
        <v>22</v>
      </c>
      <c r="M722" s="1748" t="s">
        <v>22</v>
      </c>
      <c r="N722" s="828" t="s">
        <v>22</v>
      </c>
      <c r="O722" s="1748" t="s">
        <v>22</v>
      </c>
      <c r="P722" s="828" t="s">
        <v>22</v>
      </c>
      <c r="Q722" s="1535" t="s">
        <v>968</v>
      </c>
      <c r="R722" s="1645"/>
      <c r="S722" s="1645"/>
      <c r="T722" s="1645"/>
      <c r="U722" s="1645"/>
      <c r="V722" s="1645"/>
      <c r="W722" s="1645"/>
      <c r="X722" s="1645"/>
      <c r="Y722" s="1645"/>
      <c r="Z722" s="1645"/>
      <c r="AA722" s="685"/>
      <c r="AB722" s="1645">
        <v>0</v>
      </c>
    </row>
    <row s="1860" customFormat="1" customHeight="1" ht="15">
      <c r="A723" s="1645"/>
      <c r="B723" s="2407"/>
      <c r="C723" s="2408"/>
      <c r="D723" s="699" t="str">
        <f>B721&amp;".3"</f>
        <v>3.229.3</v>
      </c>
      <c r="E723" s="1677" t="s">
        <v>969</v>
      </c>
      <c r="F723" s="2273" t="s">
        <v>328</v>
      </c>
      <c r="G723" s="1748" t="s">
        <v>22</v>
      </c>
      <c r="H723" s="828" t="s">
        <v>22</v>
      </c>
      <c r="I723" s="1748" t="s">
        <v>22</v>
      </c>
      <c r="J723" s="828" t="s">
        <v>22</v>
      </c>
      <c r="K723" s="1748" t="s">
        <v>22</v>
      </c>
      <c r="L723" s="828" t="s">
        <v>22</v>
      </c>
      <c r="M723" s="1748" t="s">
        <v>22</v>
      </c>
      <c r="N723" s="828" t="s">
        <v>22</v>
      </c>
      <c r="O723" s="1748" t="s">
        <v>22</v>
      </c>
      <c r="P723" s="828" t="s">
        <v>22</v>
      </c>
      <c r="Q723" s="1535" t="s">
        <v>970</v>
      </c>
      <c r="R723" s="1645"/>
      <c r="S723" s="1645"/>
      <c r="T723" s="1645"/>
      <c r="U723" s="1645"/>
      <c r="V723" s="1645"/>
      <c r="W723" s="1645"/>
      <c r="X723" s="1645"/>
      <c r="Y723" s="1645"/>
      <c r="Z723" s="1645"/>
      <c r="AA723" s="685"/>
      <c r="AB723" s="1645">
        <v>0</v>
      </c>
    </row>
    <row s="1860" customFormat="1" customHeight="1" ht="22.5">
      <c r="A724" s="1645"/>
      <c r="B724" s="2407" t="s">
        <v>1223</v>
      </c>
      <c r="C724" s="2408" t="s">
        <v>105</v>
      </c>
      <c r="D724" s="699" t="str">
        <f>B724&amp;".1"</f>
        <v>3.230.1</v>
      </c>
      <c r="E724" s="1677" t="s">
        <v>966</v>
      </c>
      <c r="F724" s="2273" t="s">
        <v>328</v>
      </c>
      <c r="G724" s="2363" t="s">
        <v>22</v>
      </c>
      <c r="H724" s="828" t="s">
        <v>22</v>
      </c>
      <c r="I724" s="2363" t="s">
        <v>983</v>
      </c>
      <c r="J724" s="828" t="s">
        <v>22</v>
      </c>
      <c r="K724" s="2363" t="s">
        <v>22</v>
      </c>
      <c r="L724" s="828" t="s">
        <v>22</v>
      </c>
      <c r="M724" s="2363" t="s">
        <v>22</v>
      </c>
      <c r="N724" s="828" t="s">
        <v>22</v>
      </c>
      <c r="O724" s="2363" t="s">
        <v>22</v>
      </c>
      <c r="P724" s="828" t="s">
        <v>22</v>
      </c>
      <c r="Q724" s="1535"/>
      <c r="R724" s="1645"/>
      <c r="S724" s="1645"/>
      <c r="T724" s="1645"/>
      <c r="U724" s="1645"/>
      <c r="V724" s="1645"/>
      <c r="W724" s="1645"/>
      <c r="X724" s="1645"/>
      <c r="Y724" s="1645"/>
      <c r="Z724" s="1645"/>
      <c r="AA724" s="685"/>
      <c r="AB724" s="1645">
        <v>0</v>
      </c>
    </row>
    <row s="1860" customFormat="1" customHeight="1" ht="15">
      <c r="A725" s="1645"/>
      <c r="B725" s="2407"/>
      <c r="C725" s="2408"/>
      <c r="D725" s="699" t="str">
        <f>B724&amp;".2"</f>
        <v>3.230.2</v>
      </c>
      <c r="E725" s="1677" t="s">
        <v>967</v>
      </c>
      <c r="F725" s="2273" t="s">
        <v>328</v>
      </c>
      <c r="G725" s="1748" t="s">
        <v>22</v>
      </c>
      <c r="H725" s="828" t="s">
        <v>22</v>
      </c>
      <c r="I725" s="1748">
        <v>46174</v>
      </c>
      <c r="J725" s="828" t="s">
        <v>22</v>
      </c>
      <c r="K725" s="1748" t="s">
        <v>22</v>
      </c>
      <c r="L725" s="828" t="s">
        <v>22</v>
      </c>
      <c r="M725" s="1748" t="s">
        <v>22</v>
      </c>
      <c r="N725" s="828" t="s">
        <v>22</v>
      </c>
      <c r="O725" s="1748" t="s">
        <v>22</v>
      </c>
      <c r="P725" s="828" t="s">
        <v>22</v>
      </c>
      <c r="Q725" s="1535" t="s">
        <v>968</v>
      </c>
      <c r="R725" s="1645"/>
      <c r="S725" s="1645"/>
      <c r="T725" s="1645"/>
      <c r="U725" s="1645"/>
      <c r="V725" s="1645"/>
      <c r="W725" s="1645"/>
      <c r="X725" s="1645"/>
      <c r="Y725" s="1645"/>
      <c r="Z725" s="1645"/>
      <c r="AA725" s="685"/>
      <c r="AB725" s="1645">
        <v>0</v>
      </c>
    </row>
    <row s="1860" customFormat="1" customHeight="1" ht="15">
      <c r="A726" s="1645"/>
      <c r="B726" s="2407"/>
      <c r="C726" s="2408"/>
      <c r="D726" s="699" t="str">
        <f>B724&amp;".3"</f>
        <v>3.230.3</v>
      </c>
      <c r="E726" s="1677" t="s">
        <v>969</v>
      </c>
      <c r="F726" s="2273" t="s">
        <v>328</v>
      </c>
      <c r="G726" s="1748" t="s">
        <v>22</v>
      </c>
      <c r="H726" s="828" t="s">
        <v>22</v>
      </c>
      <c r="I726" s="1748" t="s">
        <v>22</v>
      </c>
      <c r="J726" s="828" t="s">
        <v>22</v>
      </c>
      <c r="K726" s="1748" t="s">
        <v>22</v>
      </c>
      <c r="L726" s="828" t="s">
        <v>22</v>
      </c>
      <c r="M726" s="1748" t="s">
        <v>22</v>
      </c>
      <c r="N726" s="828" t="s">
        <v>22</v>
      </c>
      <c r="O726" s="1748" t="s">
        <v>22</v>
      </c>
      <c r="P726" s="828" t="s">
        <v>22</v>
      </c>
      <c r="Q726" s="1535" t="s">
        <v>970</v>
      </c>
      <c r="R726" s="1645"/>
      <c r="S726" s="1645"/>
      <c r="T726" s="1645"/>
      <c r="U726" s="1645"/>
      <c r="V726" s="1645"/>
      <c r="W726" s="1645"/>
      <c r="X726" s="1645"/>
      <c r="Y726" s="1645"/>
      <c r="Z726" s="1645"/>
      <c r="AA726" s="685"/>
      <c r="AB726" s="1645">
        <v>0</v>
      </c>
    </row>
    <row s="1860" customFormat="1" customHeight="1" ht="22.5">
      <c r="A727" s="1645"/>
      <c r="B727" s="2407" t="s">
        <v>1224</v>
      </c>
      <c r="C727" s="2408" t="s">
        <v>105</v>
      </c>
      <c r="D727" s="699" t="str">
        <f>B727&amp;".1"</f>
        <v>3.231.1</v>
      </c>
      <c r="E727" s="1677" t="s">
        <v>966</v>
      </c>
      <c r="F727" s="2273" t="s">
        <v>328</v>
      </c>
      <c r="G727" s="2363" t="s">
        <v>22</v>
      </c>
      <c r="H727" s="828" t="s">
        <v>22</v>
      </c>
      <c r="I727" s="2363" t="s">
        <v>1225</v>
      </c>
      <c r="J727" s="828" t="s">
        <v>22</v>
      </c>
      <c r="K727" s="2363" t="s">
        <v>22</v>
      </c>
      <c r="L727" s="828" t="s">
        <v>22</v>
      </c>
      <c r="M727" s="2363" t="s">
        <v>22</v>
      </c>
      <c r="N727" s="828" t="s">
        <v>22</v>
      </c>
      <c r="O727" s="2363" t="s">
        <v>22</v>
      </c>
      <c r="P727" s="828" t="s">
        <v>22</v>
      </c>
      <c r="Q727" s="1535"/>
      <c r="R727" s="1645"/>
      <c r="S727" s="1645"/>
      <c r="T727" s="1645"/>
      <c r="U727" s="1645"/>
      <c r="V727" s="1645"/>
      <c r="W727" s="1645"/>
      <c r="X727" s="1645"/>
      <c r="Y727" s="1645"/>
      <c r="Z727" s="1645"/>
      <c r="AA727" s="685"/>
      <c r="AB727" s="1645">
        <v>0</v>
      </c>
    </row>
    <row s="1860" customFormat="1" customHeight="1" ht="15">
      <c r="A728" s="1645"/>
      <c r="B728" s="2407"/>
      <c r="C728" s="2408"/>
      <c r="D728" s="699" t="str">
        <f>B727&amp;".2"</f>
        <v>3.231.2</v>
      </c>
      <c r="E728" s="1677" t="s">
        <v>967</v>
      </c>
      <c r="F728" s="2273" t="s">
        <v>328</v>
      </c>
      <c r="G728" s="1748" t="s">
        <v>22</v>
      </c>
      <c r="H728" s="828" t="s">
        <v>22</v>
      </c>
      <c r="I728" s="1748">
        <v>46174</v>
      </c>
      <c r="J728" s="828" t="s">
        <v>22</v>
      </c>
      <c r="K728" s="1748" t="s">
        <v>22</v>
      </c>
      <c r="L728" s="828" t="s">
        <v>22</v>
      </c>
      <c r="M728" s="1748" t="s">
        <v>22</v>
      </c>
      <c r="N728" s="828" t="s">
        <v>22</v>
      </c>
      <c r="O728" s="1748" t="s">
        <v>22</v>
      </c>
      <c r="P728" s="828" t="s">
        <v>22</v>
      </c>
      <c r="Q728" s="1535" t="s">
        <v>968</v>
      </c>
      <c r="R728" s="1645"/>
      <c r="S728" s="1645"/>
      <c r="T728" s="1645"/>
      <c r="U728" s="1645"/>
      <c r="V728" s="1645"/>
      <c r="W728" s="1645"/>
      <c r="X728" s="1645"/>
      <c r="Y728" s="1645"/>
      <c r="Z728" s="1645"/>
      <c r="AA728" s="685"/>
      <c r="AB728" s="1645">
        <v>0</v>
      </c>
    </row>
    <row s="1860" customFormat="1" customHeight="1" ht="15">
      <c r="A729" s="1645"/>
      <c r="B729" s="2407"/>
      <c r="C729" s="2408"/>
      <c r="D729" s="699" t="str">
        <f>B727&amp;".3"</f>
        <v>3.231.3</v>
      </c>
      <c r="E729" s="1677" t="s">
        <v>969</v>
      </c>
      <c r="F729" s="2273" t="s">
        <v>328</v>
      </c>
      <c r="G729" s="1748" t="s">
        <v>22</v>
      </c>
      <c r="H729" s="828" t="s">
        <v>22</v>
      </c>
      <c r="I729" s="1748" t="s">
        <v>22</v>
      </c>
      <c r="J729" s="828" t="s">
        <v>22</v>
      </c>
      <c r="K729" s="1748" t="s">
        <v>22</v>
      </c>
      <c r="L729" s="828" t="s">
        <v>22</v>
      </c>
      <c r="M729" s="1748" t="s">
        <v>22</v>
      </c>
      <c r="N729" s="828" t="s">
        <v>22</v>
      </c>
      <c r="O729" s="1748" t="s">
        <v>22</v>
      </c>
      <c r="P729" s="828" t="s">
        <v>22</v>
      </c>
      <c r="Q729" s="1535" t="s">
        <v>970</v>
      </c>
      <c r="R729" s="1645"/>
      <c r="S729" s="1645"/>
      <c r="T729" s="1645"/>
      <c r="U729" s="1645"/>
      <c r="V729" s="1645"/>
      <c r="W729" s="1645"/>
      <c r="X729" s="1645"/>
      <c r="Y729" s="1645"/>
      <c r="Z729" s="1645"/>
      <c r="AA729" s="685"/>
      <c r="AB729" s="1645">
        <v>0</v>
      </c>
    </row>
    <row s="1860" customFormat="1" customHeight="1" ht="22.5">
      <c r="A730" s="1645"/>
      <c r="B730" s="2407" t="s">
        <v>1226</v>
      </c>
      <c r="C730" s="2408" t="s">
        <v>105</v>
      </c>
      <c r="D730" s="699" t="str">
        <f>B730&amp;".1"</f>
        <v>3.232.1</v>
      </c>
      <c r="E730" s="1677" t="s">
        <v>966</v>
      </c>
      <c r="F730" s="2273" t="s">
        <v>328</v>
      </c>
      <c r="G730" s="2363" t="s">
        <v>22</v>
      </c>
      <c r="H730" s="828" t="s">
        <v>22</v>
      </c>
      <c r="I730" s="2363" t="s">
        <v>983</v>
      </c>
      <c r="J730" s="828" t="s">
        <v>22</v>
      </c>
      <c r="K730" s="2363" t="s">
        <v>22</v>
      </c>
      <c r="L730" s="828" t="s">
        <v>22</v>
      </c>
      <c r="M730" s="2363" t="s">
        <v>22</v>
      </c>
      <c r="N730" s="828" t="s">
        <v>22</v>
      </c>
      <c r="O730" s="2363" t="s">
        <v>22</v>
      </c>
      <c r="P730" s="828" t="s">
        <v>22</v>
      </c>
      <c r="Q730" s="1535"/>
      <c r="R730" s="1645"/>
      <c r="S730" s="1645"/>
      <c r="T730" s="1645"/>
      <c r="U730" s="1645"/>
      <c r="V730" s="1645"/>
      <c r="W730" s="1645"/>
      <c r="X730" s="1645"/>
      <c r="Y730" s="1645"/>
      <c r="Z730" s="1645"/>
      <c r="AA730" s="685"/>
      <c r="AB730" s="1645">
        <v>0</v>
      </c>
    </row>
    <row s="1860" customFormat="1" customHeight="1" ht="15">
      <c r="A731" s="1645"/>
      <c r="B731" s="2407"/>
      <c r="C731" s="2408"/>
      <c r="D731" s="699" t="str">
        <f>B730&amp;".2"</f>
        <v>3.232.2</v>
      </c>
      <c r="E731" s="1677" t="s">
        <v>967</v>
      </c>
      <c r="F731" s="2273" t="s">
        <v>328</v>
      </c>
      <c r="G731" s="1748" t="s">
        <v>22</v>
      </c>
      <c r="H731" s="828" t="s">
        <v>22</v>
      </c>
      <c r="I731" s="1748">
        <v>46176</v>
      </c>
      <c r="J731" s="828" t="s">
        <v>22</v>
      </c>
      <c r="K731" s="1748" t="s">
        <v>22</v>
      </c>
      <c r="L731" s="828" t="s">
        <v>22</v>
      </c>
      <c r="M731" s="1748" t="s">
        <v>22</v>
      </c>
      <c r="N731" s="828" t="s">
        <v>22</v>
      </c>
      <c r="O731" s="1748" t="s">
        <v>22</v>
      </c>
      <c r="P731" s="828" t="s">
        <v>22</v>
      </c>
      <c r="Q731" s="1535" t="s">
        <v>968</v>
      </c>
      <c r="R731" s="1645"/>
      <c r="S731" s="1645"/>
      <c r="T731" s="1645"/>
      <c r="U731" s="1645"/>
      <c r="V731" s="1645"/>
      <c r="W731" s="1645"/>
      <c r="X731" s="1645"/>
      <c r="Y731" s="1645"/>
      <c r="Z731" s="1645"/>
      <c r="AA731" s="685"/>
      <c r="AB731" s="1645">
        <v>0</v>
      </c>
    </row>
    <row s="1860" customFormat="1" customHeight="1" ht="15">
      <c r="A732" s="1645"/>
      <c r="B732" s="2407"/>
      <c r="C732" s="2408"/>
      <c r="D732" s="699" t="str">
        <f>B730&amp;".3"</f>
        <v>3.232.3</v>
      </c>
      <c r="E732" s="1677" t="s">
        <v>969</v>
      </c>
      <c r="F732" s="2273" t="s">
        <v>328</v>
      </c>
      <c r="G732" s="1748" t="s">
        <v>22</v>
      </c>
      <c r="H732" s="828" t="s">
        <v>22</v>
      </c>
      <c r="I732" s="1748" t="s">
        <v>22</v>
      </c>
      <c r="J732" s="828" t="s">
        <v>22</v>
      </c>
      <c r="K732" s="1748" t="s">
        <v>22</v>
      </c>
      <c r="L732" s="828" t="s">
        <v>22</v>
      </c>
      <c r="M732" s="1748" t="s">
        <v>22</v>
      </c>
      <c r="N732" s="828" t="s">
        <v>22</v>
      </c>
      <c r="O732" s="1748" t="s">
        <v>22</v>
      </c>
      <c r="P732" s="828" t="s">
        <v>22</v>
      </c>
      <c r="Q732" s="1535" t="s">
        <v>970</v>
      </c>
      <c r="R732" s="1645"/>
      <c r="S732" s="1645"/>
      <c r="T732" s="1645"/>
      <c r="U732" s="1645"/>
      <c r="V732" s="1645"/>
      <c r="W732" s="1645"/>
      <c r="X732" s="1645"/>
      <c r="Y732" s="1645"/>
      <c r="Z732" s="1645"/>
      <c r="AA732" s="685"/>
      <c r="AB732" s="1645">
        <v>0</v>
      </c>
    </row>
    <row s="1860" customFormat="1" customHeight="1" ht="22.5">
      <c r="A733" s="1645"/>
      <c r="B733" s="2407" t="s">
        <v>1227</v>
      </c>
      <c r="C733" s="2408" t="s">
        <v>105</v>
      </c>
      <c r="D733" s="699" t="str">
        <f>B733&amp;".1"</f>
        <v>3.233.1</v>
      </c>
      <c r="E733" s="1677" t="s">
        <v>966</v>
      </c>
      <c r="F733" s="2273" t="s">
        <v>328</v>
      </c>
      <c r="G733" s="2363" t="s">
        <v>22</v>
      </c>
      <c r="H733" s="828" t="s">
        <v>22</v>
      </c>
      <c r="I733" s="2363" t="s">
        <v>983</v>
      </c>
      <c r="J733" s="828" t="s">
        <v>22</v>
      </c>
      <c r="K733" s="2363" t="s">
        <v>22</v>
      </c>
      <c r="L733" s="828" t="s">
        <v>22</v>
      </c>
      <c r="M733" s="2363" t="s">
        <v>22</v>
      </c>
      <c r="N733" s="828" t="s">
        <v>22</v>
      </c>
      <c r="O733" s="2363" t="s">
        <v>22</v>
      </c>
      <c r="P733" s="828" t="s">
        <v>22</v>
      </c>
      <c r="Q733" s="1535"/>
      <c r="R733" s="1645"/>
      <c r="S733" s="1645"/>
      <c r="T733" s="1645"/>
      <c r="U733" s="1645"/>
      <c r="V733" s="1645"/>
      <c r="W733" s="1645"/>
      <c r="X733" s="1645"/>
      <c r="Y733" s="1645"/>
      <c r="Z733" s="1645"/>
      <c r="AA733" s="685"/>
      <c r="AB733" s="1645">
        <v>0</v>
      </c>
    </row>
    <row s="1860" customFormat="1" customHeight="1" ht="15">
      <c r="A734" s="1645"/>
      <c r="B734" s="2407"/>
      <c r="C734" s="2408"/>
      <c r="D734" s="699" t="str">
        <f>B733&amp;".2"</f>
        <v>3.233.2</v>
      </c>
      <c r="E734" s="1677" t="s">
        <v>967</v>
      </c>
      <c r="F734" s="2273" t="s">
        <v>328</v>
      </c>
      <c r="G734" s="1748" t="s">
        <v>22</v>
      </c>
      <c r="H734" s="828" t="s">
        <v>22</v>
      </c>
      <c r="I734" s="1748">
        <v>46176</v>
      </c>
      <c r="J734" s="828" t="s">
        <v>22</v>
      </c>
      <c r="K734" s="1748" t="s">
        <v>22</v>
      </c>
      <c r="L734" s="828" t="s">
        <v>22</v>
      </c>
      <c r="M734" s="1748" t="s">
        <v>22</v>
      </c>
      <c r="N734" s="828" t="s">
        <v>22</v>
      </c>
      <c r="O734" s="1748" t="s">
        <v>22</v>
      </c>
      <c r="P734" s="828" t="s">
        <v>22</v>
      </c>
      <c r="Q734" s="1535" t="s">
        <v>968</v>
      </c>
      <c r="R734" s="1645"/>
      <c r="S734" s="1645"/>
      <c r="T734" s="1645"/>
      <c r="U734" s="1645"/>
      <c r="V734" s="1645"/>
      <c r="W734" s="1645"/>
      <c r="X734" s="1645"/>
      <c r="Y734" s="1645"/>
      <c r="Z734" s="1645"/>
      <c r="AA734" s="685"/>
      <c r="AB734" s="1645">
        <v>0</v>
      </c>
    </row>
    <row s="1860" customFormat="1" customHeight="1" ht="15">
      <c r="A735" s="1645"/>
      <c r="B735" s="2407"/>
      <c r="C735" s="2408"/>
      <c r="D735" s="699" t="str">
        <f>B733&amp;".3"</f>
        <v>3.233.3</v>
      </c>
      <c r="E735" s="1677" t="s">
        <v>969</v>
      </c>
      <c r="F735" s="2273" t="s">
        <v>328</v>
      </c>
      <c r="G735" s="1748" t="s">
        <v>22</v>
      </c>
      <c r="H735" s="828" t="s">
        <v>22</v>
      </c>
      <c r="I735" s="1748" t="s">
        <v>22</v>
      </c>
      <c r="J735" s="828" t="s">
        <v>22</v>
      </c>
      <c r="K735" s="1748" t="s">
        <v>22</v>
      </c>
      <c r="L735" s="828" t="s">
        <v>22</v>
      </c>
      <c r="M735" s="1748" t="s">
        <v>22</v>
      </c>
      <c r="N735" s="828" t="s">
        <v>22</v>
      </c>
      <c r="O735" s="1748" t="s">
        <v>22</v>
      </c>
      <c r="P735" s="828" t="s">
        <v>22</v>
      </c>
      <c r="Q735" s="1535" t="s">
        <v>970</v>
      </c>
      <c r="R735" s="1645"/>
      <c r="S735" s="1645"/>
      <c r="T735" s="1645"/>
      <c r="U735" s="1645"/>
      <c r="V735" s="1645"/>
      <c r="W735" s="1645"/>
      <c r="X735" s="1645"/>
      <c r="Y735" s="1645"/>
      <c r="Z735" s="1645"/>
      <c r="AA735" s="685"/>
      <c r="AB735" s="1645">
        <v>0</v>
      </c>
    </row>
    <row s="1860" customFormat="1" customHeight="1" ht="22.5">
      <c r="A736" s="1645"/>
      <c r="B736" s="2407" t="s">
        <v>1228</v>
      </c>
      <c r="C736" s="2408" t="s">
        <v>105</v>
      </c>
      <c r="D736" s="699" t="str">
        <f>B736&amp;".1"</f>
        <v>3.234.1</v>
      </c>
      <c r="E736" s="1677" t="s">
        <v>966</v>
      </c>
      <c r="F736" s="2273" t="s">
        <v>328</v>
      </c>
      <c r="G736" s="2363" t="s">
        <v>22</v>
      </c>
      <c r="H736" s="828" t="s">
        <v>22</v>
      </c>
      <c r="I736" s="2363" t="s">
        <v>986</v>
      </c>
      <c r="J736" s="828" t="s">
        <v>22</v>
      </c>
      <c r="K736" s="2363" t="s">
        <v>22</v>
      </c>
      <c r="L736" s="828" t="s">
        <v>22</v>
      </c>
      <c r="M736" s="2363" t="s">
        <v>22</v>
      </c>
      <c r="N736" s="828" t="s">
        <v>22</v>
      </c>
      <c r="O736" s="2363" t="s">
        <v>22</v>
      </c>
      <c r="P736" s="828" t="s">
        <v>22</v>
      </c>
      <c r="Q736" s="1535"/>
      <c r="R736" s="1645"/>
      <c r="S736" s="1645"/>
      <c r="T736" s="1645"/>
      <c r="U736" s="1645"/>
      <c r="V736" s="1645"/>
      <c r="W736" s="1645"/>
      <c r="X736" s="1645"/>
      <c r="Y736" s="1645"/>
      <c r="Z736" s="1645"/>
      <c r="AA736" s="685"/>
      <c r="AB736" s="1645">
        <v>0</v>
      </c>
    </row>
    <row s="1860" customFormat="1" customHeight="1" ht="15">
      <c r="A737" s="1645"/>
      <c r="B737" s="2407"/>
      <c r="C737" s="2408"/>
      <c r="D737" s="699" t="str">
        <f>B736&amp;".2"</f>
        <v>3.234.2</v>
      </c>
      <c r="E737" s="1677" t="s">
        <v>967</v>
      </c>
      <c r="F737" s="2273" t="s">
        <v>328</v>
      </c>
      <c r="G737" s="1748" t="s">
        <v>22</v>
      </c>
      <c r="H737" s="828" t="s">
        <v>22</v>
      </c>
      <c r="I737" s="1748">
        <v>46177</v>
      </c>
      <c r="J737" s="828" t="s">
        <v>22</v>
      </c>
      <c r="K737" s="1748" t="s">
        <v>22</v>
      </c>
      <c r="L737" s="828" t="s">
        <v>22</v>
      </c>
      <c r="M737" s="1748" t="s">
        <v>22</v>
      </c>
      <c r="N737" s="828" t="s">
        <v>22</v>
      </c>
      <c r="O737" s="1748" t="s">
        <v>22</v>
      </c>
      <c r="P737" s="828" t="s">
        <v>22</v>
      </c>
      <c r="Q737" s="1535" t="s">
        <v>968</v>
      </c>
      <c r="R737" s="1645"/>
      <c r="S737" s="1645"/>
      <c r="T737" s="1645"/>
      <c r="U737" s="1645"/>
      <c r="V737" s="1645"/>
      <c r="W737" s="1645"/>
      <c r="X737" s="1645"/>
      <c r="Y737" s="1645"/>
      <c r="Z737" s="1645"/>
      <c r="AA737" s="685"/>
      <c r="AB737" s="1645">
        <v>0</v>
      </c>
    </row>
    <row s="1860" customFormat="1" customHeight="1" ht="15">
      <c r="A738" s="1645"/>
      <c r="B738" s="2407"/>
      <c r="C738" s="2408"/>
      <c r="D738" s="699" t="str">
        <f>B736&amp;".3"</f>
        <v>3.234.3</v>
      </c>
      <c r="E738" s="1677" t="s">
        <v>969</v>
      </c>
      <c r="F738" s="2273" t="s">
        <v>328</v>
      </c>
      <c r="G738" s="1748" t="s">
        <v>22</v>
      </c>
      <c r="H738" s="828" t="s">
        <v>22</v>
      </c>
      <c r="I738" s="1748" t="s">
        <v>22</v>
      </c>
      <c r="J738" s="828" t="s">
        <v>22</v>
      </c>
      <c r="K738" s="1748" t="s">
        <v>22</v>
      </c>
      <c r="L738" s="828" t="s">
        <v>22</v>
      </c>
      <c r="M738" s="1748" t="s">
        <v>22</v>
      </c>
      <c r="N738" s="828" t="s">
        <v>22</v>
      </c>
      <c r="O738" s="1748" t="s">
        <v>22</v>
      </c>
      <c r="P738" s="828" t="s">
        <v>22</v>
      </c>
      <c r="Q738" s="1535" t="s">
        <v>970</v>
      </c>
      <c r="R738" s="1645"/>
      <c r="S738" s="1645"/>
      <c r="T738" s="1645"/>
      <c r="U738" s="1645"/>
      <c r="V738" s="1645"/>
      <c r="W738" s="1645"/>
      <c r="X738" s="1645"/>
      <c r="Y738" s="1645"/>
      <c r="Z738" s="1645"/>
      <c r="AA738" s="685"/>
      <c r="AB738" s="1645">
        <v>0</v>
      </c>
    </row>
    <row s="1860" customFormat="1" customHeight="1" ht="22.5">
      <c r="A739" s="1645"/>
      <c r="B739" s="2407" t="s">
        <v>1229</v>
      </c>
      <c r="C739" s="2408" t="s">
        <v>105</v>
      </c>
      <c r="D739" s="699" t="str">
        <f>B739&amp;".1"</f>
        <v>3.235.1</v>
      </c>
      <c r="E739" s="1677" t="s">
        <v>966</v>
      </c>
      <c r="F739" s="2273" t="s">
        <v>328</v>
      </c>
      <c r="G739" s="2363" t="s">
        <v>22</v>
      </c>
      <c r="H739" s="828" t="s">
        <v>22</v>
      </c>
      <c r="I739" s="2363" t="s">
        <v>983</v>
      </c>
      <c r="J739" s="828" t="s">
        <v>22</v>
      </c>
      <c r="K739" s="2363" t="s">
        <v>22</v>
      </c>
      <c r="L739" s="828" t="s">
        <v>22</v>
      </c>
      <c r="M739" s="2363" t="s">
        <v>22</v>
      </c>
      <c r="N739" s="828" t="s">
        <v>22</v>
      </c>
      <c r="O739" s="2363" t="s">
        <v>22</v>
      </c>
      <c r="P739" s="828" t="s">
        <v>22</v>
      </c>
      <c r="Q739" s="1535"/>
      <c r="R739" s="1645"/>
      <c r="S739" s="1645"/>
      <c r="T739" s="1645"/>
      <c r="U739" s="1645"/>
      <c r="V739" s="1645"/>
      <c r="W739" s="1645"/>
      <c r="X739" s="1645"/>
      <c r="Y739" s="1645"/>
      <c r="Z739" s="1645"/>
      <c r="AA739" s="685"/>
      <c r="AB739" s="1645">
        <v>0</v>
      </c>
    </row>
    <row s="1860" customFormat="1" customHeight="1" ht="15">
      <c r="A740" s="1645"/>
      <c r="B740" s="2407"/>
      <c r="C740" s="2408"/>
      <c r="D740" s="699" t="str">
        <f>B739&amp;".2"</f>
        <v>3.235.2</v>
      </c>
      <c r="E740" s="1677" t="s">
        <v>967</v>
      </c>
      <c r="F740" s="2273" t="s">
        <v>328</v>
      </c>
      <c r="G740" s="1748" t="s">
        <v>22</v>
      </c>
      <c r="H740" s="828" t="s">
        <v>22</v>
      </c>
      <c r="I740" s="1748">
        <v>46178</v>
      </c>
      <c r="J740" s="828" t="s">
        <v>22</v>
      </c>
      <c r="K740" s="1748" t="s">
        <v>22</v>
      </c>
      <c r="L740" s="828" t="s">
        <v>22</v>
      </c>
      <c r="M740" s="1748" t="s">
        <v>22</v>
      </c>
      <c r="N740" s="828" t="s">
        <v>22</v>
      </c>
      <c r="O740" s="1748" t="s">
        <v>22</v>
      </c>
      <c r="P740" s="828" t="s">
        <v>22</v>
      </c>
      <c r="Q740" s="1535" t="s">
        <v>968</v>
      </c>
      <c r="R740" s="1645"/>
      <c r="S740" s="1645"/>
      <c r="T740" s="1645"/>
      <c r="U740" s="1645"/>
      <c r="V740" s="1645"/>
      <c r="W740" s="1645"/>
      <c r="X740" s="1645"/>
      <c r="Y740" s="1645"/>
      <c r="Z740" s="1645"/>
      <c r="AA740" s="685"/>
      <c r="AB740" s="1645">
        <v>0</v>
      </c>
    </row>
    <row s="1860" customFormat="1" customHeight="1" ht="15">
      <c r="A741" s="1645"/>
      <c r="B741" s="2407"/>
      <c r="C741" s="2408"/>
      <c r="D741" s="699" t="str">
        <f>B739&amp;".3"</f>
        <v>3.235.3</v>
      </c>
      <c r="E741" s="1677" t="s">
        <v>969</v>
      </c>
      <c r="F741" s="2273" t="s">
        <v>328</v>
      </c>
      <c r="G741" s="1748" t="s">
        <v>22</v>
      </c>
      <c r="H741" s="828" t="s">
        <v>22</v>
      </c>
      <c r="I741" s="1748" t="s">
        <v>22</v>
      </c>
      <c r="J741" s="828" t="s">
        <v>22</v>
      </c>
      <c r="K741" s="1748" t="s">
        <v>22</v>
      </c>
      <c r="L741" s="828" t="s">
        <v>22</v>
      </c>
      <c r="M741" s="1748" t="s">
        <v>22</v>
      </c>
      <c r="N741" s="828" t="s">
        <v>22</v>
      </c>
      <c r="O741" s="1748" t="s">
        <v>22</v>
      </c>
      <c r="P741" s="828" t="s">
        <v>22</v>
      </c>
      <c r="Q741" s="1535" t="s">
        <v>970</v>
      </c>
      <c r="R741" s="1645"/>
      <c r="S741" s="1645"/>
      <c r="T741" s="1645"/>
      <c r="U741" s="1645"/>
      <c r="V741" s="1645"/>
      <c r="W741" s="1645"/>
      <c r="X741" s="1645"/>
      <c r="Y741" s="1645"/>
      <c r="Z741" s="1645"/>
      <c r="AA741" s="685"/>
      <c r="AB741" s="1645">
        <v>0</v>
      </c>
    </row>
    <row s="1860" customFormat="1" customHeight="1" ht="22.5">
      <c r="A742" s="1645"/>
      <c r="B742" s="2407" t="s">
        <v>1230</v>
      </c>
      <c r="C742" s="2408" t="s">
        <v>105</v>
      </c>
      <c r="D742" s="699" t="str">
        <f>B742&amp;".1"</f>
        <v>3.236.1</v>
      </c>
      <c r="E742" s="1677" t="s">
        <v>966</v>
      </c>
      <c r="F742" s="2273" t="s">
        <v>328</v>
      </c>
      <c r="G742" s="2363" t="s">
        <v>22</v>
      </c>
      <c r="H742" s="828" t="s">
        <v>22</v>
      </c>
      <c r="I742" s="2363" t="s">
        <v>983</v>
      </c>
      <c r="J742" s="828" t="s">
        <v>22</v>
      </c>
      <c r="K742" s="2363" t="s">
        <v>22</v>
      </c>
      <c r="L742" s="828" t="s">
        <v>22</v>
      </c>
      <c r="M742" s="2363" t="s">
        <v>22</v>
      </c>
      <c r="N742" s="828" t="s">
        <v>22</v>
      </c>
      <c r="O742" s="2363" t="s">
        <v>22</v>
      </c>
      <c r="P742" s="828" t="s">
        <v>22</v>
      </c>
      <c r="Q742" s="1535"/>
      <c r="R742" s="1645"/>
      <c r="S742" s="1645"/>
      <c r="T742" s="1645"/>
      <c r="U742" s="1645"/>
      <c r="V742" s="1645"/>
      <c r="W742" s="1645"/>
      <c r="X742" s="1645"/>
      <c r="Y742" s="1645"/>
      <c r="Z742" s="1645"/>
      <c r="AA742" s="685"/>
      <c r="AB742" s="1645">
        <v>0</v>
      </c>
    </row>
    <row s="1860" customFormat="1" customHeight="1" ht="15">
      <c r="A743" s="1645"/>
      <c r="B743" s="2407"/>
      <c r="C743" s="2408"/>
      <c r="D743" s="699" t="str">
        <f>B742&amp;".2"</f>
        <v>3.236.2</v>
      </c>
      <c r="E743" s="1677" t="s">
        <v>967</v>
      </c>
      <c r="F743" s="2273" t="s">
        <v>328</v>
      </c>
      <c r="G743" s="1748" t="s">
        <v>22</v>
      </c>
      <c r="H743" s="828" t="s">
        <v>22</v>
      </c>
      <c r="I743" s="1748">
        <v>46178</v>
      </c>
      <c r="J743" s="828" t="s">
        <v>22</v>
      </c>
      <c r="K743" s="1748" t="s">
        <v>22</v>
      </c>
      <c r="L743" s="828" t="s">
        <v>22</v>
      </c>
      <c r="M743" s="1748" t="s">
        <v>22</v>
      </c>
      <c r="N743" s="828" t="s">
        <v>22</v>
      </c>
      <c r="O743" s="1748" t="s">
        <v>22</v>
      </c>
      <c r="P743" s="828" t="s">
        <v>22</v>
      </c>
      <c r="Q743" s="1535" t="s">
        <v>968</v>
      </c>
      <c r="R743" s="1645"/>
      <c r="S743" s="1645"/>
      <c r="T743" s="1645"/>
      <c r="U743" s="1645"/>
      <c r="V743" s="1645"/>
      <c r="W743" s="1645"/>
      <c r="X743" s="1645"/>
      <c r="Y743" s="1645"/>
      <c r="Z743" s="1645"/>
      <c r="AA743" s="685"/>
      <c r="AB743" s="1645">
        <v>0</v>
      </c>
    </row>
    <row s="1860" customFormat="1" customHeight="1" ht="15">
      <c r="A744" s="1645"/>
      <c r="B744" s="2407"/>
      <c r="C744" s="2408"/>
      <c r="D744" s="699" t="str">
        <f>B742&amp;".3"</f>
        <v>3.236.3</v>
      </c>
      <c r="E744" s="1677" t="s">
        <v>969</v>
      </c>
      <c r="F744" s="2273" t="s">
        <v>328</v>
      </c>
      <c r="G744" s="1748" t="s">
        <v>22</v>
      </c>
      <c r="H744" s="828" t="s">
        <v>22</v>
      </c>
      <c r="I744" s="1748" t="s">
        <v>22</v>
      </c>
      <c r="J744" s="828" t="s">
        <v>22</v>
      </c>
      <c r="K744" s="1748" t="s">
        <v>22</v>
      </c>
      <c r="L744" s="828" t="s">
        <v>22</v>
      </c>
      <c r="M744" s="1748" t="s">
        <v>22</v>
      </c>
      <c r="N744" s="828" t="s">
        <v>22</v>
      </c>
      <c r="O744" s="1748" t="s">
        <v>22</v>
      </c>
      <c r="P744" s="828" t="s">
        <v>22</v>
      </c>
      <c r="Q744" s="1535" t="s">
        <v>970</v>
      </c>
      <c r="R744" s="1645"/>
      <c r="S744" s="1645"/>
      <c r="T744" s="1645"/>
      <c r="U744" s="1645"/>
      <c r="V744" s="1645"/>
      <c r="W744" s="1645"/>
      <c r="X744" s="1645"/>
      <c r="Y744" s="1645"/>
      <c r="Z744" s="1645"/>
      <c r="AA744" s="685"/>
      <c r="AB744" s="1645">
        <v>0</v>
      </c>
    </row>
    <row s="1860" customFormat="1" customHeight="1" ht="22.5">
      <c r="A745" s="1645"/>
      <c r="B745" s="2407" t="s">
        <v>1231</v>
      </c>
      <c r="C745" s="2408" t="s">
        <v>105</v>
      </c>
      <c r="D745" s="699" t="str">
        <f>B745&amp;".1"</f>
        <v>3.237.1</v>
      </c>
      <c r="E745" s="1677" t="s">
        <v>966</v>
      </c>
      <c r="F745" s="2273" t="s">
        <v>328</v>
      </c>
      <c r="G745" s="2363" t="s">
        <v>22</v>
      </c>
      <c r="H745" s="828" t="s">
        <v>22</v>
      </c>
      <c r="I745" s="2363" t="s">
        <v>983</v>
      </c>
      <c r="J745" s="828" t="s">
        <v>22</v>
      </c>
      <c r="K745" s="2363" t="s">
        <v>22</v>
      </c>
      <c r="L745" s="828" t="s">
        <v>22</v>
      </c>
      <c r="M745" s="2363" t="s">
        <v>22</v>
      </c>
      <c r="N745" s="828" t="s">
        <v>22</v>
      </c>
      <c r="O745" s="2363" t="s">
        <v>22</v>
      </c>
      <c r="P745" s="828" t="s">
        <v>22</v>
      </c>
      <c r="Q745" s="1535"/>
      <c r="R745" s="1645"/>
      <c r="S745" s="1645"/>
      <c r="T745" s="1645"/>
      <c r="U745" s="1645"/>
      <c r="V745" s="1645"/>
      <c r="W745" s="1645"/>
      <c r="X745" s="1645"/>
      <c r="Y745" s="1645"/>
      <c r="Z745" s="1645"/>
      <c r="AA745" s="685"/>
      <c r="AB745" s="1645">
        <v>0</v>
      </c>
    </row>
    <row s="1860" customFormat="1" customHeight="1" ht="15">
      <c r="A746" s="1645"/>
      <c r="B746" s="2407"/>
      <c r="C746" s="2408"/>
      <c r="D746" s="699" t="str">
        <f>B745&amp;".2"</f>
        <v>3.237.2</v>
      </c>
      <c r="E746" s="1677" t="s">
        <v>967</v>
      </c>
      <c r="F746" s="2273" t="s">
        <v>328</v>
      </c>
      <c r="G746" s="1748" t="s">
        <v>22</v>
      </c>
      <c r="H746" s="828" t="s">
        <v>22</v>
      </c>
      <c r="I746" s="1748">
        <v>46178</v>
      </c>
      <c r="J746" s="828" t="s">
        <v>22</v>
      </c>
      <c r="K746" s="1748" t="s">
        <v>22</v>
      </c>
      <c r="L746" s="828" t="s">
        <v>22</v>
      </c>
      <c r="M746" s="1748" t="s">
        <v>22</v>
      </c>
      <c r="N746" s="828" t="s">
        <v>22</v>
      </c>
      <c r="O746" s="1748" t="s">
        <v>22</v>
      </c>
      <c r="P746" s="828" t="s">
        <v>22</v>
      </c>
      <c r="Q746" s="1535" t="s">
        <v>968</v>
      </c>
      <c r="R746" s="1645"/>
      <c r="S746" s="1645"/>
      <c r="T746" s="1645"/>
      <c r="U746" s="1645"/>
      <c r="V746" s="1645"/>
      <c r="W746" s="1645"/>
      <c r="X746" s="1645"/>
      <c r="Y746" s="1645"/>
      <c r="Z746" s="1645"/>
      <c r="AA746" s="685"/>
      <c r="AB746" s="1645">
        <v>0</v>
      </c>
    </row>
    <row s="1860" customFormat="1" customHeight="1" ht="15">
      <c r="A747" s="1645"/>
      <c r="B747" s="2407"/>
      <c r="C747" s="2408"/>
      <c r="D747" s="699" t="str">
        <f>B745&amp;".3"</f>
        <v>3.237.3</v>
      </c>
      <c r="E747" s="1677" t="s">
        <v>969</v>
      </c>
      <c r="F747" s="2273" t="s">
        <v>328</v>
      </c>
      <c r="G747" s="1748" t="s">
        <v>22</v>
      </c>
      <c r="H747" s="828" t="s">
        <v>22</v>
      </c>
      <c r="I747" s="1748" t="s">
        <v>22</v>
      </c>
      <c r="J747" s="828" t="s">
        <v>22</v>
      </c>
      <c r="K747" s="1748" t="s">
        <v>22</v>
      </c>
      <c r="L747" s="828" t="s">
        <v>22</v>
      </c>
      <c r="M747" s="1748" t="s">
        <v>22</v>
      </c>
      <c r="N747" s="828" t="s">
        <v>22</v>
      </c>
      <c r="O747" s="1748" t="s">
        <v>22</v>
      </c>
      <c r="P747" s="828" t="s">
        <v>22</v>
      </c>
      <c r="Q747" s="1535" t="s">
        <v>970</v>
      </c>
      <c r="R747" s="1645"/>
      <c r="S747" s="1645"/>
      <c r="T747" s="1645"/>
      <c r="U747" s="1645"/>
      <c r="V747" s="1645"/>
      <c r="W747" s="1645"/>
      <c r="X747" s="1645"/>
      <c r="Y747" s="1645"/>
      <c r="Z747" s="1645"/>
      <c r="AA747" s="685"/>
      <c r="AB747" s="1645">
        <v>0</v>
      </c>
    </row>
    <row s="1860" customFormat="1" customHeight="1" ht="22.5">
      <c r="A748" s="1645"/>
      <c r="B748" s="2407" t="s">
        <v>1232</v>
      </c>
      <c r="C748" s="2408" t="s">
        <v>105</v>
      </c>
      <c r="D748" s="699" t="str">
        <f>B748&amp;".1"</f>
        <v>3.238.1</v>
      </c>
      <c r="E748" s="1677" t="s">
        <v>966</v>
      </c>
      <c r="F748" s="2273" t="s">
        <v>328</v>
      </c>
      <c r="G748" s="2363" t="s">
        <v>22</v>
      </c>
      <c r="H748" s="828" t="s">
        <v>22</v>
      </c>
      <c r="I748" s="2363" t="s">
        <v>983</v>
      </c>
      <c r="J748" s="828" t="s">
        <v>22</v>
      </c>
      <c r="K748" s="2363" t="s">
        <v>22</v>
      </c>
      <c r="L748" s="828" t="s">
        <v>22</v>
      </c>
      <c r="M748" s="2363" t="s">
        <v>22</v>
      </c>
      <c r="N748" s="828" t="s">
        <v>22</v>
      </c>
      <c r="O748" s="2363" t="s">
        <v>22</v>
      </c>
      <c r="P748" s="828" t="s">
        <v>22</v>
      </c>
      <c r="Q748" s="1535"/>
      <c r="R748" s="1645"/>
      <c r="S748" s="1645"/>
      <c r="T748" s="1645"/>
      <c r="U748" s="1645"/>
      <c r="V748" s="1645"/>
      <c r="W748" s="1645"/>
      <c r="X748" s="1645"/>
      <c r="Y748" s="1645"/>
      <c r="Z748" s="1645"/>
      <c r="AA748" s="685"/>
      <c r="AB748" s="1645">
        <v>0</v>
      </c>
    </row>
    <row s="1860" customFormat="1" customHeight="1" ht="15">
      <c r="A749" s="1645"/>
      <c r="B749" s="2407"/>
      <c r="C749" s="2408"/>
      <c r="D749" s="699" t="str">
        <f>B748&amp;".2"</f>
        <v>3.238.2</v>
      </c>
      <c r="E749" s="1677" t="s">
        <v>967</v>
      </c>
      <c r="F749" s="2273" t="s">
        <v>328</v>
      </c>
      <c r="G749" s="1748" t="s">
        <v>22</v>
      </c>
      <c r="H749" s="828" t="s">
        <v>22</v>
      </c>
      <c r="I749" s="1748">
        <v>46178</v>
      </c>
      <c r="J749" s="828" t="s">
        <v>22</v>
      </c>
      <c r="K749" s="1748" t="s">
        <v>22</v>
      </c>
      <c r="L749" s="828" t="s">
        <v>22</v>
      </c>
      <c r="M749" s="1748" t="s">
        <v>22</v>
      </c>
      <c r="N749" s="828" t="s">
        <v>22</v>
      </c>
      <c r="O749" s="1748" t="s">
        <v>22</v>
      </c>
      <c r="P749" s="828" t="s">
        <v>22</v>
      </c>
      <c r="Q749" s="1535" t="s">
        <v>968</v>
      </c>
      <c r="R749" s="1645"/>
      <c r="S749" s="1645"/>
      <c r="T749" s="1645"/>
      <c r="U749" s="1645"/>
      <c r="V749" s="1645"/>
      <c r="W749" s="1645"/>
      <c r="X749" s="1645"/>
      <c r="Y749" s="1645"/>
      <c r="Z749" s="1645"/>
      <c r="AA749" s="685"/>
      <c r="AB749" s="1645">
        <v>0</v>
      </c>
    </row>
    <row s="1860" customFormat="1" customHeight="1" ht="15">
      <c r="A750" s="1645"/>
      <c r="B750" s="2407"/>
      <c r="C750" s="2408"/>
      <c r="D750" s="699" t="str">
        <f>B748&amp;".3"</f>
        <v>3.238.3</v>
      </c>
      <c r="E750" s="1677" t="s">
        <v>969</v>
      </c>
      <c r="F750" s="2273" t="s">
        <v>328</v>
      </c>
      <c r="G750" s="1748" t="s">
        <v>22</v>
      </c>
      <c r="H750" s="828" t="s">
        <v>22</v>
      </c>
      <c r="I750" s="1748" t="s">
        <v>22</v>
      </c>
      <c r="J750" s="828" t="s">
        <v>22</v>
      </c>
      <c r="K750" s="1748" t="s">
        <v>22</v>
      </c>
      <c r="L750" s="828" t="s">
        <v>22</v>
      </c>
      <c r="M750" s="1748" t="s">
        <v>22</v>
      </c>
      <c r="N750" s="828" t="s">
        <v>22</v>
      </c>
      <c r="O750" s="1748" t="s">
        <v>22</v>
      </c>
      <c r="P750" s="828" t="s">
        <v>22</v>
      </c>
      <c r="Q750" s="1535" t="s">
        <v>970</v>
      </c>
      <c r="R750" s="1645"/>
      <c r="S750" s="1645"/>
      <c r="T750" s="1645"/>
      <c r="U750" s="1645"/>
      <c r="V750" s="1645"/>
      <c r="W750" s="1645"/>
      <c r="X750" s="1645"/>
      <c r="Y750" s="1645"/>
      <c r="Z750" s="1645"/>
      <c r="AA750" s="685"/>
      <c r="AB750" s="1645">
        <v>0</v>
      </c>
    </row>
    <row s="1860" customFormat="1" customHeight="1" ht="22.5">
      <c r="A751" s="1645"/>
      <c r="B751" s="2407" t="s">
        <v>1233</v>
      </c>
      <c r="C751" s="2408" t="s">
        <v>105</v>
      </c>
      <c r="D751" s="699" t="str">
        <f>B751&amp;".1"</f>
        <v>3.239.1</v>
      </c>
      <c r="E751" s="1677" t="s">
        <v>966</v>
      </c>
      <c r="F751" s="2273" t="s">
        <v>328</v>
      </c>
      <c r="G751" s="2363" t="s">
        <v>22</v>
      </c>
      <c r="H751" s="828" t="s">
        <v>22</v>
      </c>
      <c r="I751" s="2363" t="s">
        <v>983</v>
      </c>
      <c r="J751" s="828" t="s">
        <v>22</v>
      </c>
      <c r="K751" s="2363" t="s">
        <v>22</v>
      </c>
      <c r="L751" s="828" t="s">
        <v>22</v>
      </c>
      <c r="M751" s="2363" t="s">
        <v>22</v>
      </c>
      <c r="N751" s="828" t="s">
        <v>22</v>
      </c>
      <c r="O751" s="2363" t="s">
        <v>22</v>
      </c>
      <c r="P751" s="828" t="s">
        <v>22</v>
      </c>
      <c r="Q751" s="1535"/>
      <c r="R751" s="1645"/>
      <c r="S751" s="1645"/>
      <c r="T751" s="1645"/>
      <c r="U751" s="1645"/>
      <c r="V751" s="1645"/>
      <c r="W751" s="1645"/>
      <c r="X751" s="1645"/>
      <c r="Y751" s="1645"/>
      <c r="Z751" s="1645"/>
      <c r="AA751" s="685"/>
      <c r="AB751" s="1645">
        <v>0</v>
      </c>
    </row>
    <row s="1860" customFormat="1" customHeight="1" ht="15">
      <c r="A752" s="1645"/>
      <c r="B752" s="2407"/>
      <c r="C752" s="2408"/>
      <c r="D752" s="699" t="str">
        <f>B751&amp;".2"</f>
        <v>3.239.2</v>
      </c>
      <c r="E752" s="1677" t="s">
        <v>967</v>
      </c>
      <c r="F752" s="2273" t="s">
        <v>328</v>
      </c>
      <c r="G752" s="1748" t="s">
        <v>22</v>
      </c>
      <c r="H752" s="828" t="s">
        <v>22</v>
      </c>
      <c r="I752" s="1748">
        <v>46178</v>
      </c>
      <c r="J752" s="828" t="s">
        <v>22</v>
      </c>
      <c r="K752" s="1748" t="s">
        <v>22</v>
      </c>
      <c r="L752" s="828" t="s">
        <v>22</v>
      </c>
      <c r="M752" s="1748" t="s">
        <v>22</v>
      </c>
      <c r="N752" s="828" t="s">
        <v>22</v>
      </c>
      <c r="O752" s="1748" t="s">
        <v>22</v>
      </c>
      <c r="P752" s="828" t="s">
        <v>22</v>
      </c>
      <c r="Q752" s="1535" t="s">
        <v>968</v>
      </c>
      <c r="R752" s="1645"/>
      <c r="S752" s="1645"/>
      <c r="T752" s="1645"/>
      <c r="U752" s="1645"/>
      <c r="V752" s="1645"/>
      <c r="W752" s="1645"/>
      <c r="X752" s="1645"/>
      <c r="Y752" s="1645"/>
      <c r="Z752" s="1645"/>
      <c r="AA752" s="685"/>
      <c r="AB752" s="1645">
        <v>0</v>
      </c>
    </row>
    <row s="1860" customFormat="1" customHeight="1" ht="15">
      <c r="A753" s="1645"/>
      <c r="B753" s="2407"/>
      <c r="C753" s="2408"/>
      <c r="D753" s="699" t="str">
        <f>B751&amp;".3"</f>
        <v>3.239.3</v>
      </c>
      <c r="E753" s="1677" t="s">
        <v>969</v>
      </c>
      <c r="F753" s="2273" t="s">
        <v>328</v>
      </c>
      <c r="G753" s="1748" t="s">
        <v>22</v>
      </c>
      <c r="H753" s="828" t="s">
        <v>22</v>
      </c>
      <c r="I753" s="1748" t="s">
        <v>22</v>
      </c>
      <c r="J753" s="828" t="s">
        <v>22</v>
      </c>
      <c r="K753" s="1748" t="s">
        <v>22</v>
      </c>
      <c r="L753" s="828" t="s">
        <v>22</v>
      </c>
      <c r="M753" s="1748" t="s">
        <v>22</v>
      </c>
      <c r="N753" s="828" t="s">
        <v>22</v>
      </c>
      <c r="O753" s="1748" t="s">
        <v>22</v>
      </c>
      <c r="P753" s="828" t="s">
        <v>22</v>
      </c>
      <c r="Q753" s="1535" t="s">
        <v>970</v>
      </c>
      <c r="R753" s="1645"/>
      <c r="S753" s="1645"/>
      <c r="T753" s="1645"/>
      <c r="U753" s="1645"/>
      <c r="V753" s="1645"/>
      <c r="W753" s="1645"/>
      <c r="X753" s="1645"/>
      <c r="Y753" s="1645"/>
      <c r="Z753" s="1645"/>
      <c r="AA753" s="685"/>
      <c r="AB753" s="1645">
        <v>0</v>
      </c>
    </row>
    <row s="1860" customFormat="1" customHeight="1" ht="22.5">
      <c r="A754" s="1645"/>
      <c r="B754" s="2407" t="s">
        <v>1234</v>
      </c>
      <c r="C754" s="2408" t="s">
        <v>105</v>
      </c>
      <c r="D754" s="699" t="str">
        <f>B754&amp;".1"</f>
        <v>3.240.1</v>
      </c>
      <c r="E754" s="1677" t="s">
        <v>966</v>
      </c>
      <c r="F754" s="2273" t="s">
        <v>328</v>
      </c>
      <c r="G754" s="2363" t="s">
        <v>22</v>
      </c>
      <c r="H754" s="828" t="s">
        <v>22</v>
      </c>
      <c r="I754" s="2363" t="s">
        <v>983</v>
      </c>
      <c r="J754" s="828" t="s">
        <v>22</v>
      </c>
      <c r="K754" s="2363" t="s">
        <v>22</v>
      </c>
      <c r="L754" s="828" t="s">
        <v>22</v>
      </c>
      <c r="M754" s="2363" t="s">
        <v>22</v>
      </c>
      <c r="N754" s="828" t="s">
        <v>22</v>
      </c>
      <c r="O754" s="2363" t="s">
        <v>22</v>
      </c>
      <c r="P754" s="828" t="s">
        <v>22</v>
      </c>
      <c r="Q754" s="1535"/>
      <c r="R754" s="1645"/>
      <c r="S754" s="1645"/>
      <c r="T754" s="1645"/>
      <c r="U754" s="1645"/>
      <c r="V754" s="1645"/>
      <c r="W754" s="1645"/>
      <c r="X754" s="1645"/>
      <c r="Y754" s="1645"/>
      <c r="Z754" s="1645"/>
      <c r="AA754" s="685"/>
      <c r="AB754" s="1645">
        <v>0</v>
      </c>
    </row>
    <row s="1860" customFormat="1" customHeight="1" ht="15">
      <c r="A755" s="1645"/>
      <c r="B755" s="2407"/>
      <c r="C755" s="2408"/>
      <c r="D755" s="699" t="str">
        <f>B754&amp;".2"</f>
        <v>3.240.2</v>
      </c>
      <c r="E755" s="1677" t="s">
        <v>967</v>
      </c>
      <c r="F755" s="2273" t="s">
        <v>328</v>
      </c>
      <c r="G755" s="1748" t="s">
        <v>22</v>
      </c>
      <c r="H755" s="828" t="s">
        <v>22</v>
      </c>
      <c r="I755" s="1748">
        <v>46178</v>
      </c>
      <c r="J755" s="828" t="s">
        <v>22</v>
      </c>
      <c r="K755" s="1748" t="s">
        <v>22</v>
      </c>
      <c r="L755" s="828" t="s">
        <v>22</v>
      </c>
      <c r="M755" s="1748" t="s">
        <v>22</v>
      </c>
      <c r="N755" s="828" t="s">
        <v>22</v>
      </c>
      <c r="O755" s="1748" t="s">
        <v>22</v>
      </c>
      <c r="P755" s="828" t="s">
        <v>22</v>
      </c>
      <c r="Q755" s="1535" t="s">
        <v>968</v>
      </c>
      <c r="R755" s="1645"/>
      <c r="S755" s="1645"/>
      <c r="T755" s="1645"/>
      <c r="U755" s="1645"/>
      <c r="V755" s="1645"/>
      <c r="W755" s="1645"/>
      <c r="X755" s="1645"/>
      <c r="Y755" s="1645"/>
      <c r="Z755" s="1645"/>
      <c r="AA755" s="685"/>
      <c r="AB755" s="1645">
        <v>0</v>
      </c>
    </row>
    <row s="1860" customFormat="1" customHeight="1" ht="15">
      <c r="A756" s="1645"/>
      <c r="B756" s="2407"/>
      <c r="C756" s="2408"/>
      <c r="D756" s="699" t="str">
        <f>B754&amp;".3"</f>
        <v>3.240.3</v>
      </c>
      <c r="E756" s="1677" t="s">
        <v>969</v>
      </c>
      <c r="F756" s="2273" t="s">
        <v>328</v>
      </c>
      <c r="G756" s="1748" t="s">
        <v>22</v>
      </c>
      <c r="H756" s="828" t="s">
        <v>22</v>
      </c>
      <c r="I756" s="1748" t="s">
        <v>22</v>
      </c>
      <c r="J756" s="828" t="s">
        <v>22</v>
      </c>
      <c r="K756" s="1748" t="s">
        <v>22</v>
      </c>
      <c r="L756" s="828" t="s">
        <v>22</v>
      </c>
      <c r="M756" s="1748" t="s">
        <v>22</v>
      </c>
      <c r="N756" s="828" t="s">
        <v>22</v>
      </c>
      <c r="O756" s="1748" t="s">
        <v>22</v>
      </c>
      <c r="P756" s="828" t="s">
        <v>22</v>
      </c>
      <c r="Q756" s="1535" t="s">
        <v>970</v>
      </c>
      <c r="R756" s="1645"/>
      <c r="S756" s="1645"/>
      <c r="T756" s="1645"/>
      <c r="U756" s="1645"/>
      <c r="V756" s="1645"/>
      <c r="W756" s="1645"/>
      <c r="X756" s="1645"/>
      <c r="Y756" s="1645"/>
      <c r="Z756" s="1645"/>
      <c r="AA756" s="685"/>
      <c r="AB756" s="1645">
        <v>0</v>
      </c>
    </row>
    <row s="1860" customFormat="1" customHeight="1" ht="22.5">
      <c r="A757" s="1645"/>
      <c r="B757" s="2407" t="s">
        <v>1235</v>
      </c>
      <c r="C757" s="2408" t="s">
        <v>105</v>
      </c>
      <c r="D757" s="699" t="str">
        <f>B757&amp;".1"</f>
        <v>3.241.1</v>
      </c>
      <c r="E757" s="1677" t="s">
        <v>966</v>
      </c>
      <c r="F757" s="2273" t="s">
        <v>328</v>
      </c>
      <c r="G757" s="2363" t="s">
        <v>22</v>
      </c>
      <c r="H757" s="828" t="s">
        <v>22</v>
      </c>
      <c r="I757" s="2363" t="s">
        <v>983</v>
      </c>
      <c r="J757" s="828" t="s">
        <v>22</v>
      </c>
      <c r="K757" s="2363" t="s">
        <v>22</v>
      </c>
      <c r="L757" s="828" t="s">
        <v>22</v>
      </c>
      <c r="M757" s="2363" t="s">
        <v>22</v>
      </c>
      <c r="N757" s="828" t="s">
        <v>22</v>
      </c>
      <c r="O757" s="2363" t="s">
        <v>22</v>
      </c>
      <c r="P757" s="828" t="s">
        <v>22</v>
      </c>
      <c r="Q757" s="1535"/>
      <c r="R757" s="1645"/>
      <c r="S757" s="1645"/>
      <c r="T757" s="1645"/>
      <c r="U757" s="1645"/>
      <c r="V757" s="1645"/>
      <c r="W757" s="1645"/>
      <c r="X757" s="1645"/>
      <c r="Y757" s="1645"/>
      <c r="Z757" s="1645"/>
      <c r="AA757" s="685"/>
      <c r="AB757" s="1645">
        <v>0</v>
      </c>
    </row>
    <row s="1860" customFormat="1" customHeight="1" ht="15">
      <c r="A758" s="1645"/>
      <c r="B758" s="2407"/>
      <c r="C758" s="2408"/>
      <c r="D758" s="699" t="str">
        <f>B757&amp;".2"</f>
        <v>3.241.2</v>
      </c>
      <c r="E758" s="1677" t="s">
        <v>967</v>
      </c>
      <c r="F758" s="2273" t="s">
        <v>328</v>
      </c>
      <c r="G758" s="1748" t="s">
        <v>22</v>
      </c>
      <c r="H758" s="828" t="s">
        <v>22</v>
      </c>
      <c r="I758" s="1748">
        <v>46178</v>
      </c>
      <c r="J758" s="828" t="s">
        <v>22</v>
      </c>
      <c r="K758" s="1748" t="s">
        <v>22</v>
      </c>
      <c r="L758" s="828" t="s">
        <v>22</v>
      </c>
      <c r="M758" s="1748" t="s">
        <v>22</v>
      </c>
      <c r="N758" s="828" t="s">
        <v>22</v>
      </c>
      <c r="O758" s="1748" t="s">
        <v>22</v>
      </c>
      <c r="P758" s="828" t="s">
        <v>22</v>
      </c>
      <c r="Q758" s="1535" t="s">
        <v>968</v>
      </c>
      <c r="R758" s="1645"/>
      <c r="S758" s="1645"/>
      <c r="T758" s="1645"/>
      <c r="U758" s="1645"/>
      <c r="V758" s="1645"/>
      <c r="W758" s="1645"/>
      <c r="X758" s="1645"/>
      <c r="Y758" s="1645"/>
      <c r="Z758" s="1645"/>
      <c r="AA758" s="685"/>
      <c r="AB758" s="1645">
        <v>0</v>
      </c>
    </row>
    <row s="1860" customFormat="1" customHeight="1" ht="15">
      <c r="A759" s="1645"/>
      <c r="B759" s="2407"/>
      <c r="C759" s="2408"/>
      <c r="D759" s="699" t="str">
        <f>B757&amp;".3"</f>
        <v>3.241.3</v>
      </c>
      <c r="E759" s="1677" t="s">
        <v>969</v>
      </c>
      <c r="F759" s="2273" t="s">
        <v>328</v>
      </c>
      <c r="G759" s="1748" t="s">
        <v>22</v>
      </c>
      <c r="H759" s="828" t="s">
        <v>22</v>
      </c>
      <c r="I759" s="1748" t="s">
        <v>22</v>
      </c>
      <c r="J759" s="828" t="s">
        <v>22</v>
      </c>
      <c r="K759" s="1748" t="s">
        <v>22</v>
      </c>
      <c r="L759" s="828" t="s">
        <v>22</v>
      </c>
      <c r="M759" s="1748" t="s">
        <v>22</v>
      </c>
      <c r="N759" s="828" t="s">
        <v>22</v>
      </c>
      <c r="O759" s="1748" t="s">
        <v>22</v>
      </c>
      <c r="P759" s="828" t="s">
        <v>22</v>
      </c>
      <c r="Q759" s="1535" t="s">
        <v>970</v>
      </c>
      <c r="R759" s="1645"/>
      <c r="S759" s="1645"/>
      <c r="T759" s="1645"/>
      <c r="U759" s="1645"/>
      <c r="V759" s="1645"/>
      <c r="W759" s="1645"/>
      <c r="X759" s="1645"/>
      <c r="Y759" s="1645"/>
      <c r="Z759" s="1645"/>
      <c r="AA759" s="685"/>
      <c r="AB759" s="1645">
        <v>0</v>
      </c>
    </row>
    <row s="1860" customFormat="1" customHeight="1" ht="22.5">
      <c r="A760" s="1645"/>
      <c r="B760" s="2407" t="s">
        <v>1236</v>
      </c>
      <c r="C760" s="2408" t="s">
        <v>105</v>
      </c>
      <c r="D760" s="699" t="str">
        <f>B760&amp;".1"</f>
        <v>3.242.1</v>
      </c>
      <c r="E760" s="1677" t="s">
        <v>966</v>
      </c>
      <c r="F760" s="2273" t="s">
        <v>328</v>
      </c>
      <c r="G760" s="2363" t="s">
        <v>22</v>
      </c>
      <c r="H760" s="828" t="s">
        <v>22</v>
      </c>
      <c r="I760" s="2363" t="s">
        <v>983</v>
      </c>
      <c r="J760" s="828" t="s">
        <v>22</v>
      </c>
      <c r="K760" s="2363" t="s">
        <v>22</v>
      </c>
      <c r="L760" s="828" t="s">
        <v>22</v>
      </c>
      <c r="M760" s="2363" t="s">
        <v>22</v>
      </c>
      <c r="N760" s="828" t="s">
        <v>22</v>
      </c>
      <c r="O760" s="2363" t="s">
        <v>22</v>
      </c>
      <c r="P760" s="828" t="s">
        <v>22</v>
      </c>
      <c r="Q760" s="1535"/>
      <c r="R760" s="1645"/>
      <c r="S760" s="1645"/>
      <c r="T760" s="1645"/>
      <c r="U760" s="1645"/>
      <c r="V760" s="1645"/>
      <c r="W760" s="1645"/>
      <c r="X760" s="1645"/>
      <c r="Y760" s="1645"/>
      <c r="Z760" s="1645"/>
      <c r="AA760" s="685"/>
      <c r="AB760" s="1645">
        <v>0</v>
      </c>
    </row>
    <row s="1860" customFormat="1" customHeight="1" ht="15">
      <c r="A761" s="1645"/>
      <c r="B761" s="2407"/>
      <c r="C761" s="2408"/>
      <c r="D761" s="699" t="str">
        <f>B760&amp;".2"</f>
        <v>3.242.2</v>
      </c>
      <c r="E761" s="1677" t="s">
        <v>967</v>
      </c>
      <c r="F761" s="2273" t="s">
        <v>328</v>
      </c>
      <c r="G761" s="1748" t="s">
        <v>22</v>
      </c>
      <c r="H761" s="828" t="s">
        <v>22</v>
      </c>
      <c r="I761" s="1748">
        <v>46178</v>
      </c>
      <c r="J761" s="828" t="s">
        <v>22</v>
      </c>
      <c r="K761" s="1748" t="s">
        <v>22</v>
      </c>
      <c r="L761" s="828" t="s">
        <v>22</v>
      </c>
      <c r="M761" s="1748" t="s">
        <v>22</v>
      </c>
      <c r="N761" s="828" t="s">
        <v>22</v>
      </c>
      <c r="O761" s="1748" t="s">
        <v>22</v>
      </c>
      <c r="P761" s="828" t="s">
        <v>22</v>
      </c>
      <c r="Q761" s="1535" t="s">
        <v>968</v>
      </c>
      <c r="R761" s="1645"/>
      <c r="S761" s="1645"/>
      <c r="T761" s="1645"/>
      <c r="U761" s="1645"/>
      <c r="V761" s="1645"/>
      <c r="W761" s="1645"/>
      <c r="X761" s="1645"/>
      <c r="Y761" s="1645"/>
      <c r="Z761" s="1645"/>
      <c r="AA761" s="685"/>
      <c r="AB761" s="1645">
        <v>0</v>
      </c>
    </row>
    <row s="1860" customFormat="1" customHeight="1" ht="15">
      <c r="A762" s="1645"/>
      <c r="B762" s="2407"/>
      <c r="C762" s="2408"/>
      <c r="D762" s="699" t="str">
        <f>B760&amp;".3"</f>
        <v>3.242.3</v>
      </c>
      <c r="E762" s="1677" t="s">
        <v>969</v>
      </c>
      <c r="F762" s="2273" t="s">
        <v>328</v>
      </c>
      <c r="G762" s="1748" t="s">
        <v>22</v>
      </c>
      <c r="H762" s="828" t="s">
        <v>22</v>
      </c>
      <c r="I762" s="1748" t="s">
        <v>22</v>
      </c>
      <c r="J762" s="828" t="s">
        <v>22</v>
      </c>
      <c r="K762" s="1748" t="s">
        <v>22</v>
      </c>
      <c r="L762" s="828" t="s">
        <v>22</v>
      </c>
      <c r="M762" s="1748" t="s">
        <v>22</v>
      </c>
      <c r="N762" s="828" t="s">
        <v>22</v>
      </c>
      <c r="O762" s="1748" t="s">
        <v>22</v>
      </c>
      <c r="P762" s="828" t="s">
        <v>22</v>
      </c>
      <c r="Q762" s="1535" t="s">
        <v>970</v>
      </c>
      <c r="R762" s="1645"/>
      <c r="S762" s="1645"/>
      <c r="T762" s="1645"/>
      <c r="U762" s="1645"/>
      <c r="V762" s="1645"/>
      <c r="W762" s="1645"/>
      <c r="X762" s="1645"/>
      <c r="Y762" s="1645"/>
      <c r="Z762" s="1645"/>
      <c r="AA762" s="685"/>
      <c r="AB762" s="1645">
        <v>0</v>
      </c>
    </row>
    <row s="1860" customFormat="1" customHeight="1" ht="22.5">
      <c r="A763" s="1645"/>
      <c r="B763" s="2407" t="s">
        <v>1237</v>
      </c>
      <c r="C763" s="2408" t="s">
        <v>105</v>
      </c>
      <c r="D763" s="699" t="str">
        <f>B763&amp;".1"</f>
        <v>3.243.1</v>
      </c>
      <c r="E763" s="1677" t="s">
        <v>966</v>
      </c>
      <c r="F763" s="2273" t="s">
        <v>328</v>
      </c>
      <c r="G763" s="2363" t="s">
        <v>22</v>
      </c>
      <c r="H763" s="828" t="s">
        <v>22</v>
      </c>
      <c r="I763" s="2363" t="s">
        <v>983</v>
      </c>
      <c r="J763" s="828" t="s">
        <v>22</v>
      </c>
      <c r="K763" s="2363" t="s">
        <v>22</v>
      </c>
      <c r="L763" s="828" t="s">
        <v>22</v>
      </c>
      <c r="M763" s="2363" t="s">
        <v>22</v>
      </c>
      <c r="N763" s="828" t="s">
        <v>22</v>
      </c>
      <c r="O763" s="2363" t="s">
        <v>22</v>
      </c>
      <c r="P763" s="828" t="s">
        <v>22</v>
      </c>
      <c r="Q763" s="1535"/>
      <c r="R763" s="1645"/>
      <c r="S763" s="1645"/>
      <c r="T763" s="1645"/>
      <c r="U763" s="1645"/>
      <c r="V763" s="1645"/>
      <c r="W763" s="1645"/>
      <c r="X763" s="1645"/>
      <c r="Y763" s="1645"/>
      <c r="Z763" s="1645"/>
      <c r="AA763" s="685"/>
      <c r="AB763" s="1645">
        <v>0</v>
      </c>
    </row>
    <row s="1860" customFormat="1" customHeight="1" ht="15">
      <c r="A764" s="1645"/>
      <c r="B764" s="2407"/>
      <c r="C764" s="2408"/>
      <c r="D764" s="699" t="str">
        <f>B763&amp;".2"</f>
        <v>3.243.2</v>
      </c>
      <c r="E764" s="1677" t="s">
        <v>967</v>
      </c>
      <c r="F764" s="2273" t="s">
        <v>328</v>
      </c>
      <c r="G764" s="1748" t="s">
        <v>22</v>
      </c>
      <c r="H764" s="828" t="s">
        <v>22</v>
      </c>
      <c r="I764" s="1748">
        <v>46181</v>
      </c>
      <c r="J764" s="828" t="s">
        <v>22</v>
      </c>
      <c r="K764" s="1748" t="s">
        <v>22</v>
      </c>
      <c r="L764" s="828" t="s">
        <v>22</v>
      </c>
      <c r="M764" s="1748" t="s">
        <v>22</v>
      </c>
      <c r="N764" s="828" t="s">
        <v>22</v>
      </c>
      <c r="O764" s="1748" t="s">
        <v>22</v>
      </c>
      <c r="P764" s="828" t="s">
        <v>22</v>
      </c>
      <c r="Q764" s="1535" t="s">
        <v>968</v>
      </c>
      <c r="R764" s="1645"/>
      <c r="S764" s="1645"/>
      <c r="T764" s="1645"/>
      <c r="U764" s="1645"/>
      <c r="V764" s="1645"/>
      <c r="W764" s="1645"/>
      <c r="X764" s="1645"/>
      <c r="Y764" s="1645"/>
      <c r="Z764" s="1645"/>
      <c r="AA764" s="685"/>
      <c r="AB764" s="1645">
        <v>0</v>
      </c>
    </row>
    <row s="1860" customFormat="1" customHeight="1" ht="15">
      <c r="A765" s="1645"/>
      <c r="B765" s="2407"/>
      <c r="C765" s="2408"/>
      <c r="D765" s="699" t="str">
        <f>B763&amp;".3"</f>
        <v>3.243.3</v>
      </c>
      <c r="E765" s="1677" t="s">
        <v>969</v>
      </c>
      <c r="F765" s="2273" t="s">
        <v>328</v>
      </c>
      <c r="G765" s="1748" t="s">
        <v>22</v>
      </c>
      <c r="H765" s="828" t="s">
        <v>22</v>
      </c>
      <c r="I765" s="1748" t="s">
        <v>22</v>
      </c>
      <c r="J765" s="828" t="s">
        <v>22</v>
      </c>
      <c r="K765" s="1748" t="s">
        <v>22</v>
      </c>
      <c r="L765" s="828" t="s">
        <v>22</v>
      </c>
      <c r="M765" s="1748" t="s">
        <v>22</v>
      </c>
      <c r="N765" s="828" t="s">
        <v>22</v>
      </c>
      <c r="O765" s="1748" t="s">
        <v>22</v>
      </c>
      <c r="P765" s="828" t="s">
        <v>22</v>
      </c>
      <c r="Q765" s="1535" t="s">
        <v>970</v>
      </c>
      <c r="R765" s="1645"/>
      <c r="S765" s="1645"/>
      <c r="T765" s="1645"/>
      <c r="U765" s="1645"/>
      <c r="V765" s="1645"/>
      <c r="W765" s="1645"/>
      <c r="X765" s="1645"/>
      <c r="Y765" s="1645"/>
      <c r="Z765" s="1645"/>
      <c r="AA765" s="685"/>
      <c r="AB765" s="1645">
        <v>0</v>
      </c>
    </row>
    <row s="1860" customFormat="1" customHeight="1" ht="22.5">
      <c r="A766" s="1645"/>
      <c r="B766" s="2407" t="s">
        <v>1238</v>
      </c>
      <c r="C766" s="2408" t="s">
        <v>105</v>
      </c>
      <c r="D766" s="699" t="str">
        <f>B766&amp;".1"</f>
        <v>3.244.1</v>
      </c>
      <c r="E766" s="1677" t="s">
        <v>966</v>
      </c>
      <c r="F766" s="2273" t="s">
        <v>328</v>
      </c>
      <c r="G766" s="2363" t="s">
        <v>22</v>
      </c>
      <c r="H766" s="828" t="s">
        <v>22</v>
      </c>
      <c r="I766" s="2363" t="s">
        <v>984</v>
      </c>
      <c r="J766" s="828" t="s">
        <v>22</v>
      </c>
      <c r="K766" s="2363" t="s">
        <v>22</v>
      </c>
      <c r="L766" s="828" t="s">
        <v>22</v>
      </c>
      <c r="M766" s="2363" t="s">
        <v>22</v>
      </c>
      <c r="N766" s="828" t="s">
        <v>22</v>
      </c>
      <c r="O766" s="2363" t="s">
        <v>22</v>
      </c>
      <c r="P766" s="828" t="s">
        <v>22</v>
      </c>
      <c r="Q766" s="1535"/>
      <c r="R766" s="1645"/>
      <c r="S766" s="1645"/>
      <c r="T766" s="1645"/>
      <c r="U766" s="1645"/>
      <c r="V766" s="1645"/>
      <c r="W766" s="1645"/>
      <c r="X766" s="1645"/>
      <c r="Y766" s="1645"/>
      <c r="Z766" s="1645"/>
      <c r="AA766" s="685"/>
      <c r="AB766" s="1645">
        <v>0</v>
      </c>
    </row>
    <row s="1860" customFormat="1" customHeight="1" ht="15">
      <c r="A767" s="1645"/>
      <c r="B767" s="2407"/>
      <c r="C767" s="2408"/>
      <c r="D767" s="699" t="str">
        <f>B766&amp;".2"</f>
        <v>3.244.2</v>
      </c>
      <c r="E767" s="1677" t="s">
        <v>967</v>
      </c>
      <c r="F767" s="2273" t="s">
        <v>328</v>
      </c>
      <c r="G767" s="1748" t="s">
        <v>22</v>
      </c>
      <c r="H767" s="828" t="s">
        <v>22</v>
      </c>
      <c r="I767" s="1748">
        <v>46198</v>
      </c>
      <c r="J767" s="828" t="s">
        <v>22</v>
      </c>
      <c r="K767" s="1748" t="s">
        <v>22</v>
      </c>
      <c r="L767" s="828" t="s">
        <v>22</v>
      </c>
      <c r="M767" s="1748" t="s">
        <v>22</v>
      </c>
      <c r="N767" s="828" t="s">
        <v>22</v>
      </c>
      <c r="O767" s="1748" t="s">
        <v>22</v>
      </c>
      <c r="P767" s="828" t="s">
        <v>22</v>
      </c>
      <c r="Q767" s="1535" t="s">
        <v>968</v>
      </c>
      <c r="R767" s="1645"/>
      <c r="S767" s="1645"/>
      <c r="T767" s="1645"/>
      <c r="U767" s="1645"/>
      <c r="V767" s="1645"/>
      <c r="W767" s="1645"/>
      <c r="X767" s="1645"/>
      <c r="Y767" s="1645"/>
      <c r="Z767" s="1645"/>
      <c r="AA767" s="685"/>
      <c r="AB767" s="1645">
        <v>0</v>
      </c>
    </row>
    <row s="1860" customFormat="1" customHeight="1" ht="15">
      <c r="A768" s="1645"/>
      <c r="B768" s="2407"/>
      <c r="C768" s="2408"/>
      <c r="D768" s="699" t="str">
        <f>B766&amp;".3"</f>
        <v>3.244.3</v>
      </c>
      <c r="E768" s="1677" t="s">
        <v>969</v>
      </c>
      <c r="F768" s="2273" t="s">
        <v>328</v>
      </c>
      <c r="G768" s="1748" t="s">
        <v>22</v>
      </c>
      <c r="H768" s="828" t="s">
        <v>22</v>
      </c>
      <c r="I768" s="1748" t="s">
        <v>22</v>
      </c>
      <c r="J768" s="828" t="s">
        <v>22</v>
      </c>
      <c r="K768" s="1748" t="s">
        <v>22</v>
      </c>
      <c r="L768" s="828" t="s">
        <v>22</v>
      </c>
      <c r="M768" s="1748" t="s">
        <v>22</v>
      </c>
      <c r="N768" s="828" t="s">
        <v>22</v>
      </c>
      <c r="O768" s="1748" t="s">
        <v>22</v>
      </c>
      <c r="P768" s="828" t="s">
        <v>22</v>
      </c>
      <c r="Q768" s="1535" t="s">
        <v>970</v>
      </c>
      <c r="R768" s="1645"/>
      <c r="S768" s="1645"/>
      <c r="T768" s="1645"/>
      <c r="U768" s="1645"/>
      <c r="V768" s="1645"/>
      <c r="W768" s="1645"/>
      <c r="X768" s="1645"/>
      <c r="Y768" s="1645"/>
      <c r="Z768" s="1645"/>
      <c r="AA768" s="685"/>
      <c r="AB768" s="1645">
        <v>0</v>
      </c>
    </row>
    <row customHeight="1" ht="11.549999999999999">
      <c r="A769" s="515"/>
      <c r="C769" s="515"/>
      <c r="D769" s="357"/>
      <c r="E769" s="590" t="s">
        <v>1239</v>
      </c>
      <c r="F769" s="582"/>
      <c r="G769" s="704"/>
      <c r="H769" s="704"/>
      <c r="I769" s="704"/>
      <c r="J769" s="704"/>
      <c r="K769" s="2684"/>
      <c r="L769" s="2685"/>
      <c r="M769" s="2686"/>
      <c r="N769" s="2687"/>
      <c r="O769" s="2688"/>
      <c r="P769" s="2689"/>
      <c r="Q769" s="583"/>
      <c r="AA769" s="515"/>
      <c r="AB769" s="515">
        <v>11</v>
      </c>
    </row>
    <row customHeight="1" ht="71.25">
      <c r="A770" s="515"/>
      <c r="B770" s="515" t="s">
        <v>1240</v>
      </c>
      <c r="C770" s="536"/>
      <c r="D770" s="702">
        <v>4</v>
      </c>
      <c r="E770" s="703" t="s">
        <v>1241</v>
      </c>
      <c r="F770" s="705" t="s">
        <v>328</v>
      </c>
      <c r="G770" s="824" t="s">
        <v>981</v>
      </c>
      <c r="H770" s="825" t="s">
        <v>328</v>
      </c>
      <c r="I770" s="534" t="s">
        <v>981</v>
      </c>
      <c r="J770" s="531" t="s">
        <v>328</v>
      </c>
      <c r="K770" s="2117" t="s">
        <v>1242</v>
      </c>
      <c r="L770" s="2322" t="s">
        <v>328</v>
      </c>
      <c r="M770" s="2117" t="s">
        <v>1242</v>
      </c>
      <c r="N770" s="2322" t="s">
        <v>328</v>
      </c>
      <c r="O770" s="2117" t="s">
        <v>1242</v>
      </c>
      <c r="P770" s="2322" t="s">
        <v>328</v>
      </c>
      <c r="Q770" s="689" t="s">
        <v>1243</v>
      </c>
      <c r="AB770" s="515">
        <v>68</v>
      </c>
    </row>
    <row s="1860" customFormat="1" customHeight="1" ht="33.75">
      <c r="A771" s="1645"/>
      <c r="B771" s="2407" t="s">
        <v>778</v>
      </c>
      <c r="C771" s="2408" t="s">
        <v>105</v>
      </c>
      <c r="D771" s="699" t="str">
        <f>B771&amp;".1"</f>
        <v>4.1.1</v>
      </c>
      <c r="E771" s="1677" t="s">
        <v>971</v>
      </c>
      <c r="F771" s="2273" t="s">
        <v>328</v>
      </c>
      <c r="G771" s="871" t="s">
        <v>22</v>
      </c>
      <c r="H771" s="828" t="s">
        <v>22</v>
      </c>
      <c r="I771" s="871" t="s">
        <v>1244</v>
      </c>
      <c r="J771" s="828" t="s">
        <v>22</v>
      </c>
      <c r="K771" s="2706" t="s">
        <v>22</v>
      </c>
      <c r="L771" s="2707" t="s">
        <v>22</v>
      </c>
      <c r="M771" s="2706" t="s">
        <v>22</v>
      </c>
      <c r="N771" s="2707" t="s">
        <v>22</v>
      </c>
      <c r="O771" s="2706" t="s">
        <v>22</v>
      </c>
      <c r="P771" s="2707" t="s">
        <v>22</v>
      </c>
      <c r="Q771" s="1535" t="s">
        <v>972</v>
      </c>
      <c r="R771" s="1645"/>
      <c r="S771" s="1645"/>
      <c r="T771" s="1645"/>
      <c r="U771" s="1645"/>
      <c r="V771" s="1645"/>
      <c r="W771" s="1645"/>
      <c r="X771" s="1645"/>
      <c r="Y771" s="1645"/>
      <c r="Z771" s="1645"/>
      <c r="AA771" s="685"/>
      <c r="AB771" s="1645">
        <v>0</v>
      </c>
    </row>
    <row s="1860" customFormat="1" customHeight="1" ht="15">
      <c r="A772" s="1642"/>
      <c r="B772" s="2407"/>
      <c r="C772" s="2408"/>
      <c r="D772" s="699" t="str">
        <f>B771&amp;".2"</f>
        <v>4.1.2</v>
      </c>
      <c r="E772" s="1677" t="s">
        <v>973</v>
      </c>
      <c r="F772" s="2273" t="s">
        <v>328</v>
      </c>
      <c r="G772" s="1742" t="s">
        <v>22</v>
      </c>
      <c r="H772" s="828" t="s">
        <v>22</v>
      </c>
      <c r="I772" s="1742">
        <v>46126</v>
      </c>
      <c r="J772" s="828" t="s">
        <v>22</v>
      </c>
      <c r="K772" s="2708" t="s">
        <v>22</v>
      </c>
      <c r="L772" s="2707" t="s">
        <v>22</v>
      </c>
      <c r="M772" s="2708" t="s">
        <v>22</v>
      </c>
      <c r="N772" s="2707" t="s">
        <v>22</v>
      </c>
      <c r="O772" s="2708" t="s">
        <v>22</v>
      </c>
      <c r="P772" s="2707" t="s">
        <v>22</v>
      </c>
      <c r="Q772" s="1535" t="s">
        <v>974</v>
      </c>
      <c r="R772" s="1645"/>
      <c r="S772" s="1645"/>
      <c r="T772" s="1645"/>
      <c r="U772" s="1645"/>
      <c r="V772" s="1645"/>
      <c r="W772" s="1645"/>
      <c r="X772" s="1645"/>
      <c r="Y772" s="1645"/>
      <c r="Z772" s="1645"/>
      <c r="AA772" s="685"/>
      <c r="AB772" s="1645">
        <v>0</v>
      </c>
    </row>
    <row s="1860" customFormat="1" customHeight="1" ht="33.75">
      <c r="A773" s="1645"/>
      <c r="B773" s="2407" t="s">
        <v>820</v>
      </c>
      <c r="C773" s="2408" t="s">
        <v>105</v>
      </c>
      <c r="D773" s="699" t="str">
        <f>B773&amp;".1"</f>
        <v>4.2.1</v>
      </c>
      <c r="E773" s="1677" t="s">
        <v>971</v>
      </c>
      <c r="F773" s="2273" t="s">
        <v>328</v>
      </c>
      <c r="G773" s="2363" t="s">
        <v>22</v>
      </c>
      <c r="H773" s="828" t="s">
        <v>22</v>
      </c>
      <c r="I773" s="2363" t="s">
        <v>1244</v>
      </c>
      <c r="J773" s="828" t="s">
        <v>22</v>
      </c>
      <c r="K773" s="2709" t="s">
        <v>22</v>
      </c>
      <c r="L773" s="2707" t="s">
        <v>22</v>
      </c>
      <c r="M773" s="2709" t="s">
        <v>22</v>
      </c>
      <c r="N773" s="2707" t="s">
        <v>22</v>
      </c>
      <c r="O773" s="2709" t="s">
        <v>22</v>
      </c>
      <c r="P773" s="2707" t="s">
        <v>22</v>
      </c>
      <c r="Q773" s="1535" t="s">
        <v>972</v>
      </c>
      <c r="R773" s="1645"/>
      <c r="S773" s="1645"/>
      <c r="T773" s="1645"/>
      <c r="U773" s="1645"/>
      <c r="V773" s="1645"/>
      <c r="W773" s="1645"/>
      <c r="X773" s="1645"/>
      <c r="Y773" s="1645"/>
      <c r="Z773" s="1645"/>
      <c r="AA773" s="685"/>
      <c r="AB773" s="1645">
        <v>0</v>
      </c>
    </row>
    <row s="1860" customFormat="1" customHeight="1" ht="15">
      <c r="A774" s="1642"/>
      <c r="B774" s="2407"/>
      <c r="C774" s="2408"/>
      <c r="D774" s="699" t="str">
        <f>B773&amp;".2"</f>
        <v>4.2.2</v>
      </c>
      <c r="E774" s="1677" t="s">
        <v>973</v>
      </c>
      <c r="F774" s="2273" t="s">
        <v>328</v>
      </c>
      <c r="G774" s="1748" t="s">
        <v>22</v>
      </c>
      <c r="H774" s="828" t="s">
        <v>22</v>
      </c>
      <c r="I774" s="1748">
        <v>46157</v>
      </c>
      <c r="J774" s="828" t="s">
        <v>22</v>
      </c>
      <c r="K774" s="2710" t="s">
        <v>22</v>
      </c>
      <c r="L774" s="2707" t="s">
        <v>22</v>
      </c>
      <c r="M774" s="2710" t="s">
        <v>22</v>
      </c>
      <c r="N774" s="2707" t="s">
        <v>22</v>
      </c>
      <c r="O774" s="2710" t="s">
        <v>22</v>
      </c>
      <c r="P774" s="2707" t="s">
        <v>22</v>
      </c>
      <c r="Q774" s="1535" t="s">
        <v>974</v>
      </c>
      <c r="R774" s="1645"/>
      <c r="S774" s="1645"/>
      <c r="T774" s="1645"/>
      <c r="U774" s="1645"/>
      <c r="V774" s="1645"/>
      <c r="W774" s="1645"/>
      <c r="X774" s="1645"/>
      <c r="Y774" s="1645"/>
      <c r="Z774" s="1645"/>
      <c r="AA774" s="685"/>
      <c r="AB774" s="1645">
        <v>0</v>
      </c>
    </row>
    <row s="1860" customFormat="1" customHeight="1" ht="33.75">
      <c r="A775" s="1645"/>
      <c r="B775" s="2407" t="s">
        <v>823</v>
      </c>
      <c r="C775" s="2408" t="s">
        <v>105</v>
      </c>
      <c r="D775" s="699" t="str">
        <f>B775&amp;".1"</f>
        <v>4.3.1</v>
      </c>
      <c r="E775" s="1677" t="s">
        <v>971</v>
      </c>
      <c r="F775" s="2273" t="s">
        <v>328</v>
      </c>
      <c r="G775" s="2363" t="s">
        <v>22</v>
      </c>
      <c r="H775" s="828" t="s">
        <v>22</v>
      </c>
      <c r="I775" s="2363" t="s">
        <v>1244</v>
      </c>
      <c r="J775" s="828" t="s">
        <v>22</v>
      </c>
      <c r="K775" s="2709" t="s">
        <v>22</v>
      </c>
      <c r="L775" s="2707" t="s">
        <v>22</v>
      </c>
      <c r="M775" s="2709" t="s">
        <v>22</v>
      </c>
      <c r="N775" s="2707" t="s">
        <v>22</v>
      </c>
      <c r="O775" s="2709" t="s">
        <v>22</v>
      </c>
      <c r="P775" s="2707" t="s">
        <v>22</v>
      </c>
      <c r="Q775" s="1535" t="s">
        <v>972</v>
      </c>
      <c r="R775" s="1645"/>
      <c r="S775" s="1645"/>
      <c r="T775" s="1645"/>
      <c r="U775" s="1645"/>
      <c r="V775" s="1645"/>
      <c r="W775" s="1645"/>
      <c r="X775" s="1645"/>
      <c r="Y775" s="1645"/>
      <c r="Z775" s="1645"/>
      <c r="AA775" s="685"/>
      <c r="AB775" s="1645">
        <v>0</v>
      </c>
    </row>
    <row s="1860" customFormat="1" customHeight="1" ht="15">
      <c r="A776" s="1642"/>
      <c r="B776" s="2407"/>
      <c r="C776" s="2408"/>
      <c r="D776" s="699" t="str">
        <f>B775&amp;".2"</f>
        <v>4.3.2</v>
      </c>
      <c r="E776" s="1677" t="s">
        <v>973</v>
      </c>
      <c r="F776" s="2273" t="s">
        <v>328</v>
      </c>
      <c r="G776" s="1748" t="s">
        <v>22</v>
      </c>
      <c r="H776" s="828" t="s">
        <v>22</v>
      </c>
      <c r="I776" s="1748">
        <v>46185</v>
      </c>
      <c r="J776" s="828" t="s">
        <v>22</v>
      </c>
      <c r="K776" s="2710" t="s">
        <v>22</v>
      </c>
      <c r="L776" s="2707" t="s">
        <v>22</v>
      </c>
      <c r="M776" s="2710" t="s">
        <v>22</v>
      </c>
      <c r="N776" s="2707" t="s">
        <v>22</v>
      </c>
      <c r="O776" s="2710" t="s">
        <v>22</v>
      </c>
      <c r="P776" s="2707" t="s">
        <v>22</v>
      </c>
      <c r="Q776" s="1535" t="s">
        <v>974</v>
      </c>
      <c r="R776" s="1645"/>
      <c r="S776" s="1645"/>
      <c r="T776" s="1645"/>
      <c r="U776" s="1645"/>
      <c r="V776" s="1645"/>
      <c r="W776" s="1645"/>
      <c r="X776" s="1645"/>
      <c r="Y776" s="1645"/>
      <c r="Z776" s="1645"/>
      <c r="AA776" s="685"/>
      <c r="AB776" s="1645">
        <v>0</v>
      </c>
    </row>
    <row s="1860" customFormat="1" customHeight="1" ht="33.75">
      <c r="A777" s="1645"/>
      <c r="B777" s="2407" t="s">
        <v>901</v>
      </c>
      <c r="C777" s="2408" t="s">
        <v>105</v>
      </c>
      <c r="D777" s="699" t="str">
        <f>B777&amp;".1"</f>
        <v>4.4.1</v>
      </c>
      <c r="E777" s="1677" t="s">
        <v>971</v>
      </c>
      <c r="F777" s="2273" t="s">
        <v>328</v>
      </c>
      <c r="G777" s="2363" t="s">
        <v>22</v>
      </c>
      <c r="H777" s="828" t="s">
        <v>22</v>
      </c>
      <c r="I777" s="2363" t="s">
        <v>1244</v>
      </c>
      <c r="J777" s="828" t="s">
        <v>22</v>
      </c>
      <c r="K777" s="2709" t="s">
        <v>22</v>
      </c>
      <c r="L777" s="2707" t="s">
        <v>22</v>
      </c>
      <c r="M777" s="2709" t="s">
        <v>22</v>
      </c>
      <c r="N777" s="2707" t="s">
        <v>22</v>
      </c>
      <c r="O777" s="2709" t="s">
        <v>22</v>
      </c>
      <c r="P777" s="2707" t="s">
        <v>22</v>
      </c>
      <c r="Q777" s="1535" t="s">
        <v>972</v>
      </c>
      <c r="R777" s="1645"/>
      <c r="S777" s="1645"/>
      <c r="T777" s="1645"/>
      <c r="U777" s="1645"/>
      <c r="V777" s="1645"/>
      <c r="W777" s="1645"/>
      <c r="X777" s="1645"/>
      <c r="Y777" s="1645"/>
      <c r="Z777" s="1645"/>
      <c r="AA777" s="685"/>
      <c r="AB777" s="1645">
        <v>0</v>
      </c>
    </row>
    <row s="1860" customFormat="1" customHeight="1" ht="15">
      <c r="A778" s="1642"/>
      <c r="B778" s="2407"/>
      <c r="C778" s="2408"/>
      <c r="D778" s="699" t="str">
        <f>B777&amp;".2"</f>
        <v>4.4.2</v>
      </c>
      <c r="E778" s="1677" t="s">
        <v>973</v>
      </c>
      <c r="F778" s="2273" t="s">
        <v>328</v>
      </c>
      <c r="G778" s="1748" t="s">
        <v>22</v>
      </c>
      <c r="H778" s="828" t="s">
        <v>22</v>
      </c>
      <c r="I778" s="1748">
        <v>46189</v>
      </c>
      <c r="J778" s="828" t="s">
        <v>22</v>
      </c>
      <c r="K778" s="2710" t="s">
        <v>22</v>
      </c>
      <c r="L778" s="2707" t="s">
        <v>22</v>
      </c>
      <c r="M778" s="2710" t="s">
        <v>22</v>
      </c>
      <c r="N778" s="2707" t="s">
        <v>22</v>
      </c>
      <c r="O778" s="2710" t="s">
        <v>22</v>
      </c>
      <c r="P778" s="2707" t="s">
        <v>22</v>
      </c>
      <c r="Q778" s="1535" t="s">
        <v>974</v>
      </c>
      <c r="R778" s="1645"/>
      <c r="S778" s="1645"/>
      <c r="T778" s="1645"/>
      <c r="U778" s="1645"/>
      <c r="V778" s="1645"/>
      <c r="W778" s="1645"/>
      <c r="X778" s="1645"/>
      <c r="Y778" s="1645"/>
      <c r="Z778" s="1645"/>
      <c r="AA778" s="685"/>
      <c r="AB778" s="1645">
        <v>0</v>
      </c>
    </row>
    <row s="1860" customFormat="1" customHeight="1" ht="33.75">
      <c r="A779" s="1645"/>
      <c r="B779" s="2407" t="s">
        <v>903</v>
      </c>
      <c r="C779" s="2408" t="s">
        <v>105</v>
      </c>
      <c r="D779" s="699" t="str">
        <f>B779&amp;".1"</f>
        <v>4.5.1</v>
      </c>
      <c r="E779" s="1677" t="s">
        <v>971</v>
      </c>
      <c r="F779" s="2273" t="s">
        <v>328</v>
      </c>
      <c r="G779" s="2363" t="s">
        <v>22</v>
      </c>
      <c r="H779" s="828" t="s">
        <v>22</v>
      </c>
      <c r="I779" s="2363" t="s">
        <v>1244</v>
      </c>
      <c r="J779" s="828" t="s">
        <v>22</v>
      </c>
      <c r="K779" s="2709" t="s">
        <v>22</v>
      </c>
      <c r="L779" s="2707" t="s">
        <v>22</v>
      </c>
      <c r="M779" s="2709" t="s">
        <v>22</v>
      </c>
      <c r="N779" s="2707" t="s">
        <v>22</v>
      </c>
      <c r="O779" s="2709" t="s">
        <v>22</v>
      </c>
      <c r="P779" s="2707" t="s">
        <v>22</v>
      </c>
      <c r="Q779" s="1535" t="s">
        <v>972</v>
      </c>
      <c r="R779" s="1645"/>
      <c r="S779" s="1645"/>
      <c r="T779" s="1645"/>
      <c r="U779" s="1645"/>
      <c r="V779" s="1645"/>
      <c r="W779" s="1645"/>
      <c r="X779" s="1645"/>
      <c r="Y779" s="1645"/>
      <c r="Z779" s="1645"/>
      <c r="AA779" s="685"/>
      <c r="AB779" s="1645">
        <v>0</v>
      </c>
    </row>
    <row s="1860" customFormat="1" customHeight="1" ht="15">
      <c r="A780" s="1642"/>
      <c r="B780" s="2407"/>
      <c r="C780" s="2408"/>
      <c r="D780" s="699" t="str">
        <f>B779&amp;".2"</f>
        <v>4.5.2</v>
      </c>
      <c r="E780" s="1677" t="s">
        <v>973</v>
      </c>
      <c r="F780" s="2273" t="s">
        <v>328</v>
      </c>
      <c r="G780" s="1748" t="s">
        <v>22</v>
      </c>
      <c r="H780" s="828" t="s">
        <v>22</v>
      </c>
      <c r="I780" s="1748">
        <v>46189</v>
      </c>
      <c r="J780" s="828" t="s">
        <v>22</v>
      </c>
      <c r="K780" s="2710" t="s">
        <v>22</v>
      </c>
      <c r="L780" s="2707" t="s">
        <v>22</v>
      </c>
      <c r="M780" s="2710" t="s">
        <v>22</v>
      </c>
      <c r="N780" s="2707" t="s">
        <v>22</v>
      </c>
      <c r="O780" s="2710" t="s">
        <v>22</v>
      </c>
      <c r="P780" s="2707" t="s">
        <v>22</v>
      </c>
      <c r="Q780" s="1535" t="s">
        <v>974</v>
      </c>
      <c r="R780" s="1645"/>
      <c r="S780" s="1645"/>
      <c r="T780" s="1645"/>
      <c r="U780" s="1645"/>
      <c r="V780" s="1645"/>
      <c r="W780" s="1645"/>
      <c r="X780" s="1645"/>
      <c r="Y780" s="1645"/>
      <c r="Z780" s="1645"/>
      <c r="AA780" s="685"/>
      <c r="AB780" s="1645">
        <v>0</v>
      </c>
    </row>
    <row customHeight="1" ht="11.549999999999999">
      <c r="A781" s="515"/>
      <c r="C781" s="515"/>
      <c r="D781" s="357"/>
      <c r="E781" s="590" t="s">
        <v>1245</v>
      </c>
      <c r="F781" s="582"/>
      <c r="G781" s="582"/>
      <c r="H781" s="706"/>
      <c r="I781" s="582"/>
      <c r="J781" s="706"/>
      <c r="K781" s="2690"/>
      <c r="L781" s="2691"/>
      <c r="M781" s="2692"/>
      <c r="N781" s="2693"/>
      <c r="O781" s="2694"/>
      <c r="P781" s="2695"/>
      <c r="Q781" s="583"/>
      <c r="AA781" s="515"/>
      <c r="AB781" s="515">
        <v>11</v>
      </c>
    </row>
    <row customHeight="1" ht="22.5" hidden="1">
      <c r="A782" s="459" t="s">
        <v>82</v>
      </c>
      <c r="B782" s="515">
        <v>0</v>
      </c>
      <c r="C782" s="693">
        <v>4</v>
      </c>
      <c r="D782" s="515">
        <v>6</v>
      </c>
      <c r="E782" s="515">
        <v>36</v>
      </c>
      <c r="F782" s="515">
        <v>9</v>
      </c>
      <c r="G782" s="768">
        <v>0</v>
      </c>
      <c r="H782" s="768">
        <v>0</v>
      </c>
      <c r="I782" s="515">
        <v>25</v>
      </c>
      <c r="J782" s="515">
        <v>33</v>
      </c>
      <c r="K782" s="1645">
        <v>0</v>
      </c>
      <c r="L782" s="1645">
        <v>0</v>
      </c>
      <c r="M782" s="1645">
        <v>0</v>
      </c>
      <c r="N782" s="1645">
        <v>0</v>
      </c>
      <c r="O782" s="1645">
        <v>0</v>
      </c>
      <c r="P782" s="1645">
        <v>0</v>
      </c>
      <c r="Q782" s="427">
        <v>93</v>
      </c>
      <c r="R782" s="515">
        <v>10</v>
      </c>
      <c r="S782" s="515">
        <v>10</v>
      </c>
      <c r="T782" s="515">
        <v>10</v>
      </c>
      <c r="U782" s="515">
        <v>10</v>
      </c>
      <c r="V782" s="515">
        <v>10</v>
      </c>
      <c r="W782" s="515">
        <v>10</v>
      </c>
      <c r="X782" s="515">
        <v>10</v>
      </c>
      <c r="Y782" s="515">
        <v>10</v>
      </c>
      <c r="Z782" s="515">
        <v>10</v>
      </c>
      <c r="AA782" s="685">
        <v>10</v>
      </c>
      <c r="AB782" s="515">
        <v>23</v>
      </c>
    </row>
  </sheetData>
  <sheetProtection sheet="1" formatColumns="0" formatRows="0" autoFilter="0" sort="1" insertRows="1" insertColumns="1" deleteRows="1" deleteColumns="1"/>
  <mergeCells count="528">
    <mergeCell ref="B3:B4"/>
    <mergeCell ref="C3:C4"/>
    <mergeCell ref="B6:B7"/>
    <mergeCell ref="C6:C7"/>
    <mergeCell ref="B9:B11"/>
    <mergeCell ref="C9:C11"/>
    <mergeCell ref="B13:B14"/>
    <mergeCell ref="C13:C14"/>
    <mergeCell ref="D22:I22"/>
    <mergeCell ref="D23:I23"/>
    <mergeCell ref="I26:J26"/>
    <mergeCell ref="E26:F26"/>
    <mergeCell ref="G28:H28"/>
    <mergeCell ref="Q26:Q30"/>
    <mergeCell ref="E27:F27"/>
    <mergeCell ref="E28:F28"/>
    <mergeCell ref="I27:J27"/>
    <mergeCell ref="I28:J28"/>
    <mergeCell ref="G26:H26"/>
    <mergeCell ref="G27:H27"/>
    <mergeCell ref="D29:F29"/>
    <mergeCell ref="K28:L28"/>
    <mergeCell ref="K26:L26"/>
    <mergeCell ref="K27:L27"/>
    <mergeCell ref="M28:N28"/>
    <mergeCell ref="M26:N26"/>
    <mergeCell ref="M27:N27"/>
    <mergeCell ref="O28:P28"/>
    <mergeCell ref="O26:P26"/>
    <mergeCell ref="O27:P27"/>
    <mergeCell ref="B37:B39"/>
    <mergeCell ref="C37:C39"/>
    <mergeCell ref="B40:B42"/>
    <mergeCell ref="C40:C42"/>
    <mergeCell ref="B43:B45"/>
    <mergeCell ref="C43:C45"/>
    <mergeCell ref="B46:B48"/>
    <mergeCell ref="C46:C48"/>
    <mergeCell ref="B49:B51"/>
    <mergeCell ref="C49:C51"/>
    <mergeCell ref="B52:B54"/>
    <mergeCell ref="C52:C54"/>
    <mergeCell ref="B55:B57"/>
    <mergeCell ref="C55:C57"/>
    <mergeCell ref="B58:B60"/>
    <mergeCell ref="C58:C60"/>
    <mergeCell ref="B61:B63"/>
    <mergeCell ref="C61:C63"/>
    <mergeCell ref="B64:B66"/>
    <mergeCell ref="C64:C66"/>
    <mergeCell ref="B67:B69"/>
    <mergeCell ref="C67:C69"/>
    <mergeCell ref="B70:B72"/>
    <mergeCell ref="C70:C72"/>
    <mergeCell ref="B73:B75"/>
    <mergeCell ref="C73:C75"/>
    <mergeCell ref="B76:B78"/>
    <mergeCell ref="C76:C78"/>
    <mergeCell ref="B79:B81"/>
    <mergeCell ref="C79:C81"/>
    <mergeCell ref="B82:B84"/>
    <mergeCell ref="C82:C84"/>
    <mergeCell ref="B85:B87"/>
    <mergeCell ref="C85:C87"/>
    <mergeCell ref="B88:B90"/>
    <mergeCell ref="C88:C90"/>
    <mergeCell ref="B91:B93"/>
    <mergeCell ref="C91:C93"/>
    <mergeCell ref="B94:B96"/>
    <mergeCell ref="C94:C96"/>
    <mergeCell ref="B771:B772"/>
    <mergeCell ref="C771:C772"/>
    <mergeCell ref="B773:B774"/>
    <mergeCell ref="C773:C774"/>
    <mergeCell ref="B775:B776"/>
    <mergeCell ref="C775:C776"/>
    <mergeCell ref="B777:B778"/>
    <mergeCell ref="C777:C778"/>
    <mergeCell ref="B779:B780"/>
    <mergeCell ref="C779:C780"/>
    <mergeCell ref="B97:B99"/>
    <mergeCell ref="C97:C99"/>
    <mergeCell ref="B100:B102"/>
    <mergeCell ref="C100:C102"/>
    <mergeCell ref="B103:B105"/>
    <mergeCell ref="C103:C105"/>
    <mergeCell ref="B106:B108"/>
    <mergeCell ref="C106:C108"/>
    <mergeCell ref="B109:B111"/>
    <mergeCell ref="C109:C111"/>
    <mergeCell ref="B112:B114"/>
    <mergeCell ref="C112:C114"/>
    <mergeCell ref="B115:B117"/>
    <mergeCell ref="C115:C117"/>
    <mergeCell ref="B118:B120"/>
    <mergeCell ref="C118:C120"/>
    <mergeCell ref="B121:B123"/>
    <mergeCell ref="C121:C123"/>
    <mergeCell ref="B124:B126"/>
    <mergeCell ref="C124:C126"/>
    <mergeCell ref="B127:B129"/>
    <mergeCell ref="C127:C129"/>
    <mergeCell ref="B130:B132"/>
    <mergeCell ref="C130:C132"/>
    <mergeCell ref="B133:B135"/>
    <mergeCell ref="C133:C135"/>
    <mergeCell ref="B136:B138"/>
    <mergeCell ref="C136:C138"/>
    <mergeCell ref="B139:B141"/>
    <mergeCell ref="C139:C141"/>
    <mergeCell ref="B142:B144"/>
    <mergeCell ref="C142:C144"/>
    <mergeCell ref="B145:B147"/>
    <mergeCell ref="C145:C147"/>
    <mergeCell ref="B148:B150"/>
    <mergeCell ref="C148:C150"/>
    <mergeCell ref="B151:B153"/>
    <mergeCell ref="C151:C153"/>
    <mergeCell ref="B154:B156"/>
    <mergeCell ref="C154:C156"/>
    <mergeCell ref="B157:B159"/>
    <mergeCell ref="C157:C159"/>
    <mergeCell ref="B160:B162"/>
    <mergeCell ref="C160:C162"/>
    <mergeCell ref="B163:B165"/>
    <mergeCell ref="C163:C165"/>
    <mergeCell ref="B166:B168"/>
    <mergeCell ref="C166:C168"/>
    <mergeCell ref="B169:B171"/>
    <mergeCell ref="C169:C171"/>
    <mergeCell ref="B172:B174"/>
    <mergeCell ref="C172:C174"/>
    <mergeCell ref="B175:B177"/>
    <mergeCell ref="C175:C177"/>
    <mergeCell ref="B178:B180"/>
    <mergeCell ref="C178:C180"/>
    <mergeCell ref="B181:B183"/>
    <mergeCell ref="C181:C183"/>
    <mergeCell ref="B184:B186"/>
    <mergeCell ref="C184:C186"/>
    <mergeCell ref="B187:B189"/>
    <mergeCell ref="C187:C189"/>
    <mergeCell ref="B190:B192"/>
    <mergeCell ref="C190:C192"/>
    <mergeCell ref="B193:B195"/>
    <mergeCell ref="C193:C195"/>
    <mergeCell ref="B196:B198"/>
    <mergeCell ref="C196:C198"/>
    <mergeCell ref="B199:B201"/>
    <mergeCell ref="C199:C201"/>
    <mergeCell ref="B202:B204"/>
    <mergeCell ref="C202:C204"/>
    <mergeCell ref="B205:B207"/>
    <mergeCell ref="C205:C207"/>
    <mergeCell ref="B208:B210"/>
    <mergeCell ref="C208:C210"/>
    <mergeCell ref="B211:B213"/>
    <mergeCell ref="C211:C213"/>
    <mergeCell ref="B214:B216"/>
    <mergeCell ref="C214:C216"/>
    <mergeCell ref="B217:B219"/>
    <mergeCell ref="C217:C219"/>
    <mergeCell ref="B220:B222"/>
    <mergeCell ref="C220:C222"/>
    <mergeCell ref="B223:B225"/>
    <mergeCell ref="C223:C225"/>
    <mergeCell ref="B226:B228"/>
    <mergeCell ref="C226:C228"/>
    <mergeCell ref="B229:B231"/>
    <mergeCell ref="C229:C231"/>
    <mergeCell ref="B232:B234"/>
    <mergeCell ref="C232:C234"/>
    <mergeCell ref="B235:B237"/>
    <mergeCell ref="C235:C237"/>
    <mergeCell ref="B238:B240"/>
    <mergeCell ref="C238:C240"/>
    <mergeCell ref="B241:B243"/>
    <mergeCell ref="C241:C243"/>
    <mergeCell ref="B244:B246"/>
    <mergeCell ref="C244:C246"/>
    <mergeCell ref="B247:B249"/>
    <mergeCell ref="C247:C249"/>
    <mergeCell ref="B250:B252"/>
    <mergeCell ref="C250:C252"/>
    <mergeCell ref="B253:B255"/>
    <mergeCell ref="C253:C255"/>
    <mergeCell ref="B256:B258"/>
    <mergeCell ref="C256:C258"/>
    <mergeCell ref="B259:B261"/>
    <mergeCell ref="C259:C261"/>
    <mergeCell ref="B262:B264"/>
    <mergeCell ref="C262:C264"/>
    <mergeCell ref="B265:B267"/>
    <mergeCell ref="C265:C267"/>
    <mergeCell ref="B268:B270"/>
    <mergeCell ref="C268:C270"/>
    <mergeCell ref="B271:B273"/>
    <mergeCell ref="C271:C273"/>
    <mergeCell ref="B274:B276"/>
    <mergeCell ref="C274:C276"/>
    <mergeCell ref="B277:B279"/>
    <mergeCell ref="C277:C279"/>
    <mergeCell ref="B280:B282"/>
    <mergeCell ref="C280:C282"/>
    <mergeCell ref="B283:B285"/>
    <mergeCell ref="C283:C285"/>
    <mergeCell ref="B286:B288"/>
    <mergeCell ref="C286:C288"/>
    <mergeCell ref="B289:B291"/>
    <mergeCell ref="C289:C291"/>
    <mergeCell ref="B292:B294"/>
    <mergeCell ref="C292:C294"/>
    <mergeCell ref="B295:B297"/>
    <mergeCell ref="C295:C297"/>
    <mergeCell ref="B298:B300"/>
    <mergeCell ref="C298:C300"/>
    <mergeCell ref="B301:B303"/>
    <mergeCell ref="C301:C303"/>
    <mergeCell ref="B304:B306"/>
    <mergeCell ref="C304:C306"/>
    <mergeCell ref="B307:B309"/>
    <mergeCell ref="C307:C309"/>
    <mergeCell ref="B310:B312"/>
    <mergeCell ref="C310:C312"/>
    <mergeCell ref="B313:B315"/>
    <mergeCell ref="C313:C315"/>
    <mergeCell ref="B316:B318"/>
    <mergeCell ref="C316:C318"/>
    <mergeCell ref="B319:B321"/>
    <mergeCell ref="C319:C321"/>
    <mergeCell ref="B322:B324"/>
    <mergeCell ref="C322:C324"/>
    <mergeCell ref="B325:B327"/>
    <mergeCell ref="C325:C327"/>
    <mergeCell ref="B328:B330"/>
    <mergeCell ref="C328:C330"/>
    <mergeCell ref="B331:B333"/>
    <mergeCell ref="C331:C333"/>
    <mergeCell ref="B334:B336"/>
    <mergeCell ref="C334:C336"/>
    <mergeCell ref="B337:B339"/>
    <mergeCell ref="C337:C339"/>
    <mergeCell ref="B340:B342"/>
    <mergeCell ref="C340:C342"/>
    <mergeCell ref="B343:B345"/>
    <mergeCell ref="C343:C345"/>
    <mergeCell ref="B346:B348"/>
    <mergeCell ref="C346:C348"/>
    <mergeCell ref="B349:B351"/>
    <mergeCell ref="C349:C351"/>
    <mergeCell ref="B352:B354"/>
    <mergeCell ref="C352:C354"/>
    <mergeCell ref="B355:B357"/>
    <mergeCell ref="C355:C357"/>
    <mergeCell ref="B358:B360"/>
    <mergeCell ref="C358:C360"/>
    <mergeCell ref="B361:B363"/>
    <mergeCell ref="C361:C363"/>
    <mergeCell ref="B364:B366"/>
    <mergeCell ref="C364:C366"/>
    <mergeCell ref="B367:B369"/>
    <mergeCell ref="C367:C369"/>
    <mergeCell ref="B370:B372"/>
    <mergeCell ref="C370:C372"/>
    <mergeCell ref="B373:B375"/>
    <mergeCell ref="C373:C375"/>
    <mergeCell ref="B376:B378"/>
    <mergeCell ref="C376:C378"/>
    <mergeCell ref="B379:B381"/>
    <mergeCell ref="C379:C381"/>
    <mergeCell ref="B382:B384"/>
    <mergeCell ref="C382:C384"/>
    <mergeCell ref="B385:B387"/>
    <mergeCell ref="C385:C387"/>
    <mergeCell ref="B388:B390"/>
    <mergeCell ref="C388:C390"/>
    <mergeCell ref="B391:B393"/>
    <mergeCell ref="C391:C393"/>
    <mergeCell ref="B394:B396"/>
    <mergeCell ref="C394:C396"/>
    <mergeCell ref="B397:B399"/>
    <mergeCell ref="C397:C399"/>
    <mergeCell ref="B400:B402"/>
    <mergeCell ref="C400:C402"/>
    <mergeCell ref="B403:B405"/>
    <mergeCell ref="C403:C405"/>
    <mergeCell ref="B406:B408"/>
    <mergeCell ref="C406:C408"/>
    <mergeCell ref="B409:B411"/>
    <mergeCell ref="C409:C411"/>
    <mergeCell ref="B412:B414"/>
    <mergeCell ref="C412:C414"/>
    <mergeCell ref="B415:B417"/>
    <mergeCell ref="C415:C417"/>
    <mergeCell ref="B418:B420"/>
    <mergeCell ref="C418:C420"/>
    <mergeCell ref="B421:B423"/>
    <mergeCell ref="C421:C423"/>
    <mergeCell ref="B424:B426"/>
    <mergeCell ref="C424:C426"/>
    <mergeCell ref="B427:B429"/>
    <mergeCell ref="C427:C429"/>
    <mergeCell ref="B430:B432"/>
    <mergeCell ref="C430:C432"/>
    <mergeCell ref="B433:B435"/>
    <mergeCell ref="C433:C435"/>
    <mergeCell ref="B436:B438"/>
    <mergeCell ref="C436:C438"/>
    <mergeCell ref="B439:B441"/>
    <mergeCell ref="C439:C441"/>
    <mergeCell ref="B442:B444"/>
    <mergeCell ref="C442:C444"/>
    <mergeCell ref="B445:B447"/>
    <mergeCell ref="C445:C447"/>
    <mergeCell ref="B448:B450"/>
    <mergeCell ref="C448:C450"/>
    <mergeCell ref="B451:B453"/>
    <mergeCell ref="C451:C453"/>
    <mergeCell ref="B454:B456"/>
    <mergeCell ref="C454:C456"/>
    <mergeCell ref="B457:B459"/>
    <mergeCell ref="C457:C459"/>
    <mergeCell ref="B460:B462"/>
    <mergeCell ref="C460:C462"/>
    <mergeCell ref="B463:B465"/>
    <mergeCell ref="C463:C465"/>
    <mergeCell ref="B466:B468"/>
    <mergeCell ref="C466:C468"/>
    <mergeCell ref="B469:B471"/>
    <mergeCell ref="C469:C471"/>
    <mergeCell ref="B472:B474"/>
    <mergeCell ref="C472:C474"/>
    <mergeCell ref="B475:B477"/>
    <mergeCell ref="C475:C477"/>
    <mergeCell ref="B478:B480"/>
    <mergeCell ref="C478:C480"/>
    <mergeCell ref="B481:B483"/>
    <mergeCell ref="C481:C483"/>
    <mergeCell ref="B484:B486"/>
    <mergeCell ref="C484:C486"/>
    <mergeCell ref="B487:B489"/>
    <mergeCell ref="C487:C489"/>
    <mergeCell ref="B490:B492"/>
    <mergeCell ref="C490:C492"/>
    <mergeCell ref="B493:B495"/>
    <mergeCell ref="C493:C495"/>
    <mergeCell ref="B496:B498"/>
    <mergeCell ref="C496:C498"/>
    <mergeCell ref="B499:B501"/>
    <mergeCell ref="C499:C501"/>
    <mergeCell ref="B502:B504"/>
    <mergeCell ref="C502:C504"/>
    <mergeCell ref="B505:B507"/>
    <mergeCell ref="C505:C507"/>
    <mergeCell ref="B508:B510"/>
    <mergeCell ref="C508:C510"/>
    <mergeCell ref="B511:B513"/>
    <mergeCell ref="C511:C513"/>
    <mergeCell ref="B514:B516"/>
    <mergeCell ref="C514:C516"/>
    <mergeCell ref="B517:B519"/>
    <mergeCell ref="C517:C519"/>
    <mergeCell ref="B520:B522"/>
    <mergeCell ref="C520:C522"/>
    <mergeCell ref="B523:B525"/>
    <mergeCell ref="C523:C525"/>
    <mergeCell ref="B526:B528"/>
    <mergeCell ref="C526:C528"/>
    <mergeCell ref="B529:B531"/>
    <mergeCell ref="C529:C531"/>
    <mergeCell ref="B532:B534"/>
    <mergeCell ref="C532:C534"/>
    <mergeCell ref="B535:B537"/>
    <mergeCell ref="C535:C537"/>
    <mergeCell ref="B538:B540"/>
    <mergeCell ref="C538:C540"/>
    <mergeCell ref="B541:B543"/>
    <mergeCell ref="C541:C543"/>
    <mergeCell ref="B544:B546"/>
    <mergeCell ref="C544:C546"/>
    <mergeCell ref="B547:B549"/>
    <mergeCell ref="C547:C549"/>
    <mergeCell ref="B550:B552"/>
    <mergeCell ref="C550:C552"/>
    <mergeCell ref="B553:B555"/>
    <mergeCell ref="C553:C555"/>
    <mergeCell ref="B556:B558"/>
    <mergeCell ref="C556:C558"/>
    <mergeCell ref="B559:B561"/>
    <mergeCell ref="C559:C561"/>
    <mergeCell ref="B562:B564"/>
    <mergeCell ref="C562:C564"/>
    <mergeCell ref="B565:B567"/>
    <mergeCell ref="C565:C567"/>
    <mergeCell ref="B568:B570"/>
    <mergeCell ref="C568:C570"/>
    <mergeCell ref="B571:B573"/>
    <mergeCell ref="C571:C573"/>
    <mergeCell ref="B574:B576"/>
    <mergeCell ref="C574:C576"/>
    <mergeCell ref="B577:B579"/>
    <mergeCell ref="C577:C579"/>
    <mergeCell ref="B580:B582"/>
    <mergeCell ref="C580:C582"/>
    <mergeCell ref="B583:B585"/>
    <mergeCell ref="C583:C585"/>
    <mergeCell ref="B586:B588"/>
    <mergeCell ref="C586:C588"/>
    <mergeCell ref="B589:B591"/>
    <mergeCell ref="C589:C591"/>
    <mergeCell ref="B592:B594"/>
    <mergeCell ref="C592:C594"/>
    <mergeCell ref="B595:B597"/>
    <mergeCell ref="C595:C597"/>
    <mergeCell ref="B598:B600"/>
    <mergeCell ref="C598:C600"/>
    <mergeCell ref="B601:B603"/>
    <mergeCell ref="C601:C603"/>
    <mergeCell ref="B604:B606"/>
    <mergeCell ref="C604:C606"/>
    <mergeCell ref="B607:B609"/>
    <mergeCell ref="C607:C609"/>
    <mergeCell ref="B610:B612"/>
    <mergeCell ref="C610:C612"/>
    <mergeCell ref="B613:B615"/>
    <mergeCell ref="C613:C615"/>
    <mergeCell ref="B616:B618"/>
    <mergeCell ref="C616:C618"/>
    <mergeCell ref="B619:B621"/>
    <mergeCell ref="C619:C621"/>
    <mergeCell ref="B622:B624"/>
    <mergeCell ref="C622:C624"/>
    <mergeCell ref="B625:B627"/>
    <mergeCell ref="C625:C627"/>
    <mergeCell ref="B628:B630"/>
    <mergeCell ref="C628:C630"/>
    <mergeCell ref="B631:B633"/>
    <mergeCell ref="C631:C633"/>
    <mergeCell ref="B634:B636"/>
    <mergeCell ref="C634:C636"/>
    <mergeCell ref="B637:B639"/>
    <mergeCell ref="C637:C639"/>
    <mergeCell ref="B640:B642"/>
    <mergeCell ref="C640:C642"/>
    <mergeCell ref="B643:B645"/>
    <mergeCell ref="C643:C645"/>
    <mergeCell ref="B646:B648"/>
    <mergeCell ref="C646:C648"/>
    <mergeCell ref="B649:B651"/>
    <mergeCell ref="C649:C651"/>
    <mergeCell ref="B652:B654"/>
    <mergeCell ref="C652:C654"/>
    <mergeCell ref="B655:B657"/>
    <mergeCell ref="C655:C657"/>
    <mergeCell ref="B658:B660"/>
    <mergeCell ref="C658:C660"/>
    <mergeCell ref="B661:B663"/>
    <mergeCell ref="C661:C663"/>
    <mergeCell ref="B664:B666"/>
    <mergeCell ref="C664:C666"/>
    <mergeCell ref="B667:B669"/>
    <mergeCell ref="C667:C669"/>
    <mergeCell ref="B670:B672"/>
    <mergeCell ref="C670:C672"/>
    <mergeCell ref="B673:B675"/>
    <mergeCell ref="C673:C675"/>
    <mergeCell ref="B676:B678"/>
    <mergeCell ref="C676:C678"/>
    <mergeCell ref="B679:B681"/>
    <mergeCell ref="C679:C681"/>
    <mergeCell ref="B682:B684"/>
    <mergeCell ref="C682:C684"/>
    <mergeCell ref="B685:B687"/>
    <mergeCell ref="C685:C687"/>
    <mergeCell ref="B688:B690"/>
    <mergeCell ref="C688:C690"/>
    <mergeCell ref="B691:B693"/>
    <mergeCell ref="C691:C693"/>
    <mergeCell ref="B694:B696"/>
    <mergeCell ref="C694:C696"/>
    <mergeCell ref="B697:B699"/>
    <mergeCell ref="C697:C699"/>
    <mergeCell ref="B700:B702"/>
    <mergeCell ref="C700:C702"/>
    <mergeCell ref="B703:B705"/>
    <mergeCell ref="C703:C705"/>
    <mergeCell ref="B706:B708"/>
    <mergeCell ref="C706:C708"/>
    <mergeCell ref="B709:B711"/>
    <mergeCell ref="C709:C711"/>
    <mergeCell ref="B712:B714"/>
    <mergeCell ref="C712:C714"/>
    <mergeCell ref="B715:B717"/>
    <mergeCell ref="C715:C717"/>
    <mergeCell ref="B718:B720"/>
    <mergeCell ref="C718:C720"/>
    <mergeCell ref="B721:B723"/>
    <mergeCell ref="C721:C723"/>
    <mergeCell ref="B724:B726"/>
    <mergeCell ref="C724:C726"/>
    <mergeCell ref="B727:B729"/>
    <mergeCell ref="C727:C729"/>
    <mergeCell ref="B730:B732"/>
    <mergeCell ref="C730:C732"/>
    <mergeCell ref="B733:B735"/>
    <mergeCell ref="C733:C735"/>
    <mergeCell ref="B736:B738"/>
    <mergeCell ref="C736:C738"/>
    <mergeCell ref="B739:B741"/>
    <mergeCell ref="C739:C741"/>
    <mergeCell ref="B742:B744"/>
    <mergeCell ref="C742:C744"/>
    <mergeCell ref="B745:B747"/>
    <mergeCell ref="C745:C747"/>
    <mergeCell ref="B748:B750"/>
    <mergeCell ref="C748:C750"/>
    <mergeCell ref="B751:B753"/>
    <mergeCell ref="C751:C753"/>
    <mergeCell ref="B754:B756"/>
    <mergeCell ref="C754:C756"/>
    <mergeCell ref="B757:B759"/>
    <mergeCell ref="C757:C759"/>
    <mergeCell ref="B760:B762"/>
    <mergeCell ref="C760:C762"/>
    <mergeCell ref="B763:B765"/>
    <mergeCell ref="C763:C765"/>
    <mergeCell ref="B766:B768"/>
    <mergeCell ref="C766:C768"/>
  </mergeCells>
  <dataValidations count="5">
    <dataValidation allowBlank="1" showInputMessage="1" showErrorMessage="1" prompt="Для выбора выполните двойной щелчок левой клавиши мыши по ячейке." sqref="I36 G770 I770 G36 K36 K770 M36 M770 O36 O77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P3:P4 H6:H7 J6:J7 L6:L7 N6:N7 P6:P7 J9:J11 L9:L11 N9:N11 P9:P11 H9:H11 J13:J14 L13:L14 N13:N14 P13:P14 H13:H14 H37 J37 L37 N37 P37 H38 J38 L38 N38 P38 H39 J39 L39 N39 P39 H40 J40 L40 N40 P40 H41 J41 L41 N41 P41 H42 J42 L42 N42 P42 H43 J43 L43 N43 P43 H44 J44 L44 N44 P44 H45 J45 L45 N45 P45 H46 J46 L46 N46 P46 H47 J47 L47 N47 P47 H48 J48 L48 N48 P48 H49 J49 L49 N49 P49 H50 J50 L50 N50 P50 H51 J51 L51 N51 P51 H52 J52 L52 N52 P52 H53 J53 L53 N53 P53 H54 J54 L54 N54 P54 H55 J55 L55 N55 P55 H56 J56 L56 N56 P56 H57 J57 L57 N57 P57 H58 J58 L58 N58 P58 H59 J59 L59 N59 P59 H60 J60 L60 N60 P60 H61 J61 L61 N61 P61 H62 J62 L62 N62 P62 H63 J63 L63 N63 P63 H64 J64 L64 N64 P64 H65 J65 L65 N65 P65 H66 J66 L66 N66 P66 H67 J67 L67 N67 P67 H68 J68 L68 N68 P68 H69 J69 L69 N69 P69 H70 J70 L70 N70 P70 H71 J71 L71 N71 P71 H72 J72 L72 N72 P72 H73 J73 L73 N73 P73 H74 J74 L74 N74 P74 H75 J75 L75 N75 P75 H76 J76 L76 N76 P76 H77 J77 L77 N77 P77 H78 J78 L78 N78 P78 H79 J79 L79 N79 P79 H80 J80 L80 N80 P80 H81 J81 L81 N81 P81 H82 J82 L82 N82 P82 H83 J83 L83 N83 P83 H84 J84 L84 N84 P84 H85 J85 L85 N85 P85 H86 J86 L86 N86 P86 H87 J87 L87 N87 P87 H88 J88 L88 N88 P88 H89 J89 L89 N89 P89 H90 J90 L90 N90 P90 H91 J91 L91 N91 P91 H92 J92 L92 N92 P92 H93 J93 L93 N93 P93 H94 J94 L94 N94 P94 H95 J95 L95 N95 P95 H96:H768 J96:J768 L96:L768 N96:N768 P96:P768 H771 J771 L771 N771 P771 H772 J772 L772 N772 P772 H773 J773 L773 N773 P773 H774 J774 L774 N774 P774 H775 J775 L775 N775 P775 H776 J776 L776 N776 P776 H777 J777 L777 N777 P777 H778 J778 L778 N778 P778 H779 J779 L779 N779 P779 H780 J780 L780 N780 P78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O4 O7 O10 O11 O14 G38 I38 K38 M38 O38 G39 I39 K39 M39 O39 G41 I41 K41 M41 O41 G42 I42 K42 M42 O42 G44 I44 K44 M44 O44 G45 I45 K45 M45 O45 G47 I47 K47 M47 O47 G48 I48 K48 M48 O48 G50 I50 K50 M50 O50 G51 I51 K51 M51 O51 G53 I53 K53 M53 O53 G54 I54 K54 M54 O54 G56 I56 K56 M56 O56 G57 I57 K57 M57 O57 G59 I59 K59 M59 O59 G60 I60 K60 M60 O60 G62 I62 K62 M62 O62 G63 I63 K63 M63 O63 G65 I65 K65 M65 O65 G66 I66 K66 M66 O66 G68 I68 K68 M68 O68 G69 I69 K69 M69 O69 G71 I71 K71 M71 O71 G72 I72 K72 M72 O72 G74 I74 K74 M74 O74 G75 I75 K75 M75 O75 G77 I77 K77 M77 O77 G78 I78 K78 M78 O78 G80 I80 K80 M80 O80 G81 I81 K81 M81 O81 G83 I83 K83 M83 O83 G84 I84 K84 M84 O84 G86 I86 K86 M86 O86 G87 I87 K87 M87 O87 G89 I89 K89 M89 O89 G90 I90 K90 M90 O90 G92 I92 K92 M92 O92 G93 I93 K93 M93 O93 G95 I95 K95 M95 O95 G96 G98:G99 G101:G102 G104:G105 G107:G108 G110:G111 G113:G114 G116:G117 G119:G120 G122:G123 G125:G126 G128:G129 G131:G132 G134:G135 G137:G138 G140:G141 G143:G144 G146:G147 G149:G150 G152:G153 G155:G156 G158:G159 G161:G162 G164:G165 G167:G168 G170:G171 G173:G174 G176:G177 G179:G180 G182:G183 G185:G186 G188:G189 G191:G192 G194:G195 G197:G198 G200:G201 G203:G204 G206:G207 G209:G210 G212:G213 G215:G216 G218:G219 G221:G222 G224:G225 G227:G228 G230:G231 G233:G234 G236:G237 G239:G240 G242:G243 G245:G246 G248:G249 G251:G252 G254:G255 G257:G258 G260:G261 G263:G264 G266:G267 G269:G270 G272:G273 G275:G276 G278:G279 G281:G282 G284:G285 G287:G288 G290:G291 G293:G294 G296:G297 G299:G300 G302:G303 G305:G306 G308:G309 G311:G312 G314:G315 G317:G318 G320:G321 G323:G324 G326:G327 G329:G330 G332:G333 G335:G336 G338:G339 G341:G342 G344:G345 G347:G348 G350:G351 G353:G354 G356:G357 G359:G360 G362:G363 G365:G366 G368:G369 G371:G372 G374:G375 G377:G378 G380:G381 G383:G384 G386:G387 G389:G390 G392:G393 G395:G396 G398:G399 G401:G402 G404:G405 G407:G408 G410:G411 G413:G414 G416:G417 G419:G420 G422:G423 G425:G426 G428:G429 G431:G432 G434:G435 G437:G438 G440:G441 G443:G444 G446:G447 G449:G450 G452:G453 G455:G456 G458:G459 G461:G462 G464:G465 G467:G468 G470:G471 G473:G474 G476:G477 G479:G480 G482:G483 G485:G486 G488:G489 G491:G492 G494:G495 G497:G498 G500:G501 G503:G504 G506:G507 G509:G510 G512:G513 G515:G516 G518:G519 G521:G522 G524:G525 G527:G528 G530:G531 G533:G534 G536:G537 G539:G540 G542:G543 G545:G546 G548:G549 G551:G552 G554:G555 G557:G558 G560:G561 G563:G564 G566:G567 G569:G570 G572:G573 G575:G576 G578:G579 G581:G582 G584:G585 G587:G588 G590:G591 G593:G594 G596:G597 G599:G600 G602:G603 G605:G606 G608:G609 G611:G612 G614:G615 G617:G618 G620:G621 G623:G624 G626:G627 G629:G630 G632:G633 G635:G636 G638:G639 G641:G642 G644:G645 G647:G648 G650:G651 G653:G654 G656:G657 G659:G660 G662:G663 G665:G666 G668:G669 G671:G672 G674:G675 G677:G678 G680:G681 G683:G684 G686:G687 G689:G690 G692:G693 G695:G696 G698:G699 G701:G702 G704:G705 G707:G708 G710:G711 G713:G714 G716:G717 G719:G720 G722:G723 G725:G726 G728:G729 G731:G732 G734:G735 G737:G738 G740:G741 G743:G744 G746:G747 G749:G750 G752:G753 G755:G756 G758:G759 G761:G762 G764:G765 G767:G768 I96 I98:I99 I101:I102 I104:I105 I107:I108 I110:I111 I113:I114 I116:I117 I119:I120 I122:I123 I125:I126 I128:I129 I131:I132 I134:I135 I137:I138 I140:I141 I143:I144 I146:I147 I149:I150 I152:I153 I155:I156 I158:I159 I161:I162 I164:I165 I167:I168 I170:I171 I173:I174 I176:I177 I179:I180 I182:I183 I185:I186 I188:I189 I191:I192 I194:I195 I197:I198 I200:I201 I203:I204 I206:I207 I209:I210 I212:I213 I215:I216 I218:I219 I221:I222 I224:I225 I227:I228 I230:I231 I233:I234 I236:I237 I239:I240 I242:I243 I245:I246 I248:I249 I251:I252 I254:I255 I257:I258 I260:I261 I263:I264 I266:I267 I269:I270 I272:I273 I275:I276 I278:I279 I281:I282 I284:I285 I287:I288 I290:I291 I293:I294 I296:I297 I299:I300 I302:I303 I305:I306 I308:I309 I311:I312 I314:I315 I317:I318 I320:I321 I323:I324 I326:I327 I329:I330 I332:I333 I335:I336 I338:I339 I341:I342 I344:I345 I347:I348 I350:I351 I353:I354 I356:I357 I359:I360 I362:I363 I365:I366 I368:I369 I371:I372 I374:I375 I377:I378 I380:I381 I383:I384 I386:I387 I389:I390 I392:I393 I395:I396 I398:I399 I401:I402 I404:I405 I407:I408 I410:I411 I413:I414 I416:I417 I419:I420 I422:I423 I425:I426 I428:I429 I431:I432 I434:I435 I437:I438 I440:I441 I443:I444 I446:I447 I449:I450 I452:I453 I455:I456 I458:I459 I461:I462 I464:I465 I467:I468 I470:I471 I473:I474 I476:I477 I479:I480 I482:I483 I485:I486 I488:I489 I491:I492 I494:I495 I497:I498 I500:I501 I503:I504 I506:I507 I509:I510 I512:I513 I515:I516 I518:I519 I521:I522 I524:I525 I527:I528 I530:I531 I533:I534 I536:I537 I539:I540 I542:I543 I545:I546 I548:I549 I551:I552 I554:I555 I557:I558 I560:I561 I563:I564 I566:I567 I569:I570 I572:I573 I575:I576 I578:I579 I581:I582 I584:I585 I587:I588 I590:I591 I593:I594 I596:I597 I599:I600 I602:I603 I605:I606 I608:I609 I611:I612 I614:I615 I617:I618 I620:I621 I623:I624 I626:I627 I629:I630 I632:I633 I635:I636 I638:I639 I641:I642 I644:I645 I647:I648 I650:I651 I653:I654 I656:I657 I659:I660 I662:I663 I665:I666 I668:I669 I671:I672 I674:I675 I677:I678 I680:I681 I683:I684 I686:I687 I689:I690 I692:I693 I695:I696 I698:I699 I701:I702 I704:I705 I707:I708 I710:I711 I713:I714 I716:I717 I719:I720 I722:I723 I725:I726 I728:I729 I731:I732 I734:I735 I737:I738 I740:I741 I743:I744 I746:I747 I749:I750 I752:I753 I755:I756 I758:I759 I761:I762 I764:I765 I767:I768 K96 K98:K99 K101:K102 K104:K105 K107:K108 K110:K111 K113:K114 K116:K117 K119:K120 K122:K123 K125:K126 K128:K129 K131:K132 K134:K135 K137:K138 K140:K141 K143:K144 K146:K147 K149:K150 K152:K153 K155:K156 K158:K159 K161:K162 K164:K165 K167:K168 K170:K171 K173:K174 K176:K177 K179:K180 K182:K183 K185:K186 K188:K189 K191:K192 K194:K195 K197:K198 K200:K201 K203:K204 K206:K207 K209:K210 K212:K213 K215:K216 K218:K219 K221:K222 K224:K225 K227:K228 K230:K231 K233:K234 K236:K237 K239:K240 K242:K243 K245:K246 K248:K249 K251:K252 K254:K255 K257:K258 K260:K261 K263:K264 K266:K267 K269:K270 K272:K273 K275:K276 K278:K279 K281:K282 K284:K285 K287:K288 K290:K291 K293:K294 K296:K297 K299:K300 K302:K303 K305:K306 K308:K309 K311:K312 K314:K315 K317:K318 K320:K321 K323:K324 K326:K327 K329:K330 K332:K333 K335:K336 K338:K339 K341:K342 K344:K345 K347:K348 K350:K351 K353:K354 K356:K357 K359:K360 K362:K363 K365:K366 K368:K369 K371:K372 K374:K375 K377:K378 K380:K381 K383:K384 K386:K387 K389:K390 K392:K393 K395:K396 K398:K399 K401:K402 K404:K405 K407:K408 K410:K411 K413:K414 K416:K417 K419:K420 K422:K423 K425:K426 K428:K429 K431:K432 K434:K435 K437:K438 K440:K441 K443:K444 K446:K447 K449:K450 K452:K453 K455:K456 K458:K459 K461:K462 K464:K465 K467:K468 K470:K471 K473:K474 K476:K477 K479:K480 K482:K483 K485:K486 K488:K489 K491:K492 K494:K495 K497:K498 K500:K501 K503:K504 K506:K507 K509:K510 K512:K513 K515:K516 K518:K519 K521:K522 K524:K525 K527:K528 K530:K531 K533:K534 K536:K537 K539:K540 K542:K543 K545:K546 K548:K549 K551:K552 K554:K555 K557:K558 K560:K561 K563:K564 K566:K567 K569:K570 K572:K573 K575:K576 K578:K579 K581:K582 K584:K585 K587:K588 K590:K591 K593:K594 K596:K597 K599:K600 K602:K603 K605:K606 K608:K609 K611:K612 K614:K615 K617:K618 K620:K621 K623:K624 K626:K627 K629:K630 K632:K633 K635:K636 K638:K639 K641:K642 K644:K645 K647:K648 K650:K651 K653:K654 K656:K657 K659:K660 K662:K663 K665:K666 K668:K669 K671:K672 K674:K675 K677:K678 K680:K681 K683:K684 K686:K687 K689:K690 K692:K693 K695:K696 K698:K699 K701:K702 K704:K705 K707:K708 K710:K711 K713:K714 K716:K717 K719:K720 K722:K723 K725:K726 K728:K729 K731:K732 K734:K735 K737:K738 K740:K741 K743:K744 K746:K747 K749:K750 K752:K753 K755:K756 K758:K759 K761:K762 K764:K765 K767:K768 M96 M98:M99 M101:M102 M104:M105 M107:M108 M110:M111 M113:M114 M116:M117 M119:M120 M122:M123 M125:M126 M128:M129 M131:M132 M134:M135 M137:M138 M140:M141 M143:M144 M146:M147 M149:M150 M152:M153 M155:M156 M158:M159 M161:M162 M164:M165 M167:M168 M170:M171 M173:M174 M176:M177 M179:M180 M182:M183 M185:M186 M188:M189 M191:M192 M194:M195 M197:M198 M200:M201 M203:M204 M206:M207 M209:M210 M212:M213 M215:M216 M218:M219 M221:M222 M224:M225 M227:M228 M230:M231 M233:M234 M236:M237 M239:M240 M242:M243 M245:M246 M248:M249 M251:M252 M254:M255 M257:M258 M260:M261 M263:M264 M266:M267 M269:M270 M272:M273 M275:M276 M278:M279 M281:M282 M284:M285 M287:M288 M290:M291 M293:M294 M296:M297 M299:M300 M302:M303 M305:M306 M308:M309 M311:M312 M314:M315 M317:M318 M320:M321 M323:M324 M326:M327 M329:M330 M332:M333 M335:M336 M338:M339 M341:M342 M344:M345 M347:M348 M350:M351 M353:M354 M356:M357 M359:M360 M362:M363 M365:M366 M368:M369 M371:M372 M374:M375 M377:M378 M380:M381 M383:M384 M386:M387 M389:M390 M392:M393 M395:M396 M398:M399 M401:M402 M404:M405 M407:M408 M410:M411 M413:M414 M416:M417 M419:M420 M422:M423 M425:M426 M428:M429 M431:M432 M434:M435 M437:M438 M440:M441 M443:M444 M446:M447 M449:M450 M452:M453 M455:M456 M458:M459 M461:M462 M464:M465 M467:M468 M470:M471 M473:M474 M476:M477 M479:M480 M482:M483 M485:M486 M488:M489 M491:M492 M494:M495 M497:M498 M500:M501 M503:M504 M506:M507 M509:M510 M512:M513 M515:M516 M518:M519 M521:M522 M524:M525 M527:M528 M530:M531 M533:M534 M536:M537 M539:M540 M542:M543 M545:M546 M548:M549 M551:M552 M554:M555 M557:M558 M560:M561 M563:M564 M566:M567 M569:M570 M572:M573 M575:M576 M578:M579 M581:M582 M584:M585 M587:M588 M590:M591 M593:M594 M596:M597 M599:M600 M602:M603 M605:M606 M608:M609 M611:M612 M614:M615 M617:M618 M620:M621 M623:M624 M626:M627 M629:M630 M632:M633 M635:M636 M638:M639 M641:M642 M644:M645 M647:M648 M650:M651 M653:M654 M656:M657 M659:M660 M662:M663 M665:M666 M668:M669 M671:M672 M674:M675 M677:M678 M680:M681 M683:M684 M686:M687 M689:M690 M692:M693 M695:M696 M698:M699 M701:M702 M704:M705 M707:M708 M710:M711 M713:M714 M716:M717 M719:M720 M722:M723 M725:M726 M728:M729 M731:M732 M734:M735 M737:M738 M740:M741 M743:M744 M746:M747 M749:M750 M752:M753 M755:M756 M758:M759 M761:M762 M764:M765 M767:M768 O96 O98:O99 O101:O102 O104:O105 O107:O108 O110:O111 O113:O114 O116:O117 O119:O120 O122:O123 O125:O126 O128:O129 O131:O132 O134:O135 O137:O138 O140:O141 O143:O144 O146:O147 O149:O150 O152:O153 O155:O156 O158:O159 O161:O162 O164:O165 O167:O168 O170:O171 O173:O174 O176:O177 O179:O180 O182:O183 O185:O186 O188:O189 O191:O192 O194:O195 O197:O198 O200:O201 O203:O204 O206:O207 O209:O210 O212:O213 O215:O216 O218:O219 O221:O222 O224:O225 O227:O228 O230:O231 O233:O234 O236:O237 O239:O240 O242:O243 O245:O246 O248:O249 O251:O252 O254:O255 O257:O258 O260:O261 O263:O264 O266:O267 O269:O270 O272:O273 O275:O276 O278:O279 O281:O282 O284:O285 O287:O288 O290:O291 O293:O294 O296:O297 O299:O300 O302:O303 O305:O306 O308:O309 O311:O312 O314:O315 O317:O318 O320:O321 O323:O324 O326:O327 O329:O330 O332:O333 O335:O336 O338:O339 O341:O342 O344:O345 O347:O348 O350:O351 O353:O354 O356:O357 O359:O360 O362:O363 O365:O366 O368:O369 O371:O372 O374:O375 O377:O378 O380:O381 O383:O384 O386:O387 O389:O390 O392:O393 O395:O396 O398:O399 O401:O402 O404:O405 O407:O408 O410:O411 O413:O414 O416:O417 O419:O420 O422:O423 O425:O426 O428:O429 O431:O432 O434:O435 O437:O438 O440:O441 O443:O444 O446:O447 O449:O450 O452:O453 O455:O456 O458:O459 O461:O462 O464:O465 O467:O468 O470:O471 O473:O474 O476:O477 O479:O480 O482:O483 O485:O486 O488:O489 O491:O492 O494:O495 O497:O498 O500:O501 O503:O504 O506:O507 O509:O510 O512:O513 O515:O516 O518:O519 O521:O522 O524:O525 O527:O528 O530:O531 O533:O534 O536:O537 O539:O540 O542:O543 O545:O546 O548:O549 O551:O552 O554:O555 O557:O558 O560:O561 O563:O564 O566:O567 O569:O570 O572:O573 O575:O576 O578:O579 O581:O582 O584:O585 O587:O588 O590:O591 O593:O594 O596:O597 O599:O600 O602:O603 O605:O606 O608:O609 O611:O612 O614:O615 O617:O618 O620:O621 O623:O624 O626:O627 O629:O630 O632:O633 O635:O636 O638:O639 O641:O642 O644:O645 O647:O648 O650:O651 O653:O654 O656:O657 O659:O660 O662:O663 O665:O666 O668:O669 O671:O672 O674:O675 O677:O678 O680:O681 O683:O684 O686:O687 O689:O690 O692:O693 O695:O696 O698:O699 O701:O702 O704:O705 O707:O708 O710:O711 O713:O714 O716:O717 O719:O720 O722:O723 O725:O726 O728:O729 O731:O732 O734:O735 O737:O738 O740:O741 O743:O744 O746:O747 O749:O750 O752:O753 O755:O756 O758:O759 O761:O762 O764:O765 O767:O768 G772 I772 K772 M772 O772 G774 I774 K774 M774 O774 G776 I776 K776 M776 O776 G778 I778 K778 M778 O778 G780 I780 K780 M780 O780"/>
    <dataValidation type="textLength" operator="lessThanOrEqual" allowBlank="1" showInputMessage="1" showErrorMessage="1" errorTitle="Ошибка" error="Допускается ввод не более 900 символов!" sqref="I3 I6 I9 I13 G6 G13 G9 G3 K3 K6 K9 K13 M3 M6 M9 M13 O3 O6 O9 O13 G37 I37 K37 M37 O37 G40 I40 K40 M40 O40 G43 I43 K43 M43 O43 G46 I46 K46 M46 O46 G49 I49 K49 M49 O49 G52 I52 K52 M52 O52 G55 I55 K55 M55 O55 G58 I58 K58 M58 O58 G61 I61 K61 M61 O61 G64 I64 K64 M64 O64 G67 I67 K67 M67 O67 G70 I70 K70 M70 O70 G73 I73 K73 M73 O73 G76 I76 K76 M76 O76 G79 I79 K79 M79 O79 G82 I82 K82 M82 O82 G85 I85 K85 M85 O85 G88 I88 K88 M88 O88 G91 I91 K91 M91 O91 G94 I94 K94 M94 O94 G771 I771 K771 M771 O771 G773 I773 K773 M773 O773 G775 I775 K775 M775 O775 G777 I777 K777 M777 O777 G779 I779 K779 M779 O779 G97 I97 K97 M97 O97 G100 I100 K100 M100 O100 G103 I103 K103 M103 O103 G106 I106 K106 M106 O106 G109 I109 K109 M109 O109 G112 I112 K112 M112 O112 G115 I115 K115 M115 O115 G118 I118 K118 M118 O118 G121 I121 K121 M121 O121 G124 I124 K124 M124 O124 G127 I127 K127 M127 O127 G130 I130 K130 M130 O130 G133 I133 K133 M133 O133 G136 I136 K136 M136 O136 G139 I139 K139 M139 O139 G142 I142 K142 M142 O142 G145 I145 K145 M145 O145 G148 I148 K148 M148 O148 G151 I151 K151 M151 O151 G154 I154 K154 M154 O154 G157 I157 K157 M157 O157 G160 I160 K160 M160 O160 G163 I163 K163 M163 O163 G166 I166 K166 M166 O166 G169 I169 K169 M169 O169 G172 I172 K172 M172 O172 G175 I175 K175 M175 O175 G178 I178 K178 M178 O178 G181 I181 K181 M181 O181 G184 I184 K184 M184 O184 G187 I187 K187 M187 O187 G190 I190 K190 M190 O190 G193 I193 K193 M193 O193 G196 I196 K196 M196 O196 G199 I199 K199 M199 O199 G202 I202 K202 M202 O202 G205 I205 K205 M205 O205 G208 I208 K208 M208 O208 G211 I211 K211 M211 O211 G214 I214 K214 M214 O214 G217 I217 K217 M217 O217 G220 I220 K220 M220 O220 G223 I223 K223 M223 O223 G226 I226 K226 M226 O226 G229 I229 K229 M229 O229 G232 I232 K232 M232 O232 G235 I235 K235 M235 O235 G238 I238 K238 M238 O238 G241 I241 K241 M241 O241 G244 I244 K244 M244 O244 G247 I247 K247 M247 O247 G250 I250 K250 M250 O250 G253 I253 K253 M253 O253 G256 I256 K256 M256 O256 G259 I259 K259 M259 O259 G262 I262 K262 M262 O262 G265 I265 K265 M265 O265 G268 I268 K268 M268 O268 G271 I271 K271 M271 O271 G274 I274 K274 M274 O274 G277 I277 K277 M277 O277 G280 I280 K280 M280 O280 G283 I283 K283 M283 O283 G286 I286 K286 M286 O286 G289 I289 K289 M289 O289 G292 I292 K292 M292 O292 G295 I295 K295 M295 O295 G298 I298 K298 M298 O298 G301 I301 K301 M301 O301 G304 I304 K304 M304 O304 G307 I307 K307 M307 O307 G310 I310 K310 M310 O310 G313 I313 K313 M313 O313 G316 I316 K316 M316 O316 G319 I319 K319 M319 O319 G322 I322 K322 M322 O322 G325 I325 K325 M325 O325 G328 I328 K328 M328 O328 G331 I331 K331 M331 O331 G334 I334 K334 M334 O334 G337 I337 K337 M337 O337 G340 I340 K340 M340 O340 G343 I343 K343 M343 O343 G346 I346 K346 M346 O346 G349 I349 K349 M349 O349 G352 I352 K352 M352 O352 G355 I355 K355 M355 O355 G358 I358 K358 M358 O358 G361 I361 K361 M361 O361 G364 I364 K364 M364 O364 G367 I367 K367 M367 O367 G370 I370 K370 M370 O370 G373 I373 K373 M373 O373 G376 I376 K376 M376 O376 G379 I379 K379 M379 O379 G382 I382 K382 M382 O382 G385 I385 K385 M385 O385 G388 I388 K388 M388 O388 G391 I391 K391 M391 O391 G394 I394 K394 M394 O394 G397 I397 K397 M397 O397 G400 I400 K400 M400 O400 G403 I403 K403 M403 O403 G406 I406 K406 M406 O406 G409 I409 K409 M409 O409 G412 I412 K412 M412 O412 G415 I415 K415 M415 O415 G418 I418 K418 M418 O418 G421 I421 K421 M421 O421 G424 I424 K424 M424 O424 G427 I427 K427 M427 O427 G430 I430 K430 M430 O430 G433 I433 K433 M433 O433 G436 I436 K436 M436 O436 G439 I439 K439 M439 O439 G442 I442 K442 M442 O442 G445 I445 K445 M445 O445 G448 I448 K448 M448 O448 G451 I451 K451 M451 O451 G454 I454 K454 M454 O454 G457 I457 K457 M457 O457 G460 I460 K460 M460 O460 G463 I463 K463 M463 O463 G466 I466 K466 M466 O466 G469 I469 K469 M469 O469 G472 I472 K472 M472 O472 G475 I475 K475 M475 O475 G478 I478 K478 M478 O478 G481 I481 K481 M481 O481 G484 I484 K484 M484 O484 G487 I487 K487 M487 O487 G490 I490 K490 M490 O490 G493 I493 K493 M493 O493 G496 I496 K496 M496 O496 G499 I499 K499 M499 O499 G502 I502 K502 M502 O502 G505 I505 K505 M505 O505 G508 I508 K508 M508 O508 G511 I511 K511 M511 O511 G514 I514 K514 M514 O514 G517 I517 K517 M517 O517 G520 I520 K520 M520 O520 G523 I523 K523 M523 O523 G526 I526 K526 M526 O526 G529 I529 K529 M529 O529 G532 I532 K532 M532 O532 G535 I535 K535 M535 O535 G538 I538 K538 M538 O538 G541 I541 K541 M541 O541 G544 I544 K544 M544 O544 G547 I547 K547 M547 O547 G550 I550 K550 M550 O550 G553 I553 K553 M553 O553 G556 I556 K556 M556 O556 G559 I559 K559 M559 O559 G562 I562 K562 M562 O562 G565 I565 K565 M565 O565 G568 I568 K568 M568 O568 G571 I571 K571 M571 O571 G574 I574 K574 M574 O574 G577 I577 K577 M577 O577 G580 I580 K580 M580 O580 G583 I583 K583 M583 O583 G586 I586 K586 M586 O586 G589 I589 K589 M589 O589 G592 I592 K592 M592 O592 G595 I595 K595 M595 O595 G598 I598 K598 M598 O598 G601 I601 K601 M601 O601 G604 I604 K604 M604 O604 G607 I607 K607 M607 O607 G610 I610 K610 M610 O610 G613 I613 K613 M613 O613 G616 I616 K616 M616 O616 G619 I619 K619 M619 O619 G622 I622 K622 M622 O622 G625 I625 K625 M625 O625 G628 I628 K628 M628 O628 G631 I631 K631 M631 O631 G634 I634 K634 M634 O634 G637 I637 K637 M637 O637 G640 I640 K640 M640 O640 G643 I643 K643 M643 O643 G646 I646 K646 M646 O646 G649 I649 K649 M649 O649 G652 I652 K652 M652 O652 G655 I655 K655 M655 O655 G658 I658 K658 M658 O658 G661 I661 K661 M661 O661 G664 I664 K664 M664 O664 G667 I667 K667 M667 O667 G670 I670 K670 M670 O670 G673 I673 K673 M673 O673 G676 I676 K676 M676 O676 G679 I679 K679 M679 O679 G682 I682 K682 M682 O682 G685 I685 K685 M685 O685 G688 I688 K688 M688 O688 G691 I691 K691 M691 O691 G694 I694 K694 M694 O694 G697 I697 K697 M697 O697 G700 I700 K700 M700 O700 G703 I703 K703 M703 O703 G706 I706 K706 M706 O706 G709 I709 K709 M709 O709 G712 I712 K712 M712 O712 G715 I715 K715 M715 O715 G718 I718 K718 M718 O718 G721 I721 K721 M721 O721 G724 I724 K724 M724 O724 G727 I727 K727 M727 O727 G730 I730 K730 M730 O730 G733 I733 K733 M733 O733 G736 I736 K736 M736 O736 G739 I739 K739 M739 O739 G742 I742 K742 M742 O742 G745 I745 K745 M745 O745 G748 I748 K748 M748 O748 G751 I751 K751 M751 O751 G754 I754 K754 M754 O754 G757 I757 K757 M757 O757 G760 I760 K760 M760 O760 G763 I763 K763 M763 O763 G766 I766 K766 M766 O766">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E4BFAD-46C5-6B34-1752-0.C57B0E2C}"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76" width="6.7109375" hidden="1" customWidth="1"/>
    <col min="4" max="4" style="1376" width="6.7109375" hidden="1" customWidth="1"/>
    <col min="5" max="5" style="1645" width="3.00390625" customWidth="1"/>
    <col min="6" max="6" style="1645" width="6.00390625" customWidth="1"/>
    <col min="7" max="7" style="1645" width="37.00390625" customWidth="1"/>
    <col min="8" max="8" style="1645" width="16.00390625" customWidth="1"/>
    <col min="9" max="10" style="1645" width="19.00390625" customWidth="1"/>
    <col min="11" max="11" style="1645" width="24.00390625" customWidth="1"/>
    <col min="12" max="13" style="1645" width="25.00390625" customWidth="1"/>
    <col min="14" max="16" style="1645" width="17.00390625" customWidth="1"/>
    <col min="17" max="24" style="1645" width="19.00390625" customWidth="1"/>
    <col min="25" max="25" style="1645" width="7.00390625" customWidth="1"/>
    <col min="26" max="26" style="1645" width="3.00390625" customWidth="1"/>
    <col min="27" max="27" style="1645" width="6.00390625" customWidth="1"/>
    <col min="28" max="28" style="1645" width="34.00390625" customWidth="1"/>
    <col min="29" max="30" style="1645" width="8.00390625" customWidth="1"/>
    <col min="31" max="31" style="1645" width="9.140625" hidden="1"/>
  </cols>
  <sheetData>
    <row s="1376" customFormat="1" customHeight="1" ht="10.5" hidden="1">
      <c r="A1" s="905"/>
      <c r="B1" s="905"/>
      <c r="C1" s="905"/>
      <c r="E1" s="547"/>
      <c r="H1" s="1170"/>
      <c r="AE1" s="427" t="s">
        <v>14</v>
      </c>
    </row>
    <row customHeight="1" ht="10.5" hidden="1">
      <c r="AE2" s="768">
        <v>0</v>
      </c>
    </row>
    <row s="1642" customFormat="1" customHeight="1" ht="10.5" hidden="1">
      <c r="A3" s="905"/>
      <c r="B3" s="905"/>
      <c r="C3" s="905"/>
      <c r="D3" s="427"/>
      <c r="E3" s="372"/>
      <c r="G3" s="1642" t="s">
        <v>1246</v>
      </c>
      <c r="H3" s="1166"/>
      <c r="AE3" s="769">
        <v>0</v>
      </c>
    </row>
    <row customHeight="1" ht="3">
      <c r="AE4" s="768">
        <v>3</v>
      </c>
    </row>
    <row customHeight="1" ht="27.299999999999997">
      <c r="F5" s="225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8"/>
      <c r="H5" s="2258"/>
      <c r="I5" s="2258"/>
      <c r="J5" s="2258"/>
      <c r="K5" s="2258"/>
      <c r="M5" s="592"/>
      <c r="AB5" s="916"/>
      <c r="AE5" s="768">
        <v>26</v>
      </c>
    </row>
    <row s="1645" customFormat="1" customHeight="1" ht="16.8">
      <c r="A6" s="1176"/>
      <c r="B6" s="1176"/>
      <c r="C6" s="1176"/>
      <c r="D6" s="1170"/>
      <c r="E6" s="1645"/>
      <c r="F6" s="2259" t="str">
        <f>IF(org=0,"Не определено",org)</f>
        <v>АО «ДГК» СП «Нерюнгринская ГРЭС»</v>
      </c>
      <c r="G6" s="2259"/>
      <c r="H6" s="2259"/>
      <c r="I6" s="2259"/>
      <c r="J6" s="2259"/>
      <c r="K6" s="2259"/>
      <c r="M6" s="592"/>
      <c r="AB6" s="1158"/>
      <c r="AE6" s="1641">
        <v>16</v>
      </c>
    </row>
    <row customHeight="1" ht="10.5">
      <c r="AE7" s="768">
        <v>10</v>
      </c>
    </row>
    <row customHeight="1" ht="10.5">
      <c r="A8" s="1061"/>
      <c r="B8" s="1061"/>
      <c r="C8" s="1061"/>
      <c r="F8" s="2111" t="s">
        <v>322</v>
      </c>
      <c r="G8" s="2112"/>
      <c r="H8" s="2112"/>
      <c r="I8" s="2112"/>
      <c r="J8" s="2112"/>
      <c r="K8" s="2112"/>
      <c r="L8" s="2112"/>
      <c r="M8" s="2112"/>
      <c r="N8" s="2112"/>
      <c r="O8" s="2112"/>
      <c r="P8" s="2112"/>
      <c r="Q8" s="2112"/>
      <c r="R8" s="2112"/>
      <c r="S8" s="2112"/>
      <c r="T8" s="2112"/>
      <c r="U8" s="2112"/>
      <c r="V8" s="2112"/>
      <c r="W8" s="2112"/>
      <c r="X8" s="2112"/>
      <c r="Y8" s="2112"/>
      <c r="Z8" s="2112"/>
      <c r="AA8" s="2112"/>
      <c r="AB8" s="2113"/>
      <c r="AE8" s="768">
        <v>10</v>
      </c>
    </row>
    <row customHeight="1" ht="43.050000000000004">
      <c r="A9" s="915"/>
      <c r="B9" s="915"/>
      <c r="C9" s="915"/>
      <c r="F9" s="2137" t="s">
        <v>88</v>
      </c>
      <c r="G9" s="2137" t="s">
        <v>1246</v>
      </c>
      <c r="H9" s="2185" t="s">
        <v>1247</v>
      </c>
      <c r="I9" s="2137" t="s">
        <v>1248</v>
      </c>
      <c r="J9" s="2137" t="s">
        <v>1249</v>
      </c>
      <c r="K9" s="2137" t="s">
        <v>1250</v>
      </c>
      <c r="L9" s="2137" t="s">
        <v>1251</v>
      </c>
      <c r="M9" s="2137" t="s">
        <v>1252</v>
      </c>
      <c r="N9" s="2219" t="s">
        <v>1253</v>
      </c>
      <c r="O9" s="2219"/>
      <c r="P9" s="2219"/>
      <c r="Q9" s="2409" t="s">
        <v>1254</v>
      </c>
      <c r="R9" s="2410"/>
      <c r="S9" s="2410"/>
      <c r="T9" s="2411"/>
      <c r="U9" s="2409" t="s">
        <v>1255</v>
      </c>
      <c r="V9" s="2410"/>
      <c r="W9" s="2410"/>
      <c r="X9" s="2411"/>
      <c r="Y9" s="2111" t="s">
        <v>1256</v>
      </c>
      <c r="Z9" s="2112"/>
      <c r="AA9" s="2112"/>
      <c r="AB9" s="2113"/>
      <c r="AE9" s="768">
        <v>41</v>
      </c>
    </row>
    <row customHeight="1" ht="43.050000000000004">
      <c r="A10" s="915"/>
      <c r="B10" s="915"/>
      <c r="C10" s="915"/>
      <c r="F10" s="2185"/>
      <c r="G10" s="2185"/>
      <c r="H10" s="2242"/>
      <c r="I10" s="2185"/>
      <c r="J10" s="2185"/>
      <c r="K10" s="2185"/>
      <c r="L10" s="2185"/>
      <c r="M10" s="2185"/>
      <c r="N10" s="913" t="s">
        <v>1257</v>
      </c>
      <c r="O10" s="913" t="s">
        <v>1258</v>
      </c>
      <c r="P10" s="914" t="s">
        <v>1259</v>
      </c>
      <c r="Q10" s="925" t="s">
        <v>89</v>
      </c>
      <c r="R10" s="925" t="s">
        <v>1260</v>
      </c>
      <c r="S10" s="925" t="s">
        <v>1261</v>
      </c>
      <c r="T10" s="926" t="s">
        <v>1262</v>
      </c>
      <c r="U10" s="925" t="s">
        <v>89</v>
      </c>
      <c r="V10" s="925" t="s">
        <v>1263</v>
      </c>
      <c r="W10" s="925" t="s">
        <v>1261</v>
      </c>
      <c r="X10" s="926" t="s">
        <v>1262</v>
      </c>
      <c r="Y10" s="311" t="s">
        <v>1264</v>
      </c>
      <c r="Z10" s="2111" t="s">
        <v>88</v>
      </c>
      <c r="AA10" s="2113"/>
      <c r="AB10" s="1059" t="s">
        <v>1265</v>
      </c>
      <c r="AE10" s="768">
        <v>41</v>
      </c>
    </row>
    <row s="1652" customFormat="1" customHeight="1" ht="5.25" hidden="1">
      <c r="A11" s="1062"/>
      <c r="B11" s="1062"/>
      <c r="C11" s="1062"/>
      <c r="E11" s="1060"/>
      <c r="F11" s="2416" t="s">
        <v>398</v>
      </c>
      <c r="G11" s="2413"/>
      <c r="H11" s="2412"/>
      <c r="I11" s="2412"/>
      <c r="J11" s="2412"/>
      <c r="K11" s="2414"/>
      <c r="L11" s="2414"/>
      <c r="M11" s="2414"/>
      <c r="N11" s="2412"/>
      <c r="O11" s="2412"/>
      <c r="P11" s="2137"/>
      <c r="Q11" s="2189"/>
      <c r="R11" s="2189"/>
      <c r="S11" s="2189"/>
      <c r="T11" s="2412"/>
      <c r="U11" s="2189"/>
      <c r="V11" s="2189"/>
      <c r="W11" s="2189"/>
      <c r="X11" s="2412"/>
      <c r="Y11" s="2118"/>
      <c r="Z11" s="2118"/>
      <c r="AA11" s="2118"/>
      <c r="AB11" s="2118"/>
      <c r="AD11" s="521" t="s">
        <v>1266</v>
      </c>
      <c r="AE11" s="521">
        <v>0</v>
      </c>
    </row>
    <row s="1652" customFormat="1" customHeight="1" ht="5.25" hidden="1">
      <c r="A12" s="906"/>
      <c r="B12" s="906"/>
      <c r="C12" s="906"/>
      <c r="E12" s="528"/>
      <c r="F12" s="2416"/>
      <c r="G12" s="2413"/>
      <c r="H12" s="2412"/>
      <c r="I12" s="2412"/>
      <c r="J12" s="2412"/>
      <c r="K12" s="2414"/>
      <c r="L12" s="2414"/>
      <c r="M12" s="2414"/>
      <c r="N12" s="2412"/>
      <c r="O12" s="2412"/>
      <c r="P12" s="2137"/>
      <c r="Q12" s="2189"/>
      <c r="R12" s="2189"/>
      <c r="S12" s="2189"/>
      <c r="T12" s="2412"/>
      <c r="U12" s="2189"/>
      <c r="V12" s="2189"/>
      <c r="W12" s="2189"/>
      <c r="X12" s="2412"/>
      <c r="Y12" s="2415"/>
      <c r="Z12" s="2415"/>
      <c r="AA12" s="2415"/>
      <c r="AB12" s="2415"/>
      <c r="AE12" s="521">
        <v>0</v>
      </c>
    </row>
    <row customHeight="1" ht="10.5">
      <c r="F13" s="912"/>
      <c r="G13" s="660" t="s">
        <v>1267</v>
      </c>
      <c r="H13" s="1178"/>
      <c r="I13" s="582"/>
      <c r="J13" s="582"/>
      <c r="K13" s="582"/>
      <c r="L13" s="582"/>
      <c r="M13" s="582"/>
      <c r="N13" s="582"/>
      <c r="O13" s="582"/>
      <c r="P13" s="582"/>
      <c r="Q13" s="582"/>
      <c r="R13" s="582"/>
      <c r="S13" s="582"/>
      <c r="T13" s="582"/>
      <c r="U13" s="582"/>
      <c r="V13" s="582"/>
      <c r="W13" s="582"/>
      <c r="X13" s="582"/>
      <c r="Y13" s="582"/>
      <c r="Z13" s="706"/>
      <c r="AA13" s="706"/>
      <c r="AB13" s="927"/>
      <c r="AE13" s="768">
        <v>10</v>
      </c>
    </row>
    <row customHeight="1" ht="10.5">
      <c r="AE14" s="768">
        <v>10</v>
      </c>
    </row>
    <row s="1652" customFormat="1" customHeight="1" ht="10.5">
      <c r="A15" s="1177"/>
      <c r="B15" s="1177"/>
      <c r="C15" s="1177"/>
      <c r="E15" s="528"/>
      <c r="H15" s="521">
        <f>_xlfn.IFERROR(MATCH("нет",IP_MAIN_DIFFERENTIATION_EVENTS_FLAG,0),0)</f>
        <v>0</v>
      </c>
      <c r="AE15" s="521">
        <v>10</v>
      </c>
    </row>
    <row customHeight="1" ht="10.5" hidden="1">
      <c r="A16" s="905" t="s">
        <v>82</v>
      </c>
      <c r="B16" s="905">
        <v>0</v>
      </c>
      <c r="C16" s="905">
        <v>0</v>
      </c>
      <c r="D16" s="427">
        <v>0</v>
      </c>
      <c r="E16" s="519">
        <v>3</v>
      </c>
      <c r="F16" s="768">
        <v>6</v>
      </c>
      <c r="G16" s="768">
        <v>37</v>
      </c>
      <c r="H16" s="1165">
        <v>16</v>
      </c>
      <c r="I16" s="768">
        <v>19</v>
      </c>
      <c r="J16" s="768">
        <v>19</v>
      </c>
      <c r="K16" s="768">
        <v>24</v>
      </c>
      <c r="L16" s="768">
        <v>25</v>
      </c>
      <c r="M16" s="768">
        <v>25</v>
      </c>
      <c r="N16" s="768">
        <v>17</v>
      </c>
      <c r="O16" s="768">
        <v>17</v>
      </c>
      <c r="P16" s="768">
        <v>17</v>
      </c>
      <c r="Q16" s="768">
        <v>19</v>
      </c>
      <c r="R16" s="768">
        <v>19</v>
      </c>
      <c r="S16" s="768">
        <v>19</v>
      </c>
      <c r="T16" s="768">
        <v>19</v>
      </c>
      <c r="U16" s="768">
        <v>19</v>
      </c>
      <c r="V16" s="768">
        <v>19</v>
      </c>
      <c r="W16" s="768">
        <v>19</v>
      </c>
      <c r="X16" s="768">
        <v>19</v>
      </c>
      <c r="Y16" s="768">
        <v>7</v>
      </c>
      <c r="Z16" s="768">
        <v>3</v>
      </c>
      <c r="AA16" s="768">
        <v>6</v>
      </c>
      <c r="AB16" s="768">
        <v>34</v>
      </c>
      <c r="AC16" s="768">
        <v>8</v>
      </c>
      <c r="AD16" s="768">
        <v>8</v>
      </c>
      <c r="AE16" s="768">
        <v>10</v>
      </c>
    </row>
  </sheetData>
  <sheetProtection sheet="1" formatColumns="0" formatRows="0" autoFilter="0" sort="1" insertRows="1" insertColumns="1" deleteRows="1" deleteColumns="1"/>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CBE689-99D9-40AE-8E22-0.E3B22E16}"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76" width="4.140625" hidden="1" customWidth="1"/>
    <col min="4" max="4" style="1376" width="4.140625" hidden="1" customWidth="1"/>
    <col min="5" max="5" style="1645" width="3.00390625" customWidth="1"/>
    <col min="6" max="6" style="1645" width="14.00390625" customWidth="1"/>
    <col min="7" max="7" style="1645" width="3.00390625" customWidth="1"/>
    <col min="8" max="8" style="1645" width="7.00390625" customWidth="1"/>
    <col min="9" max="10" style="1645" width="16.00390625" customWidth="1"/>
    <col min="11" max="11" style="1645" width="25.00390625" customWidth="1"/>
    <col min="12" max="12" style="1645" width="7.00390625" customWidth="1"/>
    <col min="13" max="13" style="1645" width="15.00390625" customWidth="1"/>
    <col min="14" max="14" style="1645" width="3.00390625" customWidth="1"/>
    <col min="15" max="15" style="1645" width="4.00390625" customWidth="1"/>
    <col min="16" max="16" style="1645" width="8.00390625" customWidth="1"/>
    <col min="17" max="17" style="1645" width="21.00390625" customWidth="1"/>
    <col min="18" max="18" style="1645" width="14.00390625" customWidth="1"/>
    <col min="19" max="20" style="1645" width="17.00390625" customWidth="1"/>
    <col min="21" max="21" style="1645" width="9.00390625" customWidth="1"/>
    <col min="22" max="22" style="1645" width="12.00390625" customWidth="1"/>
    <col min="23" max="23" style="1645" width="9.00390625" customWidth="1"/>
    <col min="24" max="24" style="1645" width="21.00390625" customWidth="1"/>
    <col min="25" max="25" style="1645" width="12.00390625" customWidth="1"/>
    <col min="26" max="26" style="1645" width="3.00390625" customWidth="1"/>
    <col min="27" max="27" style="1645" width="6.00390625" customWidth="1"/>
    <col min="28" max="28" style="1645" width="38.00390625" customWidth="1"/>
    <col min="29" max="29" style="1645" width="15.00390625" customWidth="1"/>
    <col min="30" max="30" style="1645" width="37.57421875" hidden="1" customWidth="1"/>
    <col min="31" max="31" style="1645" width="15.7109375" hidden="1" customWidth="1"/>
    <col min="32" max="34" style="1645" width="16.00390625" customWidth="1"/>
    <col min="35" max="37" style="1645" width="16.7109375" hidden="1" customWidth="1"/>
    <col min="38" max="58" style="1645" width="8.00390625" customWidth="1"/>
    <col min="59" max="59" style="1645" width="9.140625" hidden="1"/>
  </cols>
  <sheetData>
    <row s="1376" customFormat="1" customHeight="1" ht="10.5" hidden="1">
      <c r="A1" s="905"/>
      <c r="B1" s="905"/>
      <c r="C1" s="905"/>
      <c r="E1" s="547"/>
      <c r="H1" s="1170"/>
      <c r="L1" s="1138"/>
      <c r="M1" s="1138"/>
      <c r="AD1" s="1138"/>
      <c r="AH1" s="1157"/>
      <c r="AI1" s="1150"/>
      <c r="BG1" s="427" t="s">
        <v>14</v>
      </c>
    </row>
    <row customHeight="1" ht="10.5" hidden="1">
      <c r="BG2" s="768">
        <v>0</v>
      </c>
    </row>
    <row s="1642" customFormat="1" customHeight="1" ht="10.5" hidden="1">
      <c r="A3" s="905"/>
      <c r="B3" s="905"/>
      <c r="C3" s="905"/>
      <c r="D3" s="427"/>
      <c r="E3" s="372"/>
      <c r="H3" s="1166"/>
      <c r="L3" s="1136"/>
      <c r="M3" s="1136"/>
      <c r="AD3" s="1136"/>
      <c r="AH3" s="1155"/>
      <c r="AI3" s="1148"/>
      <c r="BG3" s="769">
        <v>0</v>
      </c>
    </row>
    <row customHeight="1" ht="3">
      <c r="BG4" s="768">
        <v>3</v>
      </c>
    </row>
    <row customHeight="1" ht="27.299999999999997">
      <c r="F5" s="225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8"/>
      <c r="H5" s="2258"/>
      <c r="I5" s="2258"/>
      <c r="J5" s="2258"/>
      <c r="K5" s="2258"/>
      <c r="L5" s="1145"/>
      <c r="M5" s="1145"/>
      <c r="AG5" s="916"/>
      <c r="AH5" s="1158"/>
      <c r="BG5" s="768">
        <v>26</v>
      </c>
    </row>
    <row customHeight="1" ht="10.5">
      <c r="F6" s="2186" t="str">
        <f>IF(org=0,"Не определено",org)</f>
        <v>АО «ДГК» СП «Нерюнгринская ГРЭС»</v>
      </c>
      <c r="G6" s="2186"/>
      <c r="H6" s="2186"/>
      <c r="I6" s="2186"/>
      <c r="J6" s="2186"/>
      <c r="K6" s="2186"/>
      <c r="L6" s="1146"/>
      <c r="M6" s="1146"/>
      <c r="BG6" s="768">
        <v>10</v>
      </c>
    </row>
    <row customHeight="1" ht="11.549999999999999">
      <c r="E7" s="918"/>
      <c r="F7" s="929"/>
      <c r="G7" s="929"/>
      <c r="H7" s="1194"/>
      <c r="I7" s="929"/>
      <c r="J7" s="929"/>
      <c r="K7" s="931"/>
      <c r="L7" s="1143"/>
      <c r="M7" s="1143"/>
      <c r="N7" s="929"/>
      <c r="O7" s="929"/>
      <c r="P7" s="929"/>
      <c r="Q7" s="931"/>
      <c r="R7" s="929"/>
      <c r="S7" s="929"/>
      <c r="T7" s="929"/>
      <c r="U7" s="929"/>
      <c r="V7" s="929"/>
      <c r="W7" s="929"/>
      <c r="X7" s="929"/>
      <c r="Y7" s="929"/>
      <c r="Z7" s="929"/>
      <c r="AA7" s="929"/>
      <c r="AB7" s="929"/>
      <c r="AC7" s="930"/>
      <c r="AD7" s="1142"/>
      <c r="AE7" s="930"/>
      <c r="AF7" s="929"/>
      <c r="AG7" s="929"/>
      <c r="AH7" s="1160"/>
      <c r="AI7" s="1153"/>
      <c r="AJ7" s="929"/>
      <c r="AK7" s="929"/>
      <c r="AL7" s="920"/>
      <c r="AM7" s="920"/>
      <c r="AN7" s="920"/>
      <c r="AO7" s="917"/>
      <c r="AP7" s="917"/>
      <c r="AQ7" s="917"/>
      <c r="AR7" s="917"/>
      <c r="AS7" s="917"/>
      <c r="AT7" s="917"/>
      <c r="AU7" s="917"/>
      <c r="AV7" s="917"/>
      <c r="AW7" s="917"/>
      <c r="AX7" s="917"/>
      <c r="AY7" s="917"/>
      <c r="AZ7" s="917"/>
      <c r="BA7" s="917"/>
      <c r="BB7" s="917"/>
      <c r="BC7" s="917"/>
      <c r="BD7" s="917"/>
      <c r="BE7" s="917"/>
      <c r="BF7" s="917"/>
      <c r="BG7" s="768">
        <v>11</v>
      </c>
    </row>
    <row customHeight="1" ht="10.5">
      <c r="E8" s="918"/>
      <c r="F8" s="2425" t="s">
        <v>322</v>
      </c>
      <c r="G8" s="2426"/>
      <c r="H8" s="2426"/>
      <c r="I8" s="2426"/>
      <c r="J8" s="2426"/>
      <c r="K8" s="2426"/>
      <c r="L8" s="2426"/>
      <c r="M8" s="2426"/>
      <c r="N8" s="2426"/>
      <c r="O8" s="2426"/>
      <c r="P8" s="2426"/>
      <c r="Q8" s="2426"/>
      <c r="R8" s="2426"/>
      <c r="S8" s="2426"/>
      <c r="T8" s="2426"/>
      <c r="U8" s="2426"/>
      <c r="V8" s="2426"/>
      <c r="W8" s="2426"/>
      <c r="X8" s="2426"/>
      <c r="Y8" s="2426"/>
      <c r="Z8" s="2426"/>
      <c r="AA8" s="2426"/>
      <c r="AB8" s="2426"/>
      <c r="AC8" s="2426"/>
      <c r="AD8" s="2426"/>
      <c r="AE8" s="2426"/>
      <c r="AF8" s="2426"/>
      <c r="AG8" s="2426"/>
      <c r="AH8" s="2426"/>
      <c r="AI8" s="2426"/>
      <c r="AJ8" s="2426"/>
      <c r="AK8" s="2427"/>
      <c r="AL8" s="919"/>
      <c r="AM8" s="917"/>
      <c r="AN8" s="917"/>
      <c r="AO8" s="917"/>
      <c r="AP8" s="917"/>
      <c r="AQ8" s="917"/>
      <c r="AR8" s="917"/>
      <c r="AS8" s="917"/>
      <c r="AT8" s="917"/>
      <c r="AU8" s="917"/>
      <c r="AV8" s="917"/>
      <c r="AW8" s="917"/>
      <c r="AX8" s="917"/>
      <c r="AY8" s="917"/>
      <c r="AZ8" s="917"/>
      <c r="BA8" s="917"/>
      <c r="BB8" s="917"/>
      <c r="BC8" s="917"/>
      <c r="BD8" s="917"/>
      <c r="BE8" s="917"/>
      <c r="BF8" s="917"/>
      <c r="BG8" s="768">
        <v>10</v>
      </c>
    </row>
    <row customHeight="1" ht="24">
      <c r="A9" s="915"/>
      <c r="B9" s="915"/>
      <c r="C9" s="915"/>
      <c r="E9" s="918"/>
      <c r="F9" s="2418" t="s">
        <v>1268</v>
      </c>
      <c r="G9" s="2419" t="s">
        <v>1269</v>
      </c>
      <c r="H9" s="2420"/>
      <c r="I9" s="2137" t="s">
        <v>1270</v>
      </c>
      <c r="J9" s="2137"/>
      <c r="K9" s="2137" t="s">
        <v>1271</v>
      </c>
      <c r="L9" s="2137"/>
      <c r="M9" s="2137"/>
      <c r="N9" s="2137"/>
      <c r="O9" s="2137"/>
      <c r="P9" s="2137"/>
      <c r="Q9" s="2137"/>
      <c r="R9" s="2137"/>
      <c r="S9" s="2137"/>
      <c r="T9" s="2137"/>
      <c r="U9" s="2137"/>
      <c r="V9" s="2137"/>
      <c r="W9" s="2137"/>
      <c r="X9" s="2137"/>
      <c r="Y9" s="2137"/>
      <c r="Z9" s="2202" t="s">
        <v>1272</v>
      </c>
      <c r="AA9" s="2203"/>
      <c r="AB9" s="2137" t="s">
        <v>1273</v>
      </c>
      <c r="AC9" s="2137"/>
      <c r="AD9" s="2137"/>
      <c r="AE9" s="2137"/>
      <c r="AF9" s="2185" t="s">
        <v>1274</v>
      </c>
      <c r="AG9" s="2137" t="s">
        <v>1275</v>
      </c>
      <c r="AH9" s="2137"/>
      <c r="AI9" s="2185" t="s">
        <v>1276</v>
      </c>
      <c r="AJ9" s="2137" t="s">
        <v>1277</v>
      </c>
      <c r="AK9" s="2137"/>
      <c r="AL9" s="1152"/>
      <c r="AM9" s="917"/>
      <c r="AN9" s="917"/>
      <c r="AO9" s="917"/>
      <c r="AP9" s="917"/>
      <c r="AQ9" s="917"/>
      <c r="AR9" s="917"/>
      <c r="AS9" s="917"/>
      <c r="AT9" s="917"/>
      <c r="AU9" s="917"/>
      <c r="AV9" s="917"/>
      <c r="AW9" s="917"/>
      <c r="AX9" s="917"/>
      <c r="AY9" s="917"/>
      <c r="AZ9" s="917"/>
      <c r="BA9" s="917"/>
      <c r="BB9" s="917"/>
      <c r="BC9" s="917"/>
      <c r="BD9" s="917"/>
      <c r="BE9" s="917"/>
      <c r="BF9" s="917"/>
      <c r="BG9" s="768">
        <v>23</v>
      </c>
    </row>
    <row customHeight="1" ht="25.2">
      <c r="A10" s="915"/>
      <c r="B10" s="915"/>
      <c r="C10" s="915"/>
      <c r="E10" s="922"/>
      <c r="F10" s="2418"/>
      <c r="G10" s="2421"/>
      <c r="H10" s="2422"/>
      <c r="I10" s="2137"/>
      <c r="J10" s="2137"/>
      <c r="K10" s="2137" t="s">
        <v>1278</v>
      </c>
      <c r="L10" s="2111" t="s">
        <v>1279</v>
      </c>
      <c r="M10" s="2113"/>
      <c r="N10" s="2137" t="s">
        <v>1280</v>
      </c>
      <c r="O10" s="2137"/>
      <c r="P10" s="2137"/>
      <c r="Q10" s="2137"/>
      <c r="R10" s="2137"/>
      <c r="S10" s="2137"/>
      <c r="T10" s="2137"/>
      <c r="U10" s="2137"/>
      <c r="V10" s="2137"/>
      <c r="W10" s="2137"/>
      <c r="X10" s="2137"/>
      <c r="Y10" s="2137"/>
      <c r="Z10" s="2204"/>
      <c r="AA10" s="2205"/>
      <c r="AB10" s="2137"/>
      <c r="AC10" s="2137"/>
      <c r="AD10" s="2137"/>
      <c r="AE10" s="2137"/>
      <c r="AF10" s="2209"/>
      <c r="AG10" s="2137"/>
      <c r="AH10" s="2137"/>
      <c r="AI10" s="2209"/>
      <c r="AJ10" s="2137"/>
      <c r="AK10" s="2137"/>
      <c r="AL10" s="1152"/>
      <c r="AM10" s="923"/>
      <c r="AN10" s="923"/>
      <c r="AO10" s="923"/>
      <c r="AP10" s="923"/>
      <c r="AQ10" s="923"/>
      <c r="AR10" s="923"/>
      <c r="AS10" s="923"/>
      <c r="AT10" s="923"/>
      <c r="AU10" s="923"/>
      <c r="AV10" s="923"/>
      <c r="AW10" s="923"/>
      <c r="AX10" s="923"/>
      <c r="AY10" s="923"/>
      <c r="AZ10" s="923"/>
      <c r="BA10" s="923"/>
      <c r="BB10" s="923"/>
      <c r="BC10" s="923"/>
      <c r="BD10" s="923"/>
      <c r="BE10" s="923"/>
      <c r="BF10" s="923"/>
      <c r="BG10" s="768">
        <v>24</v>
      </c>
    </row>
    <row s="1645" customFormat="1" customHeight="1" ht="25.2">
      <c r="A11" s="1139"/>
      <c r="B11" s="1139"/>
      <c r="C11" s="1139"/>
      <c r="D11" s="1138"/>
      <c r="E11" s="1140"/>
      <c r="F11" s="2418"/>
      <c r="G11" s="2421"/>
      <c r="H11" s="2422"/>
      <c r="I11" s="2137"/>
      <c r="J11" s="2137"/>
      <c r="K11" s="2137"/>
      <c r="L11" s="2185" t="s">
        <v>1281</v>
      </c>
      <c r="M11" s="2185" t="s">
        <v>1282</v>
      </c>
      <c r="N11" s="2137" t="s">
        <v>1283</v>
      </c>
      <c r="O11" s="2137"/>
      <c r="P11" s="2428" t="s">
        <v>1264</v>
      </c>
      <c r="Q11" s="2428" t="s">
        <v>1284</v>
      </c>
      <c r="R11" s="2428" t="s">
        <v>1285</v>
      </c>
      <c r="S11" s="2428" t="s">
        <v>1286</v>
      </c>
      <c r="T11" s="2428"/>
      <c r="U11" s="2428"/>
      <c r="V11" s="2428"/>
      <c r="W11" s="2428"/>
      <c r="X11" s="2428"/>
      <c r="Y11" s="2428"/>
      <c r="Z11" s="2204"/>
      <c r="AA11" s="2205"/>
      <c r="AB11" s="2137" t="s">
        <v>1287</v>
      </c>
      <c r="AC11" s="2137"/>
      <c r="AD11" s="2111" t="s">
        <v>1288</v>
      </c>
      <c r="AE11" s="2113"/>
      <c r="AF11" s="2209"/>
      <c r="AG11" s="2137"/>
      <c r="AH11" s="2137"/>
      <c r="AI11" s="2209"/>
      <c r="AJ11" s="2137"/>
      <c r="AK11" s="2137"/>
      <c r="AL11" s="1152"/>
      <c r="AM11" s="1137"/>
      <c r="AN11" s="1137"/>
      <c r="AO11" s="1137"/>
      <c r="AP11" s="1137"/>
      <c r="AQ11" s="1137"/>
      <c r="AR11" s="1137"/>
      <c r="AS11" s="1137"/>
      <c r="AT11" s="1137"/>
      <c r="AU11" s="1137"/>
      <c r="AV11" s="1137"/>
      <c r="AW11" s="1137"/>
      <c r="AX11" s="1137"/>
      <c r="AY11" s="1137"/>
      <c r="AZ11" s="1137"/>
      <c r="BA11" s="1137"/>
      <c r="BB11" s="1137"/>
      <c r="BC11" s="1137"/>
      <c r="BD11" s="1137"/>
      <c r="BE11" s="1137"/>
      <c r="BF11" s="1137"/>
      <c r="BG11" s="1135">
        <v>24</v>
      </c>
    </row>
    <row customHeight="1" ht="35.699999999999996">
      <c r="A12" s="915"/>
      <c r="B12" s="915"/>
      <c r="C12" s="915"/>
      <c r="E12" s="918"/>
      <c r="F12" s="2418"/>
      <c r="G12" s="2423"/>
      <c r="H12" s="2424"/>
      <c r="I12" s="1163" t="s">
        <v>89</v>
      </c>
      <c r="J12" s="1163" t="s">
        <v>1289</v>
      </c>
      <c r="K12" s="2137"/>
      <c r="L12" s="2242"/>
      <c r="M12" s="2242"/>
      <c r="N12" s="2137"/>
      <c r="O12" s="2137"/>
      <c r="P12" s="2428"/>
      <c r="Q12" s="2428"/>
      <c r="R12" s="2428"/>
      <c r="S12" s="1144" t="s">
        <v>86</v>
      </c>
      <c r="T12" s="1144" t="s">
        <v>87</v>
      </c>
      <c r="U12" s="1144" t="s">
        <v>85</v>
      </c>
      <c r="V12" s="1144" t="s">
        <v>1290</v>
      </c>
      <c r="W12" s="1144" t="s">
        <v>85</v>
      </c>
      <c r="X12" s="1144" t="s">
        <v>1291</v>
      </c>
      <c r="Y12" s="1144" t="s">
        <v>1292</v>
      </c>
      <c r="Z12" s="2210"/>
      <c r="AA12" s="2211"/>
      <c r="AB12" s="1151" t="s">
        <v>1293</v>
      </c>
      <c r="AC12" s="1151" t="s">
        <v>1294</v>
      </c>
      <c r="AD12" s="1151" t="s">
        <v>1293</v>
      </c>
      <c r="AE12" s="1151" t="s">
        <v>1294</v>
      </c>
      <c r="AF12" s="2242"/>
      <c r="AG12" s="1164" t="s">
        <v>1295</v>
      </c>
      <c r="AH12" s="1164" t="s">
        <v>1296</v>
      </c>
      <c r="AI12" s="2242"/>
      <c r="AJ12" s="1164" t="s">
        <v>1295</v>
      </c>
      <c r="AK12" s="1164" t="s">
        <v>1296</v>
      </c>
      <c r="AL12" s="1152"/>
      <c r="AM12" s="917"/>
      <c r="AN12" s="917"/>
      <c r="AO12" s="917"/>
      <c r="AP12" s="917"/>
      <c r="AQ12" s="917"/>
      <c r="AR12" s="917"/>
      <c r="AS12" s="917"/>
      <c r="AT12" s="917"/>
      <c r="AU12" s="917"/>
      <c r="AV12" s="917"/>
      <c r="AW12" s="917"/>
      <c r="AX12" s="917"/>
      <c r="AY12" s="917"/>
      <c r="AZ12" s="917"/>
      <c r="BA12" s="917"/>
      <c r="BB12" s="917"/>
      <c r="BC12" s="917"/>
      <c r="BD12" s="917"/>
      <c r="BE12" s="917"/>
      <c r="BF12" s="917"/>
      <c r="BG12" s="768">
        <v>34</v>
      </c>
    </row>
    <row customHeight="1" ht="1.05">
      <c r="E13" s="918"/>
      <c r="F13" s="1134">
        <v>0</v>
      </c>
      <c r="G13" s="1134"/>
      <c r="H13" s="1134"/>
      <c r="I13" s="1134"/>
      <c r="J13" s="1134"/>
      <c r="K13" s="1141"/>
      <c r="L13" s="1141"/>
      <c r="M13" s="1141"/>
      <c r="N13" s="1141"/>
      <c r="O13" s="1141"/>
      <c r="P13" s="1141"/>
      <c r="Q13" s="1141"/>
      <c r="R13" s="1141"/>
      <c r="S13" s="1141"/>
      <c r="T13" s="1141"/>
      <c r="U13" s="1141"/>
      <c r="V13" s="1141"/>
      <c r="W13" s="1141"/>
      <c r="X13" s="1141"/>
      <c r="Y13" s="1141"/>
      <c r="Z13" s="1141"/>
      <c r="AA13" s="1141"/>
      <c r="AB13" s="1141"/>
      <c r="AC13" s="1141"/>
      <c r="AD13" s="1141"/>
      <c r="AE13" s="1141"/>
      <c r="AF13" s="1141"/>
      <c r="AG13" s="1141"/>
      <c r="AH13" s="1159"/>
      <c r="AI13" s="1152"/>
      <c r="AJ13" s="1141"/>
      <c r="AK13" s="1141"/>
      <c r="AL13" s="919"/>
      <c r="AM13" s="917"/>
      <c r="AN13" s="917"/>
      <c r="AO13" s="917"/>
      <c r="AP13" s="917"/>
      <c r="AQ13" s="917"/>
      <c r="AR13" s="917"/>
      <c r="AS13" s="917"/>
      <c r="AT13" s="917"/>
      <c r="AU13" s="917"/>
      <c r="AV13" s="917"/>
      <c r="AW13" s="917"/>
      <c r="AX13" s="917"/>
      <c r="AY13" s="917"/>
      <c r="AZ13" s="917"/>
      <c r="BA13" s="917"/>
      <c r="BB13" s="917"/>
      <c r="BC13" s="917"/>
      <c r="BD13" s="917"/>
      <c r="BE13" s="917"/>
      <c r="BF13" s="917"/>
      <c r="BG13" s="768">
        <v>1</v>
      </c>
    </row>
    <row customHeight="1" ht="10.5">
      <c r="E14" s="917"/>
      <c r="F14" s="928"/>
      <c r="G14" s="928"/>
      <c r="H14" s="1182"/>
      <c r="I14" s="928"/>
      <c r="J14" s="928"/>
      <c r="K14" s="928"/>
      <c r="L14" s="1141"/>
      <c r="M14" s="1141"/>
      <c r="N14" s="928"/>
      <c r="O14" s="928"/>
      <c r="P14" s="928"/>
      <c r="Q14" s="928"/>
      <c r="R14" s="928"/>
      <c r="S14" s="928"/>
      <c r="T14" s="928"/>
      <c r="U14" s="928"/>
      <c r="V14" s="928"/>
      <c r="W14" s="928"/>
      <c r="X14" s="928"/>
      <c r="Y14" s="928"/>
      <c r="Z14" s="928"/>
      <c r="AA14" s="928"/>
      <c r="AB14" s="928"/>
      <c r="AC14" s="928"/>
      <c r="AD14" s="1141"/>
      <c r="AE14" s="928"/>
      <c r="AF14" s="928"/>
      <c r="AG14" s="928"/>
      <c r="AH14" s="1159"/>
      <c r="AI14" s="1152"/>
      <c r="AJ14" s="928"/>
      <c r="AK14" s="928"/>
      <c r="AL14" s="917"/>
      <c r="AM14" s="917"/>
      <c r="AN14" s="917"/>
      <c r="AO14" s="917"/>
      <c r="AP14" s="917"/>
      <c r="AQ14" s="917"/>
      <c r="AR14" s="917"/>
      <c r="AS14" s="917"/>
      <c r="AT14" s="917"/>
      <c r="AU14" s="917"/>
      <c r="AV14" s="917"/>
      <c r="AW14" s="917"/>
      <c r="AX14" s="917"/>
      <c r="AY14" s="917"/>
      <c r="AZ14" s="917"/>
      <c r="BA14" s="917"/>
      <c r="BB14" s="917"/>
      <c r="BC14" s="917"/>
      <c r="BD14" s="917"/>
      <c r="BE14" s="917"/>
      <c r="BF14" s="917"/>
      <c r="BG14" s="768">
        <v>10</v>
      </c>
    </row>
    <row customHeight="1" ht="13.5">
      <c r="E15" s="917"/>
      <c r="F15" s="924" t="s">
        <v>1297</v>
      </c>
      <c r="G15" s="924"/>
      <c r="H15" s="1181"/>
      <c r="I15" s="924"/>
      <c r="J15" s="924"/>
      <c r="K15" s="921"/>
      <c r="L15" s="1137"/>
      <c r="M15" s="1137"/>
      <c r="N15" s="923"/>
      <c r="O15" s="923"/>
      <c r="P15" s="923"/>
      <c r="Q15" s="923"/>
      <c r="R15" s="923"/>
      <c r="S15" s="923"/>
      <c r="T15" s="923"/>
      <c r="U15" s="923"/>
      <c r="V15" s="923"/>
      <c r="W15" s="923"/>
      <c r="X15" s="923"/>
      <c r="Y15" s="923"/>
      <c r="Z15" s="921"/>
      <c r="AA15" s="921"/>
      <c r="AB15" s="921"/>
      <c r="AC15" s="921"/>
      <c r="AD15" s="1137"/>
      <c r="AE15" s="921"/>
      <c r="AF15" s="921"/>
      <c r="AG15" s="921"/>
      <c r="AH15" s="1156"/>
      <c r="AI15" s="1149"/>
      <c r="AJ15" s="921"/>
      <c r="AK15" s="921"/>
      <c r="AL15" s="917"/>
      <c r="AM15" s="917"/>
      <c r="AN15" s="917"/>
      <c r="AO15" s="917"/>
      <c r="AP15" s="917"/>
      <c r="AQ15" s="917"/>
      <c r="AR15" s="917"/>
      <c r="AS15" s="917"/>
      <c r="AT15" s="917"/>
      <c r="AU15" s="917"/>
      <c r="AV15" s="917"/>
      <c r="AW15" s="917"/>
      <c r="AX15" s="917"/>
      <c r="AY15" s="917"/>
      <c r="AZ15" s="917"/>
      <c r="BA15" s="917"/>
      <c r="BB15" s="917"/>
      <c r="BC15" s="917"/>
      <c r="BD15" s="917"/>
      <c r="BE15" s="917"/>
      <c r="BF15" s="917"/>
      <c r="BG15" s="768">
        <v>13</v>
      </c>
    </row>
    <row customHeight="1" ht="10.5">
      <c r="BG16" s="768">
        <v>10</v>
      </c>
    </row>
    <row customHeight="1" ht="10.5">
      <c r="E17" s="917"/>
      <c r="F17" s="2417"/>
      <c r="G17" s="2417"/>
      <c r="H17" s="2417"/>
      <c r="I17" s="2417"/>
      <c r="J17" s="2417"/>
      <c r="K17" s="921"/>
      <c r="L17" s="1137"/>
      <c r="M17" s="1137"/>
      <c r="N17" s="923"/>
      <c r="O17" s="923"/>
      <c r="P17" s="923"/>
      <c r="Q17" s="923"/>
      <c r="R17" s="923"/>
      <c r="S17" s="923"/>
      <c r="T17" s="923"/>
      <c r="U17" s="923"/>
      <c r="V17" s="923"/>
      <c r="W17" s="923"/>
      <c r="X17" s="923"/>
      <c r="Y17" s="923"/>
      <c r="Z17" s="921"/>
      <c r="AA17" s="921"/>
      <c r="AB17" s="921"/>
      <c r="AC17" s="921"/>
      <c r="AD17" s="1137"/>
      <c r="AE17" s="921"/>
      <c r="AF17" s="921"/>
      <c r="AG17" s="921"/>
      <c r="AH17" s="1156"/>
      <c r="AI17" s="1149"/>
      <c r="AJ17" s="921"/>
      <c r="AK17" s="921"/>
      <c r="AL17" s="917"/>
      <c r="AM17" s="917"/>
      <c r="AN17" s="917"/>
      <c r="AO17" s="917"/>
      <c r="AP17" s="917"/>
      <c r="AQ17" s="917"/>
      <c r="AR17" s="917"/>
      <c r="AS17" s="917"/>
      <c r="AT17" s="917"/>
      <c r="AU17" s="917"/>
      <c r="AV17" s="917"/>
      <c r="AW17" s="917"/>
      <c r="AX17" s="917"/>
      <c r="AY17" s="917"/>
      <c r="AZ17" s="917"/>
      <c r="BA17" s="917"/>
      <c r="BB17" s="917"/>
      <c r="BC17" s="917"/>
      <c r="BD17" s="917"/>
      <c r="BE17" s="917"/>
      <c r="BF17" s="917"/>
      <c r="BG17" s="768">
        <v>10</v>
      </c>
    </row>
    <row customHeight="1" ht="10.5">
      <c r="E18" s="917"/>
      <c r="F18" s="2417"/>
      <c r="G18" s="2417"/>
      <c r="H18" s="2417"/>
      <c r="I18" s="2417"/>
      <c r="J18" s="2417"/>
      <c r="K18" s="921"/>
      <c r="L18" s="1137"/>
      <c r="M18" s="1137"/>
      <c r="N18" s="923"/>
      <c r="O18" s="923"/>
      <c r="P18" s="923"/>
      <c r="Q18" s="923"/>
      <c r="R18" s="923"/>
      <c r="S18" s="923"/>
      <c r="T18" s="923"/>
      <c r="U18" s="923"/>
      <c r="V18" s="923"/>
      <c r="W18" s="923"/>
      <c r="X18" s="923"/>
      <c r="Y18" s="923"/>
      <c r="Z18" s="921"/>
      <c r="AA18" s="921"/>
      <c r="AB18" s="921"/>
      <c r="AC18" s="921"/>
      <c r="AD18" s="1137"/>
      <c r="AE18" s="921"/>
      <c r="AF18" s="921"/>
      <c r="AG18" s="921"/>
      <c r="AH18" s="1156"/>
      <c r="AI18" s="1149"/>
      <c r="AJ18" s="921"/>
      <c r="AK18" s="921"/>
      <c r="AL18" s="917"/>
      <c r="AM18" s="917"/>
      <c r="AN18" s="917"/>
      <c r="AO18" s="917"/>
      <c r="AP18" s="917"/>
      <c r="AQ18" s="917"/>
      <c r="AR18" s="917"/>
      <c r="AS18" s="917"/>
      <c r="AT18" s="917"/>
      <c r="AU18" s="917"/>
      <c r="AV18" s="917"/>
      <c r="AW18" s="917"/>
      <c r="AX18" s="917"/>
      <c r="AY18" s="917"/>
      <c r="AZ18" s="917"/>
      <c r="BA18" s="917"/>
      <c r="BB18" s="917"/>
      <c r="BC18" s="917"/>
      <c r="BD18" s="917"/>
      <c r="BE18" s="917"/>
      <c r="BF18" s="917"/>
      <c r="BG18" s="768">
        <v>10</v>
      </c>
    </row>
    <row customHeight="1" ht="10.5">
      <c r="E19" s="917"/>
      <c r="F19" s="2417"/>
      <c r="G19" s="2417"/>
      <c r="H19" s="2417"/>
      <c r="I19" s="2417"/>
      <c r="J19" s="2417"/>
      <c r="K19" s="921"/>
      <c r="L19" s="1137"/>
      <c r="M19" s="1137"/>
      <c r="N19" s="923"/>
      <c r="O19" s="923"/>
      <c r="P19" s="923"/>
      <c r="Q19" s="923"/>
      <c r="R19" s="923"/>
      <c r="S19" s="923"/>
      <c r="T19" s="923"/>
      <c r="U19" s="923"/>
      <c r="V19" s="923"/>
      <c r="W19" s="923"/>
      <c r="X19" s="923"/>
      <c r="Y19" s="923"/>
      <c r="Z19" s="921"/>
      <c r="AA19" s="921"/>
      <c r="AB19" s="921"/>
      <c r="AC19" s="921"/>
      <c r="AD19" s="1137"/>
      <c r="AE19" s="921"/>
      <c r="AF19" s="921"/>
      <c r="AG19" s="921"/>
      <c r="AH19" s="1156"/>
      <c r="AI19" s="1149"/>
      <c r="AJ19" s="921"/>
      <c r="AK19" s="921"/>
      <c r="AL19" s="917"/>
      <c r="AM19" s="917"/>
      <c r="AN19" s="917"/>
      <c r="AO19" s="917"/>
      <c r="AP19" s="917"/>
      <c r="AQ19" s="917"/>
      <c r="AR19" s="917"/>
      <c r="AS19" s="917"/>
      <c r="AT19" s="917"/>
      <c r="AU19" s="917"/>
      <c r="AV19" s="917"/>
      <c r="AW19" s="917"/>
      <c r="AX19" s="917"/>
      <c r="AY19" s="917"/>
      <c r="AZ19" s="917"/>
      <c r="BA19" s="917"/>
      <c r="BB19" s="917"/>
      <c r="BC19" s="917"/>
      <c r="BD19" s="917"/>
      <c r="BE19" s="917"/>
      <c r="BF19" s="917"/>
      <c r="BG19" s="768">
        <v>10</v>
      </c>
    </row>
    <row customHeight="1" ht="10.5" hidden="1">
      <c r="A20" s="905" t="s">
        <v>82</v>
      </c>
      <c r="B20" s="905">
        <v>0</v>
      </c>
      <c r="C20" s="905">
        <v>0</v>
      </c>
      <c r="D20" s="427">
        <v>0</v>
      </c>
      <c r="E20" s="519">
        <v>3</v>
      </c>
      <c r="F20" s="768">
        <v>14</v>
      </c>
      <c r="G20" s="768">
        <v>3</v>
      </c>
      <c r="H20" s="1165">
        <v>7</v>
      </c>
      <c r="I20" s="768">
        <v>16</v>
      </c>
      <c r="J20" s="768">
        <v>16</v>
      </c>
      <c r="K20" s="768">
        <v>25</v>
      </c>
      <c r="L20" s="1135">
        <v>7</v>
      </c>
      <c r="M20" s="1135">
        <v>15</v>
      </c>
      <c r="N20" s="768">
        <v>3</v>
      </c>
      <c r="O20" s="768">
        <v>4</v>
      </c>
      <c r="P20" s="768">
        <v>8</v>
      </c>
      <c r="Q20" s="768">
        <v>21</v>
      </c>
      <c r="R20" s="768">
        <v>14</v>
      </c>
      <c r="S20" s="768">
        <v>17</v>
      </c>
      <c r="T20" s="768">
        <v>17</v>
      </c>
      <c r="U20" s="768">
        <v>9</v>
      </c>
      <c r="V20" s="768">
        <v>12</v>
      </c>
      <c r="W20" s="768">
        <v>9</v>
      </c>
      <c r="X20" s="768">
        <v>21</v>
      </c>
      <c r="Y20" s="768">
        <v>12</v>
      </c>
      <c r="Z20" s="768">
        <v>3</v>
      </c>
      <c r="AA20" s="768">
        <v>6</v>
      </c>
      <c r="AB20" s="768">
        <v>38</v>
      </c>
      <c r="AC20" s="768">
        <v>15</v>
      </c>
      <c r="AD20" s="1135">
        <v>0</v>
      </c>
      <c r="AE20" s="768">
        <v>0</v>
      </c>
      <c r="AF20" s="768">
        <v>16</v>
      </c>
      <c r="AG20" s="768">
        <v>16</v>
      </c>
      <c r="AH20" s="1154">
        <v>16</v>
      </c>
      <c r="AI20" s="1147">
        <v>0</v>
      </c>
      <c r="AJ20" s="768">
        <v>0</v>
      </c>
      <c r="AK20" s="768">
        <v>0</v>
      </c>
      <c r="AL20" s="768">
        <v>8</v>
      </c>
      <c r="AM20" s="768">
        <v>8</v>
      </c>
      <c r="AN20" s="768">
        <v>8</v>
      </c>
      <c r="AO20" s="768">
        <v>8</v>
      </c>
      <c r="AP20" s="768">
        <v>8</v>
      </c>
      <c r="AQ20" s="768">
        <v>8</v>
      </c>
      <c r="AR20" s="768">
        <v>8</v>
      </c>
      <c r="AS20" s="768">
        <v>8</v>
      </c>
      <c r="AT20" s="768">
        <v>8</v>
      </c>
      <c r="AU20" s="768">
        <v>8</v>
      </c>
      <c r="AV20" s="768">
        <v>8</v>
      </c>
      <c r="AW20" s="768">
        <v>8</v>
      </c>
      <c r="AX20" s="768">
        <v>8</v>
      </c>
      <c r="AY20" s="768">
        <v>8</v>
      </c>
      <c r="AZ20" s="768">
        <v>8</v>
      </c>
      <c r="BA20" s="768">
        <v>8</v>
      </c>
      <c r="BB20" s="768">
        <v>8</v>
      </c>
      <c r="BC20" s="768">
        <v>8</v>
      </c>
      <c r="BD20" s="768">
        <v>8</v>
      </c>
      <c r="BE20" s="768">
        <v>8</v>
      </c>
      <c r="BF20" s="768">
        <v>8</v>
      </c>
      <c r="BG20" s="768">
        <v>10</v>
      </c>
    </row>
  </sheetData>
  <sheetProtection sheet="1" formatColumns="0" formatRows="0" autoFilter="0" sort="1" insertRows="1" insertColumns="1" deleteRows="1" deleteColumns="1"/>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78093F-857F-37EB-3F71-0.B1F15B27}"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76" width="4.140625" hidden="1" customWidth="1"/>
    <col min="4" max="4" style="1376" width="4.140625" hidden="1" customWidth="1"/>
    <col min="5" max="5" style="1645" width="3.00390625" customWidth="1"/>
    <col min="6" max="6" style="1645" width="6.00390625" customWidth="1"/>
    <col min="7" max="7" style="1645" width="60.00390625" customWidth="1"/>
    <col min="8" max="9" style="1645" width="21.7109375" hidden="1" customWidth="1"/>
    <col min="10" max="10" style="1645" width="0.140625" customWidth="1"/>
    <col min="11" max="11" style="1645" width="1.00390625" customWidth="1"/>
    <col min="12" max="22" style="1645" width="8.00390625" customWidth="1"/>
    <col min="23" max="23" style="1645" width="9.140625" hidden="1"/>
  </cols>
  <sheetData>
    <row s="1376" customFormat="1" customHeight="1" ht="10.5" hidden="1">
      <c r="A1" s="1176"/>
      <c r="B1" s="1176"/>
      <c r="C1" s="1176"/>
      <c r="E1" s="547"/>
      <c r="W1" s="1170" t="s">
        <v>14</v>
      </c>
    </row>
    <row customHeight="1" ht="10.5" hidden="1">
      <c r="W2" s="1165">
        <v>0</v>
      </c>
    </row>
    <row s="1642" customFormat="1" customHeight="1" ht="10.5" hidden="1">
      <c r="A3" s="1176"/>
      <c r="B3" s="1176"/>
      <c r="C3" s="1176"/>
      <c r="D3" s="1170"/>
      <c r="E3" s="372"/>
      <c r="W3" s="1166">
        <v>0</v>
      </c>
    </row>
    <row customHeight="1" ht="3">
      <c r="W4" s="1165">
        <v>3</v>
      </c>
    </row>
    <row customHeight="1" ht="27.299999999999997">
      <c r="F5" s="2258"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8"/>
      <c r="H5" s="2258"/>
      <c r="I5" s="2258"/>
      <c r="J5" s="2258"/>
      <c r="W5" s="1165">
        <v>26</v>
      </c>
    </row>
    <row customHeight="1" ht="10.5">
      <c r="F6" s="2186" t="str">
        <f>IF(org=0,"Не определено",org)</f>
        <v>АО «ДГК» СП «Нерюнгринская ГРЭС»</v>
      </c>
      <c r="G6" s="2186"/>
      <c r="H6" s="2186"/>
      <c r="I6" s="2186"/>
      <c r="J6" s="2186"/>
      <c r="W6" s="1165">
        <v>10</v>
      </c>
    </row>
    <row customHeight="1" ht="11.549999999999999">
      <c r="E7" s="1180"/>
      <c r="F7" s="1237"/>
      <c r="G7" s="1237"/>
      <c r="H7" s="1237"/>
      <c r="I7" s="1237"/>
      <c r="J7" s="1237"/>
      <c r="K7" s="1167"/>
      <c r="L7" s="1167"/>
      <c r="M7" s="1167"/>
      <c r="N7" s="1167"/>
      <c r="O7" s="1167"/>
      <c r="P7" s="1167"/>
      <c r="Q7" s="1167"/>
      <c r="R7" s="1167"/>
      <c r="S7" s="1167"/>
      <c r="T7" s="1167"/>
      <c r="U7" s="1167"/>
      <c r="V7" s="1167"/>
      <c r="W7" s="1165">
        <v>11</v>
      </c>
    </row>
    <row s="1652" customFormat="1" customHeight="1" ht="4.2">
      <c r="A8" s="1177"/>
      <c r="B8" s="1177"/>
      <c r="C8" s="1177"/>
      <c r="E8" s="1238"/>
      <c r="F8" s="1239"/>
      <c r="G8" s="1239"/>
      <c r="H8" s="1239"/>
      <c r="I8" s="1239"/>
      <c r="J8" s="1239"/>
      <c r="K8" s="1238"/>
      <c r="L8" s="1238"/>
      <c r="M8" s="1238"/>
      <c r="N8" s="1238"/>
      <c r="O8" s="1238"/>
      <c r="P8" s="1238"/>
      <c r="Q8" s="1238"/>
      <c r="R8" s="1238"/>
      <c r="S8" s="1238"/>
      <c r="T8" s="1238"/>
      <c r="U8" s="1238"/>
      <c r="V8" s="1238"/>
      <c r="W8" s="521">
        <v>4</v>
      </c>
    </row>
    <row customHeight="1" ht="10.5">
      <c r="E9" s="1180"/>
      <c r="F9" s="2429" t="s">
        <v>322</v>
      </c>
      <c r="G9" s="2430"/>
      <c r="H9" s="2430"/>
      <c r="I9" s="2430"/>
      <c r="J9" s="2430"/>
      <c r="K9" s="1250"/>
      <c r="L9" s="1167"/>
      <c r="M9" s="1167"/>
      <c r="N9" s="1167"/>
      <c r="O9" s="1167"/>
      <c r="P9" s="1167"/>
      <c r="Q9" s="1167"/>
      <c r="R9" s="1167"/>
      <c r="S9" s="1167"/>
      <c r="T9" s="1167"/>
      <c r="U9" s="1167"/>
      <c r="V9" s="1167"/>
      <c r="W9" s="1165">
        <v>10</v>
      </c>
    </row>
    <row customHeight="1" ht="25.2">
      <c r="E10" s="1167"/>
      <c r="F10" s="2433" t="s">
        <v>88</v>
      </c>
      <c r="G10" s="2438" t="s">
        <v>1298</v>
      </c>
      <c r="H10" s="2436" t="s">
        <v>1299</v>
      </c>
      <c r="I10" s="2436"/>
      <c r="J10" s="2436"/>
      <c r="K10" s="1243"/>
      <c r="L10" s="1167"/>
      <c r="M10" s="1167"/>
      <c r="N10" s="1167"/>
      <c r="O10" s="1167"/>
      <c r="P10" s="1167"/>
      <c r="Q10" s="1167"/>
      <c r="R10" s="1167"/>
      <c r="S10" s="1167"/>
      <c r="T10" s="1167"/>
      <c r="U10" s="1167"/>
      <c r="V10" s="1167"/>
      <c r="W10" s="1165">
        <v>24</v>
      </c>
    </row>
    <row customHeight="1" ht="25.5">
      <c r="E11" s="1167"/>
      <c r="F11" s="2434"/>
      <c r="G11" s="2438"/>
      <c r="H11" s="2437">
        <f>INDEX(IP_MAIN_LIST_NAME_IP,MATCH(H8,IP_MAIN_LIST_IP_ID,0))&amp;" ("&amp;INDEX(IP_MAIN_START_DATE,MATCH(H8,IP_MAIN_LIST_IP_ID,0))&amp;"-"&amp;INDEX(IP_MAIN_END_DATE,MATCH(H8,IP_MAIN_LIST_IP_ID,0))&amp;")"</f>
      </c>
      <c r="I11" s="2437"/>
      <c r="J11" s="2437"/>
      <c r="K11" s="1243"/>
      <c r="L11" s="1167"/>
      <c r="M11" s="1167"/>
      <c r="N11" s="1167"/>
      <c r="O11" s="1167"/>
      <c r="P11" s="1167"/>
      <c r="Q11" s="1167"/>
      <c r="R11" s="1167"/>
      <c r="S11" s="1167"/>
      <c r="T11" s="1167"/>
      <c r="U11" s="1167"/>
      <c r="V11" s="1167"/>
      <c r="W11" s="1165">
        <v>24</v>
      </c>
    </row>
    <row customHeight="1" ht="10.5">
      <c r="F12" s="2435"/>
      <c r="G12" s="2438"/>
      <c r="H12" s="1236" t="s">
        <v>1300</v>
      </c>
      <c r="I12" s="1242"/>
      <c r="J12" s="1236"/>
      <c r="K12" s="1244"/>
      <c r="W12" s="1165">
        <v>10</v>
      </c>
    </row>
    <row customHeight="1" ht="10.5" hidden="1">
      <c r="F13" s="1236">
        <v>1</v>
      </c>
      <c r="G13" s="1236">
        <v>2</v>
      </c>
      <c r="H13" s="1236">
        <v>3</v>
      </c>
      <c r="I13" s="1236">
        <v>4</v>
      </c>
      <c r="J13" s="1236">
        <v>5</v>
      </c>
      <c r="K13" s="1244"/>
      <c r="W13" s="1165">
        <v>0</v>
      </c>
    </row>
    <row customHeight="1" ht="11.549999999999999">
      <c r="F14" s="1235" t="s">
        <v>1301</v>
      </c>
      <c r="G14" s="2431" t="s">
        <v>1302</v>
      </c>
      <c r="H14" s="2431"/>
      <c r="I14" s="2431"/>
      <c r="J14" s="2431"/>
      <c r="K14" s="1244"/>
      <c r="W14" s="1165">
        <v>11</v>
      </c>
    </row>
    <row customHeight="1" ht="11.549999999999999">
      <c r="F15" s="1240">
        <v>1</v>
      </c>
      <c r="G15" s="700" t="s">
        <v>1303</v>
      </c>
      <c r="H15" s="1246">
        <f>SUM(I15:J15)</f>
        <v>0</v>
      </c>
      <c r="I15" s="1246">
        <f>SUM(I16:I27)</f>
        <v>0</v>
      </c>
      <c r="J15" s="1235"/>
      <c r="K15" s="1244"/>
      <c r="W15" s="1165">
        <v>11</v>
      </c>
    </row>
    <row customHeight="1" ht="24">
      <c r="F16" s="1240" t="s">
        <v>1304</v>
      </c>
      <c r="G16" s="1247" t="s">
        <v>1305</v>
      </c>
      <c r="H16" s="1246">
        <f>SUM(I16:J16)</f>
        <v>0</v>
      </c>
      <c r="I16" s="1245"/>
      <c r="J16" s="1235"/>
      <c r="K16" s="1244"/>
      <c r="W16" s="1165">
        <v>23</v>
      </c>
    </row>
    <row customHeight="1" ht="24">
      <c r="F17" s="1240" t="s">
        <v>1306</v>
      </c>
      <c r="G17" s="1247" t="s">
        <v>1307</v>
      </c>
      <c r="H17" s="1246">
        <f>SUM(I17:J17)</f>
        <v>0</v>
      </c>
      <c r="I17" s="1245"/>
      <c r="J17" s="1235"/>
      <c r="K17" s="1244"/>
      <c r="W17" s="1165">
        <v>23</v>
      </c>
    </row>
    <row customHeight="1" ht="35.699999999999996">
      <c r="F18" s="1240" t="s">
        <v>1308</v>
      </c>
      <c r="G18" s="1247" t="s">
        <v>1309</v>
      </c>
      <c r="H18" s="1246">
        <f>SUM(I18:J18)</f>
        <v>0</v>
      </c>
      <c r="I18" s="1245"/>
      <c r="J18" s="1235"/>
      <c r="K18" s="1244"/>
      <c r="W18" s="1165">
        <v>34</v>
      </c>
    </row>
    <row customHeight="1" ht="35.699999999999996">
      <c r="F19" s="1240" t="s">
        <v>1310</v>
      </c>
      <c r="G19" s="1247" t="s">
        <v>1311</v>
      </c>
      <c r="H19" s="1246">
        <f>SUM(I19:J19)</f>
        <v>0</v>
      </c>
      <c r="I19" s="1245"/>
      <c r="J19" s="1235"/>
      <c r="K19" s="1244"/>
      <c r="W19" s="1165">
        <v>34</v>
      </c>
    </row>
    <row customHeight="1" ht="48.29999999999999">
      <c r="F20" s="1240" t="s">
        <v>1312</v>
      </c>
      <c r="G20" s="1247" t="s">
        <v>1313</v>
      </c>
      <c r="H20" s="1246">
        <f>SUM(I20:J20)</f>
        <v>0</v>
      </c>
      <c r="I20" s="1245"/>
      <c r="J20" s="1235"/>
      <c r="K20" s="1244"/>
      <c r="W20" s="1165">
        <v>46</v>
      </c>
    </row>
    <row customHeight="1" ht="35.699999999999996">
      <c r="F21" s="1240" t="s">
        <v>1314</v>
      </c>
      <c r="G21" s="1247" t="s">
        <v>1315</v>
      </c>
      <c r="H21" s="1246">
        <f>SUM(I21:J21)</f>
        <v>0</v>
      </c>
      <c r="I21" s="1245"/>
      <c r="J21" s="1235"/>
      <c r="K21" s="1244"/>
      <c r="W21" s="1165">
        <v>34</v>
      </c>
    </row>
    <row customHeight="1" ht="35.699999999999996">
      <c r="F22" s="1240" t="s">
        <v>1316</v>
      </c>
      <c r="G22" s="1247" t="s">
        <v>1317</v>
      </c>
      <c r="H22" s="1246">
        <f>SUM(I22:J22)</f>
        <v>0</v>
      </c>
      <c r="I22" s="1245"/>
      <c r="J22" s="1235"/>
      <c r="K22" s="1244"/>
      <c r="W22" s="1165">
        <v>34</v>
      </c>
    </row>
    <row customHeight="1" ht="24">
      <c r="F23" s="1240" t="s">
        <v>1318</v>
      </c>
      <c r="G23" s="1247" t="s">
        <v>1319</v>
      </c>
      <c r="H23" s="1246">
        <f>SUM(I23:J23)</f>
        <v>0</v>
      </c>
      <c r="I23" s="1245"/>
      <c r="J23" s="1235"/>
      <c r="K23" s="1244"/>
      <c r="W23" s="1165">
        <v>23</v>
      </c>
    </row>
    <row customHeight="1" ht="24">
      <c r="F24" s="1240" t="s">
        <v>1320</v>
      </c>
      <c r="G24" s="1247" t="s">
        <v>1321</v>
      </c>
      <c r="H24" s="1246">
        <f>SUM(I24:J24)</f>
        <v>0</v>
      </c>
      <c r="I24" s="1245"/>
      <c r="J24" s="1235"/>
      <c r="K24" s="1244"/>
      <c r="W24" s="1165">
        <v>23</v>
      </c>
    </row>
    <row customHeight="1" ht="35.699999999999996">
      <c r="F25" s="1240" t="s">
        <v>1322</v>
      </c>
      <c r="G25" s="1247" t="s">
        <v>1323</v>
      </c>
      <c r="H25" s="1246">
        <f>SUM(I25:J25)</f>
        <v>0</v>
      </c>
      <c r="I25" s="1245"/>
      <c r="J25" s="1235"/>
      <c r="K25" s="1244"/>
      <c r="W25" s="1165">
        <v>34</v>
      </c>
    </row>
    <row customHeight="1" ht="35.699999999999996">
      <c r="F26" s="1240" t="s">
        <v>1324</v>
      </c>
      <c r="G26" s="1247" t="s">
        <v>1325</v>
      </c>
      <c r="H26" s="1246">
        <f>SUM(I26:J26)</f>
        <v>0</v>
      </c>
      <c r="I26" s="1245"/>
      <c r="J26" s="1235"/>
      <c r="K26" s="1244"/>
      <c r="W26" s="1165">
        <v>34</v>
      </c>
    </row>
    <row customHeight="1" ht="11.549999999999999">
      <c r="F27" s="1240" t="s">
        <v>1326</v>
      </c>
      <c r="G27" s="1247" t="s">
        <v>1327</v>
      </c>
      <c r="H27" s="1246">
        <f>SUM(I27:J27)</f>
        <v>0</v>
      </c>
      <c r="I27" s="1245"/>
      <c r="J27" s="1235"/>
      <c r="K27" s="1244"/>
      <c r="W27" s="1165">
        <v>11</v>
      </c>
    </row>
    <row customHeight="1" ht="11.549999999999999">
      <c r="F28" s="1240">
        <v>2</v>
      </c>
      <c r="G28" s="700" t="s">
        <v>1328</v>
      </c>
      <c r="H28" s="1246">
        <f>SUM(I28:J28)</f>
        <v>0</v>
      </c>
      <c r="I28" s="1246">
        <f>SUM(I29:I31)</f>
        <v>0</v>
      </c>
      <c r="J28" s="1235"/>
      <c r="K28" s="1244"/>
      <c r="W28" s="1165">
        <v>11</v>
      </c>
    </row>
    <row customHeight="1" ht="11.549999999999999">
      <c r="F29" s="1240" t="s">
        <v>733</v>
      </c>
      <c r="G29" s="1247" t="s">
        <v>1329</v>
      </c>
      <c r="H29" s="1246">
        <f>SUM(I29:J29)</f>
        <v>0</v>
      </c>
      <c r="I29" s="1245"/>
      <c r="J29" s="1235"/>
      <c r="K29" s="1244"/>
      <c r="W29" s="1165">
        <v>11</v>
      </c>
    </row>
    <row customHeight="1" ht="11.549999999999999">
      <c r="F30" s="1240" t="s">
        <v>329</v>
      </c>
      <c r="G30" s="1247" t="s">
        <v>1330</v>
      </c>
      <c r="H30" s="1246">
        <f>SUM(I30:J30)</f>
        <v>0</v>
      </c>
      <c r="I30" s="1245"/>
      <c r="J30" s="1235"/>
      <c r="K30" s="1244"/>
      <c r="W30" s="1165">
        <v>11</v>
      </c>
    </row>
    <row customHeight="1" ht="11.549999999999999">
      <c r="F31" s="1240" t="s">
        <v>332</v>
      </c>
      <c r="G31" s="1247" t="s">
        <v>1331</v>
      </c>
      <c r="H31" s="1246">
        <f>SUM(I31:J31)</f>
        <v>0</v>
      </c>
      <c r="I31" s="1245"/>
      <c r="J31" s="1235"/>
      <c r="K31" s="1244"/>
      <c r="W31" s="1165">
        <v>11</v>
      </c>
    </row>
    <row customHeight="1" ht="11.549999999999999">
      <c r="F32" s="1240">
        <v>3</v>
      </c>
      <c r="G32" s="700" t="s">
        <v>1332</v>
      </c>
      <c r="H32" s="1246">
        <f>SUM(I32:J32)</f>
        <v>0</v>
      </c>
      <c r="I32" s="1246">
        <f>SUM(I33:I34)</f>
        <v>0</v>
      </c>
      <c r="J32" s="1235"/>
      <c r="K32" s="1244"/>
      <c r="W32" s="1165">
        <v>11</v>
      </c>
    </row>
    <row customHeight="1" ht="48.29999999999999">
      <c r="F33" s="1240" t="s">
        <v>346</v>
      </c>
      <c r="G33" s="1247" t="s">
        <v>1333</v>
      </c>
      <c r="H33" s="1246">
        <f>SUM(I33:J33)</f>
        <v>0</v>
      </c>
      <c r="I33" s="1245"/>
      <c r="J33" s="1235"/>
      <c r="K33" s="1244"/>
      <c r="W33" s="1165">
        <v>46</v>
      </c>
    </row>
    <row customHeight="1" ht="11.549999999999999">
      <c r="F34" s="1240" t="s">
        <v>354</v>
      </c>
      <c r="G34" s="1247" t="s">
        <v>1334</v>
      </c>
      <c r="H34" s="1246">
        <f>SUM(I34:J34)</f>
        <v>0</v>
      </c>
      <c r="I34" s="1245"/>
      <c r="J34" s="1235"/>
      <c r="K34" s="1244"/>
      <c r="W34" s="1165">
        <v>11</v>
      </c>
    </row>
    <row customHeight="1" ht="11.549999999999999">
      <c r="F35" s="1240">
        <v>4</v>
      </c>
      <c r="G35" s="700" t="s">
        <v>1335</v>
      </c>
      <c r="H35" s="1246">
        <f>SUM(I35:J35)</f>
        <v>0</v>
      </c>
      <c r="I35" s="1245"/>
      <c r="J35" s="1235"/>
      <c r="K35" s="1244"/>
      <c r="W35" s="1165">
        <v>11</v>
      </c>
    </row>
    <row customHeight="1" ht="11.549999999999999">
      <c r="F36" s="1240"/>
      <c r="G36" s="703" t="s">
        <v>1336</v>
      </c>
      <c r="H36" s="1246">
        <f>SUM(I36:J36)</f>
        <v>0</v>
      </c>
      <c r="I36" s="1246">
        <f>SUM(I15,I28,I32,I35)</f>
        <v>0</v>
      </c>
      <c r="J36" s="1235"/>
      <c r="K36" s="1244"/>
      <c r="W36" s="1165">
        <v>11</v>
      </c>
    </row>
    <row customHeight="1" ht="29.25">
      <c r="F37" s="1241" t="s">
        <v>1337</v>
      </c>
      <c r="G37" s="2432" t="s">
        <v>1338</v>
      </c>
      <c r="H37" s="2432"/>
      <c r="I37" s="2432"/>
      <c r="J37" s="2432"/>
      <c r="K37" s="1244"/>
      <c r="W37" s="1165">
        <v>28</v>
      </c>
    </row>
    <row customHeight="1" ht="24">
      <c r="F38" s="1240" t="s">
        <v>124</v>
      </c>
      <c r="G38" s="700" t="s">
        <v>1339</v>
      </c>
      <c r="H38" s="1246">
        <f>SUM(I38:J38)</f>
        <v>0</v>
      </c>
      <c r="I38" s="1246">
        <f>SUM(I39,I44,I47)</f>
        <v>0</v>
      </c>
      <c r="J38" s="1235"/>
      <c r="K38" s="1244"/>
      <c r="W38" s="1165">
        <v>23</v>
      </c>
    </row>
    <row customHeight="1" ht="11.549999999999999">
      <c r="F39" s="1240" t="s">
        <v>1304</v>
      </c>
      <c r="G39" s="1247" t="s">
        <v>1303</v>
      </c>
      <c r="H39" s="1246">
        <f>SUM(I39:J39)</f>
        <v>0</v>
      </c>
      <c r="I39" s="1246">
        <f>SUM(I40:I43)</f>
        <v>0</v>
      </c>
      <c r="J39" s="1235"/>
      <c r="K39" s="1244"/>
      <c r="W39" s="1165">
        <v>11</v>
      </c>
    </row>
    <row customHeight="1" ht="24">
      <c r="F40" s="1240" t="s">
        <v>1340</v>
      </c>
      <c r="G40" s="1248" t="s">
        <v>1341</v>
      </c>
      <c r="H40" s="1246">
        <f>SUM(I40:J40)</f>
        <v>0</v>
      </c>
      <c r="I40" s="1245"/>
      <c r="J40" s="1235"/>
      <c r="K40" s="1244"/>
      <c r="W40" s="1165">
        <v>23</v>
      </c>
    </row>
    <row customHeight="1" ht="11.549999999999999">
      <c r="F41" s="1240" t="s">
        <v>1342</v>
      </c>
      <c r="G41" s="1248" t="s">
        <v>1343</v>
      </c>
      <c r="H41" s="1246">
        <f>SUM(I41:J41)</f>
        <v>0</v>
      </c>
      <c r="I41" s="1245"/>
      <c r="J41" s="1235"/>
      <c r="K41" s="1244"/>
      <c r="W41" s="1165">
        <v>11</v>
      </c>
    </row>
    <row customHeight="1" ht="11.549999999999999">
      <c r="F42" s="1240" t="s">
        <v>1344</v>
      </c>
      <c r="G42" s="1248" t="s">
        <v>1345</v>
      </c>
      <c r="H42" s="1246">
        <f>SUM(I42:J42)</f>
        <v>0</v>
      </c>
      <c r="I42" s="1245"/>
      <c r="J42" s="1235"/>
      <c r="K42" s="1244"/>
      <c r="W42" s="1165">
        <v>11</v>
      </c>
    </row>
    <row customHeight="1" ht="35.699999999999996">
      <c r="F43" s="1240" t="s">
        <v>1346</v>
      </c>
      <c r="G43" s="1248" t="s">
        <v>1347</v>
      </c>
      <c r="H43" s="1246">
        <f>SUM(I43:J43)</f>
        <v>0</v>
      </c>
      <c r="I43" s="1245"/>
      <c r="J43" s="1235"/>
      <c r="K43" s="1244"/>
      <c r="W43" s="1165">
        <v>34</v>
      </c>
    </row>
    <row customHeight="1" ht="11.549999999999999">
      <c r="F44" s="1240" t="s">
        <v>1306</v>
      </c>
      <c r="G44" s="1247" t="s">
        <v>1332</v>
      </c>
      <c r="H44" s="1246">
        <f>SUM(I44:J44)</f>
        <v>0</v>
      </c>
      <c r="I44" s="1246">
        <f>SUM(I45:I46)</f>
        <v>0</v>
      </c>
      <c r="J44" s="1235"/>
      <c r="K44" s="1244"/>
      <c r="W44" s="1165">
        <v>11</v>
      </c>
    </row>
    <row customHeight="1" ht="48.29999999999999">
      <c r="F45" s="1240" t="s">
        <v>1348</v>
      </c>
      <c r="G45" s="1248" t="s">
        <v>1333</v>
      </c>
      <c r="H45" s="1246">
        <f>SUM(I45:J45)</f>
        <v>0</v>
      </c>
      <c r="I45" s="1245"/>
      <c r="J45" s="1235"/>
      <c r="K45" s="1244"/>
      <c r="W45" s="1165">
        <v>46</v>
      </c>
    </row>
    <row customHeight="1" ht="11.549999999999999">
      <c r="F46" s="1240" t="s">
        <v>1349</v>
      </c>
      <c r="G46" s="1248" t="s">
        <v>1334</v>
      </c>
      <c r="H46" s="1246">
        <f>SUM(I46:J46)</f>
        <v>0</v>
      </c>
      <c r="I46" s="1245"/>
      <c r="J46" s="1235"/>
      <c r="K46" s="1244"/>
      <c r="W46" s="1165">
        <v>11</v>
      </c>
    </row>
    <row customHeight="1" ht="11.549999999999999">
      <c r="F47" s="1240" t="s">
        <v>1308</v>
      </c>
      <c r="G47" s="1247" t="s">
        <v>1350</v>
      </c>
      <c r="H47" s="1246">
        <f>SUM(I47:J47)</f>
        <v>0</v>
      </c>
      <c r="I47" s="1245"/>
      <c r="J47" s="1235"/>
      <c r="K47" s="1244"/>
      <c r="W47" s="1165">
        <v>11</v>
      </c>
    </row>
    <row customHeight="1" ht="24">
      <c r="F48" s="1240" t="s">
        <v>104</v>
      </c>
      <c r="G48" s="700" t="s">
        <v>1351</v>
      </c>
      <c r="H48" s="1246">
        <f>SUM(I48:J48)</f>
        <v>0</v>
      </c>
      <c r="I48" s="1246">
        <f>SUM(I49,I54,I57)</f>
        <v>0</v>
      </c>
      <c r="J48" s="1235"/>
      <c r="K48" s="1244"/>
      <c r="W48" s="1165">
        <v>23</v>
      </c>
    </row>
    <row customHeight="1" ht="11.549999999999999">
      <c r="F49" s="1240" t="s">
        <v>733</v>
      </c>
      <c r="G49" s="1247" t="s">
        <v>1303</v>
      </c>
      <c r="H49" s="1246">
        <f>SUM(I49:J49)</f>
        <v>0</v>
      </c>
      <c r="I49" s="1246">
        <f>SUM(I50:I53)</f>
        <v>0</v>
      </c>
      <c r="J49" s="1235"/>
      <c r="K49" s="1244"/>
      <c r="W49" s="1165">
        <v>11</v>
      </c>
    </row>
    <row customHeight="1" ht="24">
      <c r="F50" s="1240" t="s">
        <v>736</v>
      </c>
      <c r="G50" s="1248" t="s">
        <v>1341</v>
      </c>
      <c r="H50" s="1246">
        <f>SUM(I50:J50)</f>
        <v>0</v>
      </c>
      <c r="I50" s="1245"/>
      <c r="J50" s="1235"/>
      <c r="K50" s="1244"/>
      <c r="W50" s="1165">
        <v>23</v>
      </c>
    </row>
    <row customHeight="1" ht="11.549999999999999">
      <c r="F51" s="1240" t="s">
        <v>739</v>
      </c>
      <c r="G51" s="1248" t="s">
        <v>1343</v>
      </c>
      <c r="H51" s="1246">
        <f>SUM(I51:J51)</f>
        <v>0</v>
      </c>
      <c r="I51" s="1245"/>
      <c r="J51" s="1235"/>
      <c r="K51" s="1244"/>
      <c r="W51" s="1165">
        <v>11</v>
      </c>
    </row>
    <row customHeight="1" ht="11.549999999999999">
      <c r="F52" s="1240" t="s">
        <v>1352</v>
      </c>
      <c r="G52" s="1248" t="s">
        <v>1345</v>
      </c>
      <c r="H52" s="1246">
        <f>SUM(I52:J52)</f>
        <v>0</v>
      </c>
      <c r="I52" s="1245"/>
      <c r="J52" s="1235"/>
      <c r="K52" s="1244"/>
      <c r="W52" s="1165">
        <v>11</v>
      </c>
    </row>
    <row customHeight="1" ht="35.699999999999996">
      <c r="F53" s="1240" t="s">
        <v>1353</v>
      </c>
      <c r="G53" s="1248" t="s">
        <v>1347</v>
      </c>
      <c r="H53" s="1246">
        <f>SUM(I53:J53)</f>
        <v>0</v>
      </c>
      <c r="I53" s="1245"/>
      <c r="J53" s="1235"/>
      <c r="K53" s="1244"/>
      <c r="W53" s="1165">
        <v>34</v>
      </c>
    </row>
    <row customHeight="1" ht="11.549999999999999">
      <c r="F54" s="1240" t="s">
        <v>329</v>
      </c>
      <c r="G54" s="1247" t="s">
        <v>1332</v>
      </c>
      <c r="H54" s="1246">
        <f>SUM(I54:J54)</f>
        <v>0</v>
      </c>
      <c r="I54" s="1246">
        <f>SUM(I55:I56)</f>
        <v>0</v>
      </c>
      <c r="J54" s="1235"/>
      <c r="K54" s="1244"/>
      <c r="W54" s="1165">
        <v>11</v>
      </c>
    </row>
    <row customHeight="1" ht="48.29999999999999">
      <c r="F55" s="1240" t="s">
        <v>743</v>
      </c>
      <c r="G55" s="1248" t="s">
        <v>1333</v>
      </c>
      <c r="H55" s="1246">
        <f>SUM(I55:J55)</f>
        <v>0</v>
      </c>
      <c r="I55" s="1245"/>
      <c r="J55" s="1235"/>
      <c r="K55" s="1244"/>
      <c r="W55" s="1165">
        <v>46</v>
      </c>
    </row>
    <row customHeight="1" ht="11.549999999999999">
      <c r="F56" s="1240" t="s">
        <v>745</v>
      </c>
      <c r="G56" s="1248" t="s">
        <v>1334</v>
      </c>
      <c r="H56" s="1246">
        <f>SUM(I56:J56)</f>
        <v>0</v>
      </c>
      <c r="I56" s="1245"/>
      <c r="J56" s="1235"/>
      <c r="K56" s="1244"/>
      <c r="W56" s="1165">
        <v>11</v>
      </c>
    </row>
    <row customHeight="1" ht="11.549999999999999">
      <c r="F57" s="1240" t="s">
        <v>332</v>
      </c>
      <c r="G57" s="1247" t="s">
        <v>1350</v>
      </c>
      <c r="H57" s="1246">
        <f>SUM(I57:J57)</f>
        <v>0</v>
      </c>
      <c r="I57" s="1245"/>
      <c r="J57" s="1235"/>
      <c r="K57" s="1244"/>
      <c r="W57" s="1165">
        <v>11</v>
      </c>
    </row>
    <row customHeight="1" ht="11.549999999999999">
      <c r="F58" s="1240"/>
      <c r="G58" s="1249" t="s">
        <v>1336</v>
      </c>
      <c r="H58" s="1246">
        <f>SUM(I58:J58)</f>
        <v>0</v>
      </c>
      <c r="I58" s="1246">
        <f>SUM(I38,I48)</f>
        <v>0</v>
      </c>
      <c r="J58" s="1235"/>
      <c r="K58" s="1244"/>
      <c r="W58" s="1165">
        <v>11</v>
      </c>
    </row>
    <row customHeight="1" ht="10.5" hidden="1">
      <c r="A59" s="1176" t="s">
        <v>82</v>
      </c>
      <c r="B59" s="1176">
        <v>0</v>
      </c>
      <c r="C59" s="1176">
        <v>0</v>
      </c>
      <c r="D59" s="1170">
        <v>0</v>
      </c>
      <c r="E59" s="519">
        <v>3</v>
      </c>
      <c r="F59" s="1165">
        <v>6</v>
      </c>
      <c r="G59" s="1165">
        <v>60</v>
      </c>
      <c r="H59" s="1165">
        <v>0</v>
      </c>
      <c r="I59" s="1165">
        <v>0</v>
      </c>
      <c r="J59" s="1165">
        <v>0</v>
      </c>
      <c r="K59" s="1165">
        <v>1</v>
      </c>
      <c r="L59" s="1165">
        <v>8</v>
      </c>
      <c r="M59" s="1165">
        <v>8</v>
      </c>
      <c r="N59" s="1165">
        <v>8</v>
      </c>
      <c r="O59" s="1165">
        <v>8</v>
      </c>
      <c r="P59" s="1165">
        <v>8</v>
      </c>
      <c r="Q59" s="1165">
        <v>8</v>
      </c>
      <c r="R59" s="1165">
        <v>8</v>
      </c>
      <c r="S59" s="1165">
        <v>8</v>
      </c>
      <c r="T59" s="1165">
        <v>8</v>
      </c>
      <c r="U59" s="1165">
        <v>8</v>
      </c>
      <c r="V59" s="1165">
        <v>8</v>
      </c>
      <c r="W59" s="1165">
        <v>10</v>
      </c>
    </row>
  </sheetData>
  <sheetProtection sheet="1" formatColumns="0" formatRows="0" autoFilter="0" sort="1" insertRows="1" insertColumns="1" deleteRows="1" deleteColumns="1"/>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EB25C1-0C89-08B3-A6B1-0.89DB24C6}"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73" width="4.7109375" hidden="1" customWidth="1"/>
    <col min="2" max="2" style="946" width="4.7109375" hidden="1" customWidth="1"/>
    <col min="3" max="4" style="1073" width="4.7109375" hidden="1" customWidth="1"/>
    <col min="5" max="5" style="1073" width="3.00390625" customWidth="1"/>
    <col min="6" max="6" style="1073" width="6.00390625" customWidth="1"/>
    <col min="7" max="7" style="1073" width="18.00390625" customWidth="1"/>
    <col min="8" max="8" style="1073" width="27.00390625" customWidth="1"/>
    <col min="9" max="9" style="1073" width="18.00390625" customWidth="1"/>
    <col min="10" max="14" style="1073" width="0.8515625" hidden="1" customWidth="1"/>
    <col min="15" max="28" style="1073" width="21.7109375" customWidth="1"/>
    <col min="29" max="71" style="1073" width="0.8515625" customWidth="1"/>
    <col min="72" max="79" style="1073" width="21.7109375" hidden="1" customWidth="1"/>
    <col min="80" max="81" style="1073" width="29.140625" hidden="1" customWidth="1"/>
    <col min="82" max="89" style="1073" width="21.7109375" hidden="1" customWidth="1"/>
    <col min="90" max="102" style="1073" width="0.7109375" hidden="1" customWidth="1"/>
    <col min="103" max="114" style="1073" width="21.7109375" hidden="1" customWidth="1"/>
    <col min="115" max="178" style="1073" width="0.7109375" hidden="1" customWidth="1"/>
    <col min="179" max="179" style="1073" width="0.140625" customWidth="1"/>
    <col min="180" max="184" style="1073" width="8.00390625" customWidth="1"/>
    <col min="185" max="185" style="1073" width="9.140625" hidden="1"/>
  </cols>
  <sheetData>
    <row s="935" customFormat="1" customHeight="1" ht="12" hidden="1">
      <c r="B1" s="933"/>
      <c r="C1" s="934"/>
      <c r="D1" s="934"/>
      <c r="GC1" s="932" t="s">
        <v>14</v>
      </c>
    </row>
    <row s="935" customFormat="1" customHeight="1" ht="12" hidden="1">
      <c r="B2" s="933"/>
      <c r="C2" s="934"/>
      <c r="D2" s="934"/>
      <c r="E2" s="934"/>
      <c r="F2" s="934"/>
      <c r="G2" s="934"/>
      <c r="H2" s="934"/>
      <c r="I2" s="934"/>
      <c r="J2" s="934"/>
      <c r="K2" s="934"/>
      <c r="L2" s="934"/>
      <c r="M2" s="934"/>
      <c r="N2" s="934"/>
      <c r="O2" s="934"/>
      <c r="P2" s="934"/>
      <c r="Q2" s="934"/>
      <c r="R2" s="934"/>
      <c r="S2" s="934"/>
      <c r="T2" s="934"/>
      <c r="U2" s="934"/>
      <c r="V2" s="934"/>
      <c r="W2" s="934"/>
      <c r="X2" s="934"/>
      <c r="Y2" s="934"/>
      <c r="Z2" s="934"/>
      <c r="AA2" s="934"/>
      <c r="AB2" s="935"/>
      <c r="AC2" s="934"/>
      <c r="AD2" s="934"/>
      <c r="AE2" s="934"/>
      <c r="AF2" s="934"/>
      <c r="AG2" s="934"/>
      <c r="AH2" s="934"/>
      <c r="AI2" s="934"/>
      <c r="AJ2" s="934"/>
      <c r="AK2" s="934"/>
      <c r="AL2" s="934"/>
      <c r="AM2" s="934"/>
      <c r="AN2" s="934"/>
      <c r="AO2" s="934"/>
      <c r="AP2" s="934"/>
      <c r="AQ2" s="934"/>
      <c r="AR2" s="934"/>
      <c r="AS2" s="934"/>
      <c r="AT2" s="934"/>
      <c r="AU2" s="934"/>
      <c r="AV2" s="934"/>
      <c r="AW2" s="934"/>
      <c r="AX2" s="934"/>
      <c r="AY2" s="934"/>
      <c r="AZ2" s="934"/>
      <c r="BA2" s="934"/>
      <c r="BB2" s="934"/>
      <c r="BC2" s="934"/>
      <c r="BD2" s="934"/>
      <c r="BE2" s="934"/>
      <c r="BF2" s="934"/>
      <c r="BG2" s="934"/>
      <c r="BH2" s="934"/>
      <c r="BI2" s="934"/>
      <c r="BJ2" s="934"/>
      <c r="BK2" s="934"/>
      <c r="BL2" s="934"/>
      <c r="BM2" s="934"/>
      <c r="BN2" s="934"/>
      <c r="BO2" s="934"/>
      <c r="BP2" s="934"/>
      <c r="BQ2" s="934"/>
      <c r="BR2" s="934"/>
      <c r="BS2" s="934"/>
      <c r="BT2" s="934"/>
      <c r="BU2" s="934"/>
      <c r="BV2" s="934"/>
      <c r="BW2" s="934"/>
      <c r="BX2" s="934"/>
      <c r="BY2" s="934"/>
      <c r="BZ2" s="934"/>
      <c r="CA2" s="934"/>
      <c r="CB2" s="934"/>
      <c r="CC2" s="934"/>
      <c r="CD2" s="934"/>
      <c r="CE2" s="934"/>
      <c r="CF2" s="934"/>
      <c r="CG2" s="934"/>
      <c r="CH2" s="934"/>
      <c r="CI2" s="934"/>
      <c r="CJ2" s="934"/>
      <c r="CK2" s="934"/>
      <c r="CL2" s="934"/>
      <c r="CM2" s="934"/>
      <c r="CN2" s="934"/>
      <c r="CO2" s="934"/>
      <c r="CP2" s="934"/>
      <c r="CQ2" s="934"/>
      <c r="CR2" s="934"/>
      <c r="CS2" s="934"/>
      <c r="CT2" s="934"/>
      <c r="CU2" s="934"/>
      <c r="CV2" s="934"/>
      <c r="CW2" s="934"/>
      <c r="CX2" s="934"/>
      <c r="CY2" s="934"/>
      <c r="CZ2" s="934"/>
      <c r="DA2" s="934"/>
      <c r="DB2" s="934"/>
      <c r="DC2" s="934"/>
      <c r="DD2" s="934"/>
      <c r="DE2" s="934"/>
      <c r="DF2" s="934"/>
      <c r="DG2" s="934"/>
      <c r="DH2" s="934"/>
      <c r="DI2" s="934"/>
      <c r="DJ2" s="934"/>
      <c r="DK2" s="934"/>
      <c r="DL2" s="934"/>
      <c r="DM2" s="934"/>
      <c r="DN2" s="934"/>
      <c r="DO2" s="934"/>
      <c r="DP2" s="934"/>
      <c r="DQ2" s="934"/>
      <c r="DR2" s="934"/>
      <c r="DS2" s="934"/>
      <c r="DT2" s="934"/>
      <c r="DU2" s="934"/>
      <c r="DV2" s="934"/>
      <c r="DW2" s="934"/>
      <c r="DX2" s="934"/>
      <c r="DY2" s="934"/>
      <c r="DZ2" s="934"/>
      <c r="EA2" s="934"/>
      <c r="EB2" s="934"/>
      <c r="EC2" s="934"/>
      <c r="ED2" s="934"/>
      <c r="EE2" s="934"/>
      <c r="EF2" s="934"/>
      <c r="EG2" s="934"/>
      <c r="EH2" s="934"/>
      <c r="EI2" s="934"/>
      <c r="EJ2" s="934"/>
      <c r="EK2" s="934"/>
      <c r="EL2" s="934"/>
      <c r="EM2" s="934"/>
      <c r="EN2" s="934"/>
      <c r="EO2" s="934"/>
      <c r="EP2" s="934"/>
      <c r="EQ2" s="934"/>
      <c r="ER2" s="934"/>
      <c r="ES2" s="934"/>
      <c r="ET2" s="934"/>
      <c r="EU2" s="934"/>
      <c r="EV2" s="934"/>
      <c r="EW2" s="934"/>
      <c r="EX2" s="934"/>
      <c r="EY2" s="934"/>
      <c r="EZ2" s="934"/>
      <c r="FA2" s="934"/>
      <c r="FB2" s="934"/>
      <c r="FC2" s="934"/>
      <c r="FD2" s="934"/>
      <c r="FE2" s="934"/>
      <c r="FF2" s="934"/>
      <c r="FG2" s="934"/>
      <c r="FH2" s="934"/>
      <c r="FI2" s="934"/>
      <c r="FJ2" s="934"/>
      <c r="FK2" s="934"/>
      <c r="FL2" s="934"/>
      <c r="FM2" s="934"/>
      <c r="FN2" s="934"/>
      <c r="FO2" s="934"/>
      <c r="FP2" s="934"/>
      <c r="FQ2" s="934"/>
      <c r="FR2" s="934"/>
      <c r="FS2" s="934"/>
      <c r="FT2" s="934"/>
      <c r="FU2" s="934"/>
      <c r="FV2" s="934"/>
      <c r="FW2" s="934"/>
      <c r="GC2" s="932">
        <v>0</v>
      </c>
    </row>
    <row s="935" customFormat="1" customHeight="1" ht="12" hidden="1">
      <c r="B3" s="933"/>
      <c r="C3" s="934"/>
      <c r="D3" s="934"/>
      <c r="E3" s="934"/>
      <c r="F3" s="934"/>
      <c r="G3" s="934"/>
      <c r="H3" s="934"/>
      <c r="I3" s="934"/>
      <c r="J3" s="934"/>
      <c r="K3" s="934"/>
      <c r="L3" s="934"/>
      <c r="M3" s="934"/>
      <c r="N3" s="934"/>
      <c r="O3" s="934"/>
      <c r="P3" s="934"/>
      <c r="Q3" s="934"/>
      <c r="R3" s="934"/>
      <c r="S3" s="934"/>
      <c r="T3" s="934"/>
      <c r="U3" s="934"/>
      <c r="V3" s="934"/>
      <c r="W3" s="934"/>
      <c r="X3" s="934"/>
      <c r="Y3" s="934"/>
      <c r="Z3" s="934"/>
      <c r="AA3" s="934"/>
      <c r="AB3" s="935"/>
      <c r="AC3" s="934"/>
      <c r="AD3" s="934"/>
      <c r="AE3" s="934"/>
      <c r="AF3" s="934"/>
      <c r="AG3" s="934"/>
      <c r="AH3" s="934"/>
      <c r="AI3" s="934"/>
      <c r="AJ3" s="934"/>
      <c r="AK3" s="934"/>
      <c r="AL3" s="934"/>
      <c r="AM3" s="934"/>
      <c r="AN3" s="934"/>
      <c r="AO3" s="934"/>
      <c r="AP3" s="934"/>
      <c r="AQ3" s="934"/>
      <c r="AR3" s="934"/>
      <c r="AS3" s="934"/>
      <c r="AT3" s="934"/>
      <c r="AU3" s="934"/>
      <c r="AV3" s="934"/>
      <c r="AW3" s="934"/>
      <c r="AX3" s="934"/>
      <c r="AY3" s="934"/>
      <c r="AZ3" s="934"/>
      <c r="BA3" s="934"/>
      <c r="BB3" s="934"/>
      <c r="BC3" s="934"/>
      <c r="BD3" s="934"/>
      <c r="BE3" s="934"/>
      <c r="BF3" s="934"/>
      <c r="BG3" s="934"/>
      <c r="BH3" s="934"/>
      <c r="BI3" s="934"/>
      <c r="BJ3" s="934"/>
      <c r="BK3" s="934"/>
      <c r="BL3" s="934"/>
      <c r="BM3" s="934"/>
      <c r="BN3" s="934"/>
      <c r="BO3" s="934"/>
      <c r="BP3" s="934"/>
      <c r="BQ3" s="934"/>
      <c r="BR3" s="934"/>
      <c r="BS3" s="934"/>
      <c r="BT3" s="934"/>
      <c r="BU3" s="934"/>
      <c r="BV3" s="934"/>
      <c r="BW3" s="934"/>
      <c r="BX3" s="934"/>
      <c r="BY3" s="934"/>
      <c r="BZ3" s="934"/>
      <c r="CA3" s="934"/>
      <c r="CB3" s="934"/>
      <c r="CC3" s="934"/>
      <c r="CD3" s="934"/>
      <c r="CE3" s="934"/>
      <c r="CF3" s="934"/>
      <c r="CG3" s="934"/>
      <c r="CH3" s="934"/>
      <c r="CI3" s="934"/>
      <c r="CJ3" s="934"/>
      <c r="CK3" s="934"/>
      <c r="CL3" s="934"/>
      <c r="CM3" s="934"/>
      <c r="CN3" s="934"/>
      <c r="CO3" s="934"/>
      <c r="CP3" s="934"/>
      <c r="CQ3" s="934"/>
      <c r="CR3" s="934"/>
      <c r="CS3" s="934"/>
      <c r="CT3" s="934"/>
      <c r="CU3" s="934"/>
      <c r="CV3" s="934"/>
      <c r="CW3" s="934"/>
      <c r="CX3" s="934"/>
      <c r="CY3" s="934"/>
      <c r="CZ3" s="934"/>
      <c r="DA3" s="934"/>
      <c r="DB3" s="934"/>
      <c r="DC3" s="934"/>
      <c r="DD3" s="934"/>
      <c r="DE3" s="934"/>
      <c r="DF3" s="934"/>
      <c r="DG3" s="934"/>
      <c r="DH3" s="934"/>
      <c r="DI3" s="934"/>
      <c r="DJ3" s="934"/>
      <c r="DK3" s="934"/>
      <c r="DL3" s="934"/>
      <c r="DM3" s="934"/>
      <c r="DN3" s="934"/>
      <c r="DO3" s="934"/>
      <c r="DP3" s="934"/>
      <c r="DQ3" s="934"/>
      <c r="DR3" s="934"/>
      <c r="DS3" s="934"/>
      <c r="DT3" s="934"/>
      <c r="DU3" s="934"/>
      <c r="DV3" s="934"/>
      <c r="DW3" s="934"/>
      <c r="DX3" s="934"/>
      <c r="DY3" s="934"/>
      <c r="DZ3" s="934"/>
      <c r="EA3" s="934"/>
      <c r="EB3" s="934"/>
      <c r="EC3" s="934"/>
      <c r="ED3" s="934"/>
      <c r="EE3" s="934"/>
      <c r="EF3" s="934"/>
      <c r="EG3" s="934"/>
      <c r="EH3" s="934"/>
      <c r="EI3" s="934"/>
      <c r="EJ3" s="934"/>
      <c r="EK3" s="934"/>
      <c r="EL3" s="934"/>
      <c r="EM3" s="934"/>
      <c r="EN3" s="934"/>
      <c r="EO3" s="934"/>
      <c r="EP3" s="934"/>
      <c r="EQ3" s="934"/>
      <c r="ER3" s="934"/>
      <c r="ES3" s="934"/>
      <c r="ET3" s="934"/>
      <c r="EU3" s="934"/>
      <c r="EV3" s="934"/>
      <c r="EW3" s="934"/>
      <c r="EX3" s="934"/>
      <c r="EY3" s="934"/>
      <c r="EZ3" s="934"/>
      <c r="FA3" s="934"/>
      <c r="FB3" s="934"/>
      <c r="FC3" s="934"/>
      <c r="FD3" s="934"/>
      <c r="FE3" s="934"/>
      <c r="FF3" s="934"/>
      <c r="FG3" s="934"/>
      <c r="FH3" s="934"/>
      <c r="FI3" s="934"/>
      <c r="FJ3" s="934"/>
      <c r="FK3" s="934"/>
      <c r="FL3" s="934"/>
      <c r="FM3" s="934"/>
      <c r="FN3" s="934"/>
      <c r="FO3" s="934"/>
      <c r="FP3" s="934"/>
      <c r="FQ3" s="934"/>
      <c r="FR3" s="934"/>
      <c r="FS3" s="934"/>
      <c r="FT3" s="934"/>
      <c r="FU3" s="934"/>
      <c r="FV3" s="934"/>
      <c r="FW3" s="934"/>
      <c r="GC3" s="932">
        <v>0</v>
      </c>
    </row>
    <row customHeight="1" ht="10.5">
      <c r="B4" s="937"/>
      <c r="C4" s="938"/>
      <c r="D4" s="938"/>
      <c r="E4" s="938"/>
      <c r="F4" s="938"/>
      <c r="G4" s="938"/>
      <c r="H4" s="939"/>
      <c r="I4" s="939"/>
      <c r="J4" s="939"/>
      <c r="K4" s="939"/>
      <c r="L4" s="939"/>
      <c r="M4" s="940"/>
      <c r="N4" s="940"/>
      <c r="O4" s="940"/>
      <c r="P4" s="940"/>
      <c r="Q4" s="940"/>
      <c r="R4" s="940"/>
      <c r="S4" s="940"/>
      <c r="T4" s="940"/>
      <c r="U4" s="940"/>
      <c r="V4" s="940"/>
      <c r="W4" s="940"/>
      <c r="X4" s="940"/>
      <c r="Y4" s="940"/>
      <c r="Z4" s="940"/>
      <c r="AA4" s="940"/>
      <c r="AB4" s="940"/>
      <c r="AC4" s="940"/>
      <c r="AD4" s="940"/>
      <c r="AE4" s="940"/>
      <c r="AF4" s="940"/>
      <c r="AG4" s="940"/>
      <c r="AH4" s="940"/>
      <c r="AI4" s="940"/>
      <c r="AJ4" s="940"/>
      <c r="AK4" s="940"/>
      <c r="AL4" s="940"/>
      <c r="AM4" s="940"/>
      <c r="AN4" s="940"/>
      <c r="AO4" s="940"/>
      <c r="AP4" s="940"/>
      <c r="AQ4" s="940"/>
      <c r="AR4" s="940"/>
      <c r="AS4" s="940"/>
      <c r="AT4" s="940"/>
      <c r="AU4" s="940"/>
      <c r="AV4" s="940"/>
      <c r="AW4" s="940"/>
      <c r="AX4" s="940"/>
      <c r="AY4" s="940"/>
      <c r="AZ4" s="940"/>
      <c r="BA4" s="940"/>
      <c r="BB4" s="940"/>
      <c r="BC4" s="940"/>
      <c r="BD4" s="940"/>
      <c r="BE4" s="940"/>
      <c r="BF4" s="940"/>
      <c r="BG4" s="940"/>
      <c r="BH4" s="940"/>
      <c r="BI4" s="940"/>
      <c r="BJ4" s="940"/>
      <c r="BK4" s="940"/>
      <c r="BL4" s="940"/>
      <c r="BM4" s="940"/>
      <c r="BN4" s="940"/>
      <c r="BO4" s="940"/>
      <c r="BP4" s="940"/>
      <c r="BQ4" s="940"/>
      <c r="BR4" s="940"/>
      <c r="BS4" s="940"/>
      <c r="BT4" s="940"/>
      <c r="BU4" s="940"/>
      <c r="BV4" s="940"/>
      <c r="BW4" s="940"/>
      <c r="BX4" s="940"/>
      <c r="BY4" s="940"/>
      <c r="BZ4" s="940"/>
      <c r="CA4" s="940"/>
      <c r="CB4" s="940"/>
      <c r="CC4" s="940"/>
      <c r="CD4" s="940"/>
      <c r="CE4" s="940"/>
      <c r="CF4" s="940"/>
      <c r="CG4" s="940"/>
      <c r="CH4" s="940"/>
      <c r="CI4" s="940"/>
      <c r="CJ4" s="940"/>
      <c r="CK4" s="940"/>
      <c r="CL4" s="940"/>
      <c r="CM4" s="940"/>
      <c r="CN4" s="940"/>
      <c r="CO4" s="940"/>
      <c r="CP4" s="940"/>
      <c r="CQ4" s="940"/>
      <c r="CR4" s="940"/>
      <c r="CS4" s="940"/>
      <c r="CT4" s="940"/>
      <c r="CU4" s="940"/>
      <c r="CV4" s="940"/>
      <c r="CW4" s="940"/>
      <c r="CX4" s="940"/>
      <c r="CY4" s="940"/>
      <c r="CZ4" s="940"/>
      <c r="DA4" s="940"/>
      <c r="DB4" s="940"/>
      <c r="DC4" s="940"/>
      <c r="DD4" s="940"/>
      <c r="DE4" s="940"/>
      <c r="DF4" s="940"/>
      <c r="DG4" s="940"/>
      <c r="DH4" s="940"/>
      <c r="DI4" s="940"/>
      <c r="DJ4" s="940"/>
      <c r="DK4" s="940"/>
      <c r="DL4" s="940"/>
      <c r="DM4" s="940"/>
      <c r="DN4" s="940"/>
      <c r="DO4" s="940"/>
      <c r="DP4" s="940"/>
      <c r="DQ4" s="940"/>
      <c r="DR4" s="940"/>
      <c r="DS4" s="940"/>
      <c r="DT4" s="940"/>
      <c r="DU4" s="940"/>
      <c r="DV4" s="940"/>
      <c r="DW4" s="940"/>
      <c r="DX4" s="940"/>
      <c r="DY4" s="940"/>
      <c r="DZ4" s="940"/>
      <c r="EA4" s="940"/>
      <c r="EB4" s="940"/>
      <c r="EC4" s="940"/>
      <c r="ED4" s="940"/>
      <c r="EE4" s="940"/>
      <c r="EF4" s="940"/>
      <c r="EG4" s="940"/>
      <c r="EH4" s="940"/>
      <c r="EI4" s="940"/>
      <c r="EJ4" s="940"/>
      <c r="EK4" s="940"/>
      <c r="EL4" s="940"/>
      <c r="EM4" s="940"/>
      <c r="EN4" s="940"/>
      <c r="EO4" s="940"/>
      <c r="EP4" s="940"/>
      <c r="EQ4" s="940"/>
      <c r="ER4" s="940"/>
      <c r="ES4" s="940"/>
      <c r="ET4" s="940"/>
      <c r="EU4" s="940"/>
      <c r="EV4" s="940"/>
      <c r="EW4" s="940"/>
      <c r="EX4" s="940"/>
      <c r="EY4" s="940"/>
      <c r="EZ4" s="940"/>
      <c r="FA4" s="940"/>
      <c r="FB4" s="940"/>
      <c r="FC4" s="940"/>
      <c r="FD4" s="940"/>
      <c r="FE4" s="940"/>
      <c r="FF4" s="940"/>
      <c r="FG4" s="940"/>
      <c r="FH4" s="940"/>
      <c r="FI4" s="940"/>
      <c r="FJ4" s="940"/>
      <c r="FK4" s="940"/>
      <c r="FL4" s="940"/>
      <c r="FM4" s="940"/>
      <c r="FN4" s="940"/>
      <c r="FO4" s="940"/>
      <c r="FP4" s="940"/>
      <c r="FQ4" s="940"/>
      <c r="FR4" s="940"/>
      <c r="FS4" s="940"/>
      <c r="FT4" s="940"/>
      <c r="FU4" s="940"/>
      <c r="FV4" s="940"/>
      <c r="FW4" s="940"/>
      <c r="GC4" s="936">
        <v>10</v>
      </c>
    </row>
    <row s="1883" customFormat="1" customHeight="1" ht="27.299999999999997">
      <c r="B5" s="1882"/>
      <c r="E5" s="1884"/>
      <c r="F5" s="2442"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9"/>
      <c r="H5" s="2179"/>
      <c r="I5" s="2179"/>
      <c r="J5" s="2179"/>
      <c r="K5" s="2179"/>
      <c r="L5" s="2179"/>
      <c r="M5" s="2179"/>
      <c r="N5" s="2179"/>
      <c r="O5" s="2179"/>
      <c r="P5" s="2179"/>
      <c r="Q5" s="2179"/>
      <c r="R5" s="2179"/>
      <c r="S5" s="2179"/>
      <c r="T5" s="2179"/>
      <c r="U5" s="2179"/>
      <c r="V5" s="2179"/>
      <c r="W5" s="2179"/>
      <c r="X5" s="2179"/>
      <c r="Y5" s="2179"/>
      <c r="Z5" s="2179"/>
      <c r="AA5" s="2179"/>
      <c r="AB5" s="2179"/>
      <c r="AC5" s="2179"/>
      <c r="AD5" s="2179"/>
      <c r="AE5" s="2179"/>
      <c r="AF5" s="2179"/>
      <c r="AG5" s="2179"/>
      <c r="AH5" s="2179"/>
      <c r="AI5" s="2179"/>
      <c r="AJ5" s="2179"/>
      <c r="AK5" s="2179"/>
      <c r="AL5" s="2179"/>
      <c r="AM5" s="2179"/>
      <c r="AN5" s="2179"/>
      <c r="AO5" s="2179"/>
      <c r="AP5" s="2179"/>
      <c r="AQ5" s="2179"/>
      <c r="AR5" s="2179"/>
      <c r="AS5" s="2179"/>
      <c r="AT5" s="2179"/>
      <c r="AU5" s="2179"/>
      <c r="AV5" s="2179"/>
      <c r="AW5" s="2179"/>
      <c r="AX5" s="2179"/>
      <c r="AY5" s="2179"/>
      <c r="AZ5" s="2179"/>
      <c r="BA5" s="2179"/>
      <c r="BB5" s="2179"/>
      <c r="BC5" s="2179"/>
      <c r="BD5" s="2179"/>
      <c r="BE5" s="2179"/>
      <c r="BF5" s="2179"/>
      <c r="BG5" s="2179"/>
      <c r="BH5" s="2179"/>
      <c r="BI5" s="2179"/>
      <c r="BJ5" s="2179"/>
      <c r="BK5" s="2179"/>
      <c r="BL5" s="2179"/>
      <c r="BM5" s="2179"/>
      <c r="BN5" s="2179"/>
      <c r="BO5" s="2179"/>
      <c r="BP5" s="2179"/>
      <c r="BQ5" s="2179"/>
      <c r="BR5" s="2179"/>
      <c r="BS5" s="2179"/>
      <c r="GC5" s="1883">
        <v>26</v>
      </c>
    </row>
    <row s="2148" customFormat="1" customHeight="1" ht="18.75">
      <c r="B6" s="953"/>
      <c r="E6" s="955"/>
      <c r="F6" s="2224" t="str">
        <f>IF(org=0,"Не определено",org)</f>
        <v>АО «ДГК» СП «Нерюнгринская ГРЭС»</v>
      </c>
      <c r="G6" s="2225"/>
      <c r="H6" s="2225"/>
      <c r="I6" s="2225"/>
      <c r="J6" s="2225"/>
      <c r="K6" s="2225"/>
      <c r="L6" s="2225"/>
      <c r="M6" s="2225"/>
      <c r="N6" s="2225"/>
      <c r="O6" s="2225"/>
      <c r="P6" s="2225"/>
      <c r="Q6" s="2225"/>
      <c r="R6" s="2225"/>
      <c r="S6" s="2225"/>
      <c r="T6" s="2225"/>
      <c r="U6" s="2225"/>
      <c r="V6" s="2225"/>
      <c r="W6" s="2225"/>
      <c r="X6" s="2225"/>
      <c r="Y6" s="2225"/>
      <c r="Z6" s="2225"/>
      <c r="AA6" s="2225"/>
      <c r="AB6" s="2225"/>
      <c r="AC6" s="2225"/>
      <c r="AD6" s="2225"/>
      <c r="AE6" s="2225"/>
      <c r="AF6" s="2225"/>
      <c r="AG6" s="2225"/>
      <c r="AH6" s="2225"/>
      <c r="AI6" s="2225"/>
      <c r="AJ6" s="2225"/>
      <c r="AK6" s="2225"/>
      <c r="AL6" s="2225"/>
      <c r="AM6" s="2225"/>
      <c r="AN6" s="2225"/>
      <c r="AO6" s="2225"/>
      <c r="AP6" s="2225"/>
      <c r="AQ6" s="2225"/>
      <c r="AR6" s="2225"/>
      <c r="AS6" s="2225"/>
      <c r="AT6" s="2225"/>
      <c r="AU6" s="2225"/>
      <c r="AV6" s="2225"/>
      <c r="AW6" s="2225"/>
      <c r="AX6" s="2225"/>
      <c r="AY6" s="2225"/>
      <c r="AZ6" s="2225"/>
      <c r="BA6" s="2225"/>
      <c r="BB6" s="2225"/>
      <c r="BC6" s="2225"/>
      <c r="BD6" s="2225"/>
      <c r="BE6" s="2225"/>
      <c r="BF6" s="2225"/>
      <c r="BG6" s="2225"/>
      <c r="BH6" s="2225"/>
      <c r="BI6" s="2225"/>
      <c r="BJ6" s="2225"/>
      <c r="BK6" s="2225"/>
      <c r="BL6" s="2225"/>
      <c r="BM6" s="2225"/>
      <c r="BN6" s="2225"/>
      <c r="BO6" s="2225"/>
      <c r="BP6" s="2225"/>
      <c r="BQ6" s="2225"/>
      <c r="BR6" s="2225"/>
      <c r="BS6" s="2225"/>
      <c r="GC6" s="954">
        <v>18</v>
      </c>
    </row>
    <row s="943" customFormat="1" customHeight="1" ht="10.5">
      <c r="B7" s="942"/>
      <c r="E7" s="943"/>
      <c r="F7" s="943"/>
      <c r="G7" s="945"/>
      <c r="H7" s="939"/>
      <c r="I7" s="939"/>
      <c r="J7" s="939"/>
      <c r="K7" s="939"/>
      <c r="L7" s="939"/>
      <c r="M7" s="943"/>
      <c r="N7" s="943"/>
      <c r="O7" s="943"/>
      <c r="P7" s="943"/>
      <c r="Q7" s="943"/>
      <c r="R7" s="943"/>
      <c r="S7" s="943"/>
      <c r="T7" s="943"/>
      <c r="U7" s="943"/>
      <c r="V7" s="943"/>
      <c r="W7" s="943"/>
      <c r="X7" s="943"/>
      <c r="Y7" s="943"/>
      <c r="Z7" s="943"/>
      <c r="AA7" s="943"/>
      <c r="AB7" s="943"/>
      <c r="AC7" s="943"/>
      <c r="AD7" s="943"/>
      <c r="AE7" s="943"/>
      <c r="AF7" s="943"/>
      <c r="AG7" s="943"/>
      <c r="AH7" s="943"/>
      <c r="AI7" s="943"/>
      <c r="AJ7" s="943"/>
      <c r="AK7" s="943"/>
      <c r="AL7" s="943"/>
      <c r="AM7" s="943"/>
      <c r="AN7" s="943"/>
      <c r="AO7" s="943"/>
      <c r="AP7" s="943"/>
      <c r="AQ7" s="943"/>
      <c r="AR7" s="943"/>
      <c r="AS7" s="943"/>
      <c r="AT7" s="943"/>
      <c r="AU7" s="943"/>
      <c r="AV7" s="943"/>
      <c r="AW7" s="943"/>
      <c r="AX7" s="943"/>
      <c r="AY7" s="943"/>
      <c r="AZ7" s="943"/>
      <c r="BA7" s="943"/>
      <c r="BB7" s="943"/>
      <c r="BC7" s="943"/>
      <c r="BD7" s="943"/>
      <c r="BE7" s="943"/>
      <c r="BF7" s="943"/>
      <c r="BG7" s="943"/>
      <c r="BH7" s="943"/>
      <c r="BI7" s="943"/>
      <c r="BJ7" s="943"/>
      <c r="BK7" s="943"/>
      <c r="BL7" s="943"/>
      <c r="BM7" s="943"/>
      <c r="BN7" s="943"/>
      <c r="BO7" s="943"/>
      <c r="BP7" s="943"/>
      <c r="BQ7" s="943"/>
      <c r="BR7" s="943"/>
      <c r="BS7" s="943"/>
      <c r="BT7" s="943"/>
      <c r="BU7" s="943"/>
      <c r="BV7" s="943"/>
      <c r="BW7" s="943"/>
      <c r="BX7" s="943"/>
      <c r="BY7" s="943"/>
      <c r="BZ7" s="943"/>
      <c r="CA7" s="943"/>
      <c r="CB7" s="943"/>
      <c r="CC7" s="943"/>
      <c r="CD7" s="943"/>
      <c r="CE7" s="943"/>
      <c r="CF7" s="943"/>
      <c r="CG7" s="943"/>
      <c r="CH7" s="943"/>
      <c r="CI7" s="943"/>
      <c r="CJ7" s="943"/>
      <c r="CK7" s="943"/>
      <c r="CL7" s="943"/>
      <c r="CM7" s="943"/>
      <c r="CN7" s="943"/>
      <c r="CO7" s="943"/>
      <c r="CP7" s="943"/>
      <c r="CQ7" s="943"/>
      <c r="CR7" s="943"/>
      <c r="CS7" s="943"/>
      <c r="CT7" s="943"/>
      <c r="CU7" s="943"/>
      <c r="CV7" s="943"/>
      <c r="CW7" s="943"/>
      <c r="CX7" s="943"/>
      <c r="CY7" s="943"/>
      <c r="CZ7" s="943"/>
      <c r="DA7" s="943"/>
      <c r="DB7" s="943"/>
      <c r="DC7" s="943"/>
      <c r="DD7" s="943"/>
      <c r="DE7" s="943"/>
      <c r="DF7" s="943"/>
      <c r="DG7" s="943"/>
      <c r="DH7" s="943"/>
      <c r="DI7" s="943"/>
      <c r="DJ7" s="943"/>
      <c r="DK7" s="943"/>
      <c r="DL7" s="943"/>
      <c r="DM7" s="943"/>
      <c r="DN7" s="943"/>
      <c r="DO7" s="943"/>
      <c r="DP7" s="943"/>
      <c r="DQ7" s="943"/>
      <c r="DR7" s="943"/>
      <c r="DS7" s="943"/>
      <c r="DT7" s="943"/>
      <c r="DU7" s="943"/>
      <c r="DV7" s="943"/>
      <c r="DW7" s="943"/>
      <c r="DX7" s="943"/>
      <c r="DY7" s="943"/>
      <c r="DZ7" s="943"/>
      <c r="EA7" s="943"/>
      <c r="EB7" s="943"/>
      <c r="EC7" s="943"/>
      <c r="ED7" s="943"/>
      <c r="EE7" s="943"/>
      <c r="EF7" s="943"/>
      <c r="EG7" s="943"/>
      <c r="EH7" s="943"/>
      <c r="EI7" s="943"/>
      <c r="EJ7" s="943"/>
      <c r="EK7" s="943"/>
      <c r="EL7" s="943"/>
      <c r="EM7" s="943"/>
      <c r="EN7" s="943"/>
      <c r="EO7" s="943"/>
      <c r="EP7" s="943"/>
      <c r="EQ7" s="943"/>
      <c r="ER7" s="943"/>
      <c r="ES7" s="943"/>
      <c r="ET7" s="943"/>
      <c r="EU7" s="943"/>
      <c r="EV7" s="943"/>
      <c r="EW7" s="943"/>
      <c r="EX7" s="943"/>
      <c r="EY7" s="943"/>
      <c r="EZ7" s="943"/>
      <c r="FA7" s="943"/>
      <c r="FB7" s="943"/>
      <c r="FC7" s="943"/>
      <c r="FD7" s="943"/>
      <c r="FE7" s="943"/>
      <c r="FF7" s="943"/>
      <c r="FG7" s="943"/>
      <c r="FH7" s="943"/>
      <c r="FI7" s="943"/>
      <c r="FJ7" s="943"/>
      <c r="FK7" s="943"/>
      <c r="FL7" s="943"/>
      <c r="FM7" s="943"/>
      <c r="FN7" s="943"/>
      <c r="FO7" s="943"/>
      <c r="FP7" s="943"/>
      <c r="FQ7" s="943"/>
      <c r="FR7" s="943"/>
      <c r="FS7" s="943"/>
      <c r="FT7" s="943"/>
      <c r="FU7" s="943"/>
      <c r="FV7" s="943"/>
      <c r="FW7" s="943"/>
      <c r="GC7" s="941">
        <v>10</v>
      </c>
    </row>
    <row s="943" customFormat="1" customHeight="1" ht="11.25" hidden="1">
      <c r="B8" s="944"/>
      <c r="F8" s="1066"/>
      <c r="G8" s="773"/>
      <c r="H8" s="370"/>
      <c r="I8" s="370"/>
      <c r="J8" s="370"/>
      <c r="K8" s="370"/>
      <c r="L8" s="370"/>
      <c r="M8" s="1066"/>
      <c r="N8" s="1066"/>
      <c r="O8" s="2460" t="s">
        <v>1354</v>
      </c>
      <c r="P8" s="2461"/>
      <c r="Q8" s="2461"/>
      <c r="R8" s="2461"/>
      <c r="S8" s="2461"/>
      <c r="T8" s="2461"/>
      <c r="U8" s="2461"/>
      <c r="V8" s="2461"/>
      <c r="W8" s="2461"/>
      <c r="X8" s="2461"/>
      <c r="Y8" s="2461"/>
      <c r="Z8" s="2461"/>
      <c r="AA8" s="2461"/>
      <c r="AB8" s="2461"/>
      <c r="AC8" s="2461"/>
      <c r="AD8" s="2461"/>
      <c r="AE8" s="2461"/>
      <c r="AF8" s="2461"/>
      <c r="AG8" s="2461"/>
      <c r="AH8" s="2461"/>
      <c r="AI8" s="2461"/>
      <c r="AJ8" s="2461"/>
      <c r="AK8" s="2461"/>
      <c r="AL8" s="2461"/>
      <c r="AM8" s="2461"/>
      <c r="AN8" s="2461"/>
      <c r="AO8" s="2461"/>
      <c r="AP8" s="2461"/>
      <c r="AQ8" s="2461"/>
      <c r="AR8" s="2461"/>
      <c r="AS8" s="2461"/>
      <c r="AT8" s="2461"/>
      <c r="AU8" s="2461"/>
      <c r="AV8" s="2461"/>
      <c r="AW8" s="2461"/>
      <c r="AX8" s="2461"/>
      <c r="AY8" s="2461"/>
      <c r="AZ8" s="2461"/>
      <c r="BA8" s="2461"/>
      <c r="BB8" s="2461"/>
      <c r="BC8" s="2461"/>
      <c r="BD8" s="2461"/>
      <c r="BE8" s="2461"/>
      <c r="BF8" s="2461"/>
      <c r="BG8" s="2461"/>
      <c r="BH8" s="2461"/>
      <c r="BI8" s="2461"/>
      <c r="BJ8" s="2461"/>
      <c r="BK8" s="2461"/>
      <c r="BL8" s="2461"/>
      <c r="BM8" s="2461"/>
      <c r="BN8" s="2461"/>
      <c r="BO8" s="2461"/>
      <c r="BP8" s="2461"/>
      <c r="BQ8" s="2461"/>
      <c r="BR8" s="2461"/>
      <c r="BS8" s="2462"/>
      <c r="BT8" s="2449"/>
      <c r="BU8" s="2450"/>
      <c r="BV8" s="2450"/>
      <c r="BW8" s="2450"/>
      <c r="BX8" s="2450"/>
      <c r="BY8" s="2450"/>
      <c r="BZ8" s="2450"/>
      <c r="CA8" s="2450"/>
      <c r="CB8" s="2450"/>
      <c r="CC8" s="2450"/>
      <c r="CD8" s="2450"/>
      <c r="CE8" s="2450"/>
      <c r="CF8" s="2450"/>
      <c r="CG8" s="2450"/>
      <c r="CH8" s="2450"/>
      <c r="CI8" s="2450"/>
      <c r="CJ8" s="2450"/>
      <c r="CK8" s="2450"/>
      <c r="CL8" s="2450"/>
      <c r="CM8" s="2450"/>
      <c r="CN8" s="2450"/>
      <c r="CO8" s="2450"/>
      <c r="CP8" s="2450"/>
      <c r="CQ8" s="2450"/>
      <c r="CR8" s="2450"/>
      <c r="CS8" s="2450"/>
      <c r="CT8" s="2450"/>
      <c r="CU8" s="2450"/>
      <c r="CV8" s="2450"/>
      <c r="CW8" s="2450"/>
      <c r="CX8" s="2451"/>
      <c r="CY8" s="2452"/>
      <c r="CZ8" s="2453"/>
      <c r="DA8" s="2453"/>
      <c r="DB8" s="2453"/>
      <c r="DC8" s="2453"/>
      <c r="DD8" s="2453"/>
      <c r="DE8" s="2453"/>
      <c r="DF8" s="2453"/>
      <c r="DG8" s="2453"/>
      <c r="DH8" s="2453"/>
      <c r="DI8" s="2453"/>
      <c r="DJ8" s="2453"/>
      <c r="DK8" s="2453"/>
      <c r="DL8" s="2453"/>
      <c r="DM8" s="2453"/>
      <c r="DN8" s="2453"/>
      <c r="DO8" s="2453"/>
      <c r="DP8" s="2453"/>
      <c r="DQ8" s="2453"/>
      <c r="DR8" s="2453"/>
      <c r="DS8" s="2453"/>
      <c r="DT8" s="2453"/>
      <c r="DU8" s="2453"/>
      <c r="DV8" s="2453"/>
      <c r="DW8" s="2453"/>
      <c r="DX8" s="2454"/>
      <c r="DY8" s="2455" t="s">
        <v>1355</v>
      </c>
      <c r="DZ8" s="2456"/>
      <c r="EA8" s="2456"/>
      <c r="EB8" s="2456"/>
      <c r="EC8" s="2456"/>
      <c r="ED8" s="2456"/>
      <c r="EE8" s="2456"/>
      <c r="EF8" s="2456"/>
      <c r="EG8" s="2456"/>
      <c r="EH8" s="2456"/>
      <c r="EI8" s="2456"/>
      <c r="EJ8" s="2456"/>
      <c r="EK8" s="2456"/>
      <c r="EL8" s="2456"/>
      <c r="EM8" s="2456"/>
      <c r="EN8" s="2456"/>
      <c r="EO8" s="2456"/>
      <c r="EP8" s="2456"/>
      <c r="EQ8" s="2456"/>
      <c r="ER8" s="2456"/>
      <c r="ES8" s="2456"/>
      <c r="ET8" s="2456"/>
      <c r="EU8" s="2456"/>
      <c r="EV8" s="2456"/>
      <c r="EW8" s="2456"/>
      <c r="EX8" s="2456"/>
      <c r="EY8" s="2456"/>
      <c r="EZ8" s="2456"/>
      <c r="FA8" s="2456"/>
      <c r="FB8" s="2456"/>
      <c r="FC8" s="2456"/>
      <c r="FD8" s="2456"/>
      <c r="FE8" s="2456"/>
      <c r="FF8" s="2456"/>
      <c r="FG8" s="2456"/>
      <c r="FH8" s="2456"/>
      <c r="FI8" s="2456"/>
      <c r="FJ8" s="2456"/>
      <c r="FK8" s="2456"/>
      <c r="FL8" s="2456"/>
      <c r="FM8" s="2456"/>
      <c r="FN8" s="2456"/>
      <c r="FO8" s="2456"/>
      <c r="FP8" s="2456"/>
      <c r="FQ8" s="2456"/>
      <c r="FR8" s="2456"/>
      <c r="FS8" s="2456"/>
      <c r="FT8" s="2456"/>
      <c r="FU8" s="2456"/>
      <c r="FV8" s="2456"/>
      <c r="FW8" s="2457"/>
      <c r="FX8" s="1066"/>
      <c r="GC8" s="943">
        <v>0</v>
      </c>
    </row>
    <row s="943" customFormat="1" customHeight="1" ht="11.25" hidden="1">
      <c r="B9" s="944"/>
      <c r="F9" s="1066"/>
      <c r="G9" s="773"/>
      <c r="H9" s="370"/>
      <c r="I9" s="370"/>
      <c r="J9" s="370"/>
      <c r="K9" s="370"/>
      <c r="L9" s="370"/>
      <c r="M9" s="1066"/>
      <c r="N9" s="1066"/>
      <c r="O9" s="1066"/>
      <c r="P9" s="1066"/>
      <c r="Q9" s="1066"/>
      <c r="R9" s="1066"/>
      <c r="S9" s="1066"/>
      <c r="T9" s="1066"/>
      <c r="U9" s="1066"/>
      <c r="V9" s="1066"/>
      <c r="W9" s="1066"/>
      <c r="X9" s="1066"/>
      <c r="Y9" s="1066"/>
      <c r="Z9" s="1066"/>
      <c r="AA9" s="1066"/>
      <c r="AB9" s="1066"/>
      <c r="AC9" s="1066"/>
      <c r="AD9" s="1066"/>
      <c r="AE9" s="1066"/>
      <c r="AF9" s="1066"/>
      <c r="AG9" s="1066"/>
      <c r="AH9" s="1066"/>
      <c r="AI9" s="1066"/>
      <c r="AJ9" s="1066"/>
      <c r="AK9" s="1066"/>
      <c r="AL9" s="1066"/>
      <c r="AM9" s="1066"/>
      <c r="AN9" s="1066"/>
      <c r="AO9" s="1066"/>
      <c r="AP9" s="1066"/>
      <c r="AQ9" s="1066"/>
      <c r="AR9" s="1066"/>
      <c r="AS9" s="1066"/>
      <c r="AT9" s="1066"/>
      <c r="AU9" s="1066"/>
      <c r="AV9" s="1066"/>
      <c r="AW9" s="1066"/>
      <c r="AX9" s="1066"/>
      <c r="AY9" s="1066"/>
      <c r="AZ9" s="1066"/>
      <c r="BA9" s="1066"/>
      <c r="BB9" s="1066"/>
      <c r="BC9" s="1066"/>
      <c r="BD9" s="1066"/>
      <c r="BE9" s="1066"/>
      <c r="BF9" s="1066"/>
      <c r="BG9" s="1066"/>
      <c r="BH9" s="1066"/>
      <c r="BI9" s="1066"/>
      <c r="BJ9" s="1066"/>
      <c r="BK9" s="1066"/>
      <c r="BL9" s="1066"/>
      <c r="BM9" s="1066"/>
      <c r="BN9" s="1066"/>
      <c r="BO9" s="1066"/>
      <c r="BP9" s="1066"/>
      <c r="BQ9" s="1066"/>
      <c r="BR9" s="1066"/>
      <c r="BS9" s="1066"/>
      <c r="BT9" s="1066"/>
      <c r="BU9" s="1066"/>
      <c r="BV9" s="1066"/>
      <c r="BW9" s="1066"/>
      <c r="BX9" s="1066"/>
      <c r="BY9" s="1066"/>
      <c r="BZ9" s="1066"/>
      <c r="CA9" s="1066"/>
      <c r="CB9" s="1066"/>
      <c r="CC9" s="1066"/>
      <c r="CD9" s="1066"/>
      <c r="CE9" s="1066"/>
      <c r="CF9" s="1066"/>
      <c r="CG9" s="1066"/>
      <c r="CH9" s="1066"/>
      <c r="CI9" s="1066"/>
      <c r="CJ9" s="1066"/>
      <c r="CK9" s="1066"/>
      <c r="CL9" s="1066"/>
      <c r="CM9" s="1066"/>
      <c r="CN9" s="1066"/>
      <c r="CO9" s="1066"/>
      <c r="CP9" s="1066"/>
      <c r="CQ9" s="1066"/>
      <c r="CR9" s="1066"/>
      <c r="CS9" s="1066"/>
      <c r="CT9" s="1066"/>
      <c r="CU9" s="1066"/>
      <c r="CV9" s="1066"/>
      <c r="CW9" s="1066"/>
      <c r="CX9" s="1066"/>
      <c r="CY9" s="1066"/>
      <c r="CZ9" s="1066"/>
      <c r="DA9" s="1066"/>
      <c r="DB9" s="1066"/>
      <c r="DC9" s="1066"/>
      <c r="DD9" s="1066"/>
      <c r="DE9" s="1066"/>
      <c r="DF9" s="1066"/>
      <c r="DG9" s="1066"/>
      <c r="DH9" s="1066"/>
      <c r="DI9" s="1066"/>
      <c r="DJ9" s="1066"/>
      <c r="DK9" s="1066"/>
      <c r="DL9" s="1066"/>
      <c r="DM9" s="1066"/>
      <c r="DN9" s="1066"/>
      <c r="DO9" s="1066"/>
      <c r="DP9" s="1066"/>
      <c r="DQ9" s="1066"/>
      <c r="DR9" s="1066"/>
      <c r="DS9" s="1066"/>
      <c r="DT9" s="1066"/>
      <c r="DU9" s="1066"/>
      <c r="DV9" s="1066"/>
      <c r="DW9" s="1066"/>
      <c r="DX9" s="1066"/>
      <c r="DY9" s="1066"/>
      <c r="DZ9" s="1066"/>
      <c r="EA9" s="1066"/>
      <c r="EB9" s="1066"/>
      <c r="EC9" s="1066"/>
      <c r="ED9" s="1066"/>
      <c r="EE9" s="1066"/>
      <c r="EF9" s="1066"/>
      <c r="EG9" s="1066"/>
      <c r="EH9" s="1066"/>
      <c r="EI9" s="1066"/>
      <c r="EJ9" s="1066"/>
      <c r="EK9" s="1066"/>
      <c r="EL9" s="1066"/>
      <c r="EM9" s="1066"/>
      <c r="EN9" s="1066"/>
      <c r="EO9" s="1066"/>
      <c r="EP9" s="1066"/>
      <c r="EQ9" s="1066"/>
      <c r="ER9" s="1066"/>
      <c r="ES9" s="1066"/>
      <c r="ET9" s="1066"/>
      <c r="EU9" s="1066"/>
      <c r="EV9" s="1066"/>
      <c r="EW9" s="1066"/>
      <c r="EX9" s="1066"/>
      <c r="EY9" s="1066"/>
      <c r="EZ9" s="1066"/>
      <c r="FA9" s="1066"/>
      <c r="FB9" s="1066"/>
      <c r="FC9" s="1066"/>
      <c r="FD9" s="1066"/>
      <c r="FE9" s="1066"/>
      <c r="FF9" s="1066"/>
      <c r="FG9" s="1066"/>
      <c r="FH9" s="1066"/>
      <c r="FI9" s="1066"/>
      <c r="FJ9" s="1066"/>
      <c r="FK9" s="1066"/>
      <c r="FL9" s="1066"/>
      <c r="FM9" s="1066"/>
      <c r="FN9" s="1066"/>
      <c r="FO9" s="1066"/>
      <c r="FP9" s="1066"/>
      <c r="FQ9" s="1066"/>
      <c r="FR9" s="1066"/>
      <c r="FS9" s="1066"/>
      <c r="FT9" s="1066"/>
      <c r="FU9" s="1066"/>
      <c r="FV9" s="1066"/>
      <c r="FW9" s="2458"/>
      <c r="FX9" s="1066"/>
      <c r="GC9" s="943">
        <v>0</v>
      </c>
    </row>
    <row s="943" customFormat="1" customHeight="1" ht="11.549999999999999">
      <c r="B10" s="944"/>
      <c r="F10" s="2439" t="s">
        <v>322</v>
      </c>
      <c r="G10" s="2440"/>
      <c r="H10" s="2440"/>
      <c r="I10" s="2440"/>
      <c r="J10" s="2440"/>
      <c r="K10" s="2440"/>
      <c r="L10" s="2440"/>
      <c r="M10" s="2440"/>
      <c r="N10" s="2440"/>
      <c r="O10" s="2440"/>
      <c r="P10" s="2440"/>
      <c r="Q10" s="2440"/>
      <c r="R10" s="2440"/>
      <c r="S10" s="2440"/>
      <c r="T10" s="2440"/>
      <c r="U10" s="2440"/>
      <c r="V10" s="2440"/>
      <c r="W10" s="2440"/>
      <c r="X10" s="2440"/>
      <c r="Y10" s="2440"/>
      <c r="Z10" s="2440"/>
      <c r="AA10" s="2440"/>
      <c r="AB10" s="2440"/>
      <c r="AC10" s="2440"/>
      <c r="AD10" s="2440"/>
      <c r="AE10" s="2440"/>
      <c r="AF10" s="2440"/>
      <c r="AG10" s="2440"/>
      <c r="AH10" s="2440"/>
      <c r="AI10" s="2440"/>
      <c r="AJ10" s="2440"/>
      <c r="AK10" s="2440"/>
      <c r="AL10" s="2440"/>
      <c r="AM10" s="2440"/>
      <c r="AN10" s="2440"/>
      <c r="AO10" s="2440"/>
      <c r="AP10" s="2440"/>
      <c r="AQ10" s="2440"/>
      <c r="AR10" s="2440"/>
      <c r="AS10" s="2440"/>
      <c r="AT10" s="2440"/>
      <c r="AU10" s="2440"/>
      <c r="AV10" s="2440"/>
      <c r="AW10" s="2440"/>
      <c r="AX10" s="2440"/>
      <c r="AY10" s="2440"/>
      <c r="AZ10" s="2440"/>
      <c r="BA10" s="2440"/>
      <c r="BB10" s="2440"/>
      <c r="BC10" s="2440"/>
      <c r="BD10" s="2440"/>
      <c r="BE10" s="2440"/>
      <c r="BF10" s="2440"/>
      <c r="BG10" s="2440"/>
      <c r="BH10" s="2440"/>
      <c r="BI10" s="2440"/>
      <c r="BJ10" s="2440"/>
      <c r="BK10" s="2440"/>
      <c r="BL10" s="2440"/>
      <c r="BM10" s="2440"/>
      <c r="BN10" s="2440"/>
      <c r="BO10" s="2440"/>
      <c r="BP10" s="2440"/>
      <c r="BQ10" s="2440"/>
      <c r="BR10" s="2440"/>
      <c r="BS10" s="2440"/>
      <c r="BT10" s="2440"/>
      <c r="BU10" s="2440"/>
      <c r="BV10" s="2440"/>
      <c r="BW10" s="2440"/>
      <c r="BX10" s="2440"/>
      <c r="BY10" s="2440"/>
      <c r="BZ10" s="2440"/>
      <c r="CA10" s="2440"/>
      <c r="CB10" s="2440"/>
      <c r="CC10" s="2440"/>
      <c r="CD10" s="2440"/>
      <c r="CE10" s="2440"/>
      <c r="CF10" s="2440"/>
      <c r="CG10" s="2440"/>
      <c r="CH10" s="2440"/>
      <c r="CI10" s="2440"/>
      <c r="CJ10" s="2440"/>
      <c r="CK10" s="2440"/>
      <c r="CL10" s="2440"/>
      <c r="CM10" s="2440"/>
      <c r="CN10" s="2440"/>
      <c r="CO10" s="2440"/>
      <c r="CP10" s="2440"/>
      <c r="CQ10" s="2440"/>
      <c r="CR10" s="2440"/>
      <c r="CS10" s="2440"/>
      <c r="CT10" s="2440"/>
      <c r="CU10" s="2440"/>
      <c r="CV10" s="2440"/>
      <c r="CW10" s="2440"/>
      <c r="CX10" s="2440"/>
      <c r="CY10" s="2440"/>
      <c r="CZ10" s="2440"/>
      <c r="DA10" s="2440"/>
      <c r="DB10" s="2440"/>
      <c r="DC10" s="2440"/>
      <c r="DD10" s="2440"/>
      <c r="DE10" s="2440"/>
      <c r="DF10" s="2440"/>
      <c r="DG10" s="2440"/>
      <c r="DH10" s="2440"/>
      <c r="DI10" s="2440"/>
      <c r="DJ10" s="2440"/>
      <c r="DK10" s="2440"/>
      <c r="DL10" s="2440"/>
      <c r="DM10" s="2440"/>
      <c r="DN10" s="2440"/>
      <c r="DO10" s="2440"/>
      <c r="DP10" s="2440"/>
      <c r="DQ10" s="2440"/>
      <c r="DR10" s="2440"/>
      <c r="DS10" s="2440"/>
      <c r="DT10" s="2440"/>
      <c r="DU10" s="2440"/>
      <c r="DV10" s="2440"/>
      <c r="DW10" s="2440"/>
      <c r="DX10" s="2440"/>
      <c r="DY10" s="2440"/>
      <c r="DZ10" s="2440"/>
      <c r="EA10" s="2440"/>
      <c r="EB10" s="2440"/>
      <c r="EC10" s="2440"/>
      <c r="ED10" s="2440"/>
      <c r="EE10" s="2440"/>
      <c r="EF10" s="2440"/>
      <c r="EG10" s="2440"/>
      <c r="EH10" s="2440"/>
      <c r="EI10" s="2440"/>
      <c r="EJ10" s="2440"/>
      <c r="EK10" s="2440"/>
      <c r="EL10" s="2440"/>
      <c r="EM10" s="2440"/>
      <c r="EN10" s="2440"/>
      <c r="EO10" s="2440"/>
      <c r="EP10" s="2440"/>
      <c r="EQ10" s="2440"/>
      <c r="ER10" s="2440"/>
      <c r="ES10" s="2440"/>
      <c r="ET10" s="2440"/>
      <c r="EU10" s="2440"/>
      <c r="EV10" s="2440"/>
      <c r="EW10" s="2440"/>
      <c r="EX10" s="2440"/>
      <c r="EY10" s="2440"/>
      <c r="EZ10" s="2440"/>
      <c r="FA10" s="2440"/>
      <c r="FB10" s="2440"/>
      <c r="FC10" s="2440"/>
      <c r="FD10" s="2440"/>
      <c r="FE10" s="2440"/>
      <c r="FF10" s="2440"/>
      <c r="FG10" s="2440"/>
      <c r="FH10" s="2440"/>
      <c r="FI10" s="2440"/>
      <c r="FJ10" s="2440"/>
      <c r="FK10" s="2440"/>
      <c r="FL10" s="2440"/>
      <c r="FM10" s="2440"/>
      <c r="FN10" s="2440"/>
      <c r="FO10" s="2440"/>
      <c r="FP10" s="2440"/>
      <c r="FQ10" s="2440"/>
      <c r="FR10" s="2440"/>
      <c r="FS10" s="2440"/>
      <c r="FT10" s="2440"/>
      <c r="FU10" s="2440"/>
      <c r="FV10" s="2441"/>
      <c r="FW10" s="2458"/>
      <c r="FX10" s="1066"/>
      <c r="GC10" s="943">
        <v>11</v>
      </c>
    </row>
    <row customHeight="1" ht="12.75">
      <c r="E11" s="947"/>
      <c r="F11" s="2215" t="s">
        <v>88</v>
      </c>
      <c r="G11" s="2215" t="s">
        <v>1356</v>
      </c>
      <c r="H11" s="2447" t="s">
        <v>1357</v>
      </c>
      <c r="I11" s="2447" t="s">
        <v>1358</v>
      </c>
      <c r="J11" s="2448"/>
      <c r="K11" s="2448"/>
      <c r="L11" s="2448"/>
      <c r="M11" s="2448"/>
      <c r="N11" s="2448"/>
      <c r="O11" s="2219" t="s">
        <v>1359</v>
      </c>
      <c r="P11" s="2219"/>
      <c r="Q11" s="2219"/>
      <c r="R11" s="2219"/>
      <c r="S11" s="2219"/>
      <c r="T11" s="2219"/>
      <c r="U11" s="2219"/>
      <c r="V11" s="2219"/>
      <c r="W11" s="2219"/>
      <c r="X11" s="2219"/>
      <c r="Y11" s="2219"/>
      <c r="Z11" s="2219"/>
      <c r="AA11" s="2219"/>
      <c r="AB11" s="2219"/>
      <c r="AC11" s="2444"/>
      <c r="AD11" s="2444"/>
      <c r="AE11" s="2444"/>
      <c r="AF11" s="2444"/>
      <c r="AG11" s="2444"/>
      <c r="AH11" s="2444"/>
      <c r="AI11" s="2444"/>
      <c r="AJ11" s="2444"/>
      <c r="AK11" s="2444"/>
      <c r="AL11" s="2444"/>
      <c r="AM11" s="2444"/>
      <c r="AN11" s="2444"/>
      <c r="AO11" s="2444"/>
      <c r="AP11" s="2444"/>
      <c r="AQ11" s="2444"/>
      <c r="AR11" s="2444"/>
      <c r="AS11" s="2444"/>
      <c r="AT11" s="2444"/>
      <c r="AU11" s="2444"/>
      <c r="AV11" s="2444"/>
      <c r="AW11" s="2444"/>
      <c r="AX11" s="2444"/>
      <c r="AY11" s="2444"/>
      <c r="AZ11" s="2444"/>
      <c r="BA11" s="2444"/>
      <c r="BB11" s="2444"/>
      <c r="BC11" s="2444"/>
      <c r="BD11" s="2444"/>
      <c r="BE11" s="2444"/>
      <c r="BF11" s="2444"/>
      <c r="BG11" s="2444"/>
      <c r="BH11" s="2444"/>
      <c r="BI11" s="2444"/>
      <c r="BJ11" s="2444"/>
      <c r="BK11" s="2444"/>
      <c r="BL11" s="2444"/>
      <c r="BM11" s="2444"/>
      <c r="BN11" s="2444"/>
      <c r="BO11" s="2444"/>
      <c r="BP11" s="2444"/>
      <c r="BQ11" s="2444"/>
      <c r="BR11" s="2444"/>
      <c r="BS11" s="2463"/>
      <c r="BT11" s="2396" t="s">
        <v>1359</v>
      </c>
      <c r="BU11" s="2397"/>
      <c r="BV11" s="2397"/>
      <c r="BW11" s="2397"/>
      <c r="BX11" s="2397"/>
      <c r="BY11" s="2397"/>
      <c r="BZ11" s="2397"/>
      <c r="CA11" s="2397"/>
      <c r="CB11" s="2397"/>
      <c r="CC11" s="2397"/>
      <c r="CD11" s="2397"/>
      <c r="CE11" s="2397"/>
      <c r="CF11" s="2397"/>
      <c r="CG11" s="2397"/>
      <c r="CH11" s="2397"/>
      <c r="CI11" s="2397"/>
      <c r="CJ11" s="2397"/>
      <c r="CK11" s="2443"/>
      <c r="CL11" s="2446"/>
      <c r="CM11" s="2444"/>
      <c r="CN11" s="2444"/>
      <c r="CO11" s="2444"/>
      <c r="CP11" s="2444"/>
      <c r="CQ11" s="2444"/>
      <c r="CR11" s="2444"/>
      <c r="CS11" s="2444"/>
      <c r="CT11" s="2444"/>
      <c r="CU11" s="2444"/>
      <c r="CV11" s="2444"/>
      <c r="CW11" s="2444"/>
      <c r="CX11" s="2463"/>
      <c r="CY11" s="2396" t="s">
        <v>1359</v>
      </c>
      <c r="CZ11" s="2397"/>
      <c r="DA11" s="2397"/>
      <c r="DB11" s="2397"/>
      <c r="DC11" s="2397"/>
      <c r="DD11" s="2397"/>
      <c r="DE11" s="2397"/>
      <c r="DF11" s="2397"/>
      <c r="DG11" s="2397"/>
      <c r="DH11" s="2397"/>
      <c r="DI11" s="2397"/>
      <c r="DJ11" s="2443"/>
      <c r="DK11" s="2446"/>
      <c r="DL11" s="2444"/>
      <c r="DM11" s="2444"/>
      <c r="DN11" s="2444"/>
      <c r="DO11" s="2444"/>
      <c r="DP11" s="2444"/>
      <c r="DQ11" s="2444"/>
      <c r="DR11" s="2444"/>
      <c r="DS11" s="2444"/>
      <c r="DT11" s="2444"/>
      <c r="DU11" s="2444"/>
      <c r="DV11" s="2444"/>
      <c r="DW11" s="2444"/>
      <c r="DX11" s="2444"/>
      <c r="DY11" s="2444"/>
      <c r="DZ11" s="2444"/>
      <c r="EA11" s="2444"/>
      <c r="EB11" s="2444"/>
      <c r="EC11" s="2444"/>
      <c r="ED11" s="2444"/>
      <c r="EE11" s="2444"/>
      <c r="EF11" s="2444"/>
      <c r="EG11" s="2444"/>
      <c r="EH11" s="2444"/>
      <c r="EI11" s="2444"/>
      <c r="EJ11" s="2444"/>
      <c r="EK11" s="2444"/>
      <c r="EL11" s="2444"/>
      <c r="EM11" s="2444"/>
      <c r="EN11" s="2444"/>
      <c r="EO11" s="2444"/>
      <c r="EP11" s="2444"/>
      <c r="EQ11" s="2444"/>
      <c r="ER11" s="2444"/>
      <c r="ES11" s="2444"/>
      <c r="ET11" s="2444"/>
      <c r="EU11" s="2444"/>
      <c r="EV11" s="2444"/>
      <c r="EW11" s="2444"/>
      <c r="EX11" s="2444"/>
      <c r="EY11" s="2444"/>
      <c r="EZ11" s="2444"/>
      <c r="FA11" s="2444"/>
      <c r="FB11" s="2444"/>
      <c r="FC11" s="2444"/>
      <c r="FD11" s="2444"/>
      <c r="FE11" s="2444"/>
      <c r="FF11" s="2444"/>
      <c r="FG11" s="2444"/>
      <c r="FH11" s="2444"/>
      <c r="FI11" s="2444"/>
      <c r="FJ11" s="2444"/>
      <c r="FK11" s="2444"/>
      <c r="FL11" s="2444"/>
      <c r="FM11" s="2444"/>
      <c r="FN11" s="2444"/>
      <c r="FO11" s="2444"/>
      <c r="FP11" s="2444"/>
      <c r="FQ11" s="2444"/>
      <c r="FR11" s="2444"/>
      <c r="FS11" s="2444"/>
      <c r="FT11" s="2444"/>
      <c r="FU11" s="2444"/>
      <c r="FV11" s="2444"/>
      <c r="FW11" s="2458"/>
      <c r="FX11" s="772"/>
      <c r="GC11" s="936">
        <v>12</v>
      </c>
    </row>
    <row customHeight="1" ht="12.75">
      <c r="D12" s="948"/>
      <c r="E12" s="947"/>
      <c r="F12" s="2215"/>
      <c r="G12" s="2215"/>
      <c r="H12" s="2447"/>
      <c r="I12" s="2447"/>
      <c r="J12" s="2448"/>
      <c r="K12" s="2448"/>
      <c r="L12" s="2448"/>
      <c r="M12" s="2448"/>
      <c r="N12" s="2448"/>
      <c r="O12" s="2219" t="s">
        <v>1360</v>
      </c>
      <c r="P12" s="2219"/>
      <c r="Q12" s="2219"/>
      <c r="R12" s="2219"/>
      <c r="S12" s="2219" t="s">
        <v>1361</v>
      </c>
      <c r="T12" s="2219"/>
      <c r="U12" s="2219"/>
      <c r="V12" s="2219"/>
      <c r="W12" s="2219"/>
      <c r="X12" s="2219"/>
      <c r="Y12" s="2219"/>
      <c r="Z12" s="2219"/>
      <c r="AA12" s="2219"/>
      <c r="AB12" s="2219"/>
      <c r="AC12" s="2444"/>
      <c r="AD12" s="2444"/>
      <c r="AE12" s="2444"/>
      <c r="AF12" s="2444"/>
      <c r="AG12" s="2444"/>
      <c r="AH12" s="2444"/>
      <c r="AI12" s="2444"/>
      <c r="AJ12" s="2444"/>
      <c r="AK12" s="2444"/>
      <c r="AL12" s="2444"/>
      <c r="AM12" s="2444"/>
      <c r="AN12" s="2444"/>
      <c r="AO12" s="2444"/>
      <c r="AP12" s="2444"/>
      <c r="AQ12" s="2444"/>
      <c r="AR12" s="2444"/>
      <c r="AS12" s="2444"/>
      <c r="AT12" s="2444"/>
      <c r="AU12" s="2444"/>
      <c r="AV12" s="2444"/>
      <c r="AW12" s="2444"/>
      <c r="AX12" s="2444"/>
      <c r="AY12" s="2444"/>
      <c r="AZ12" s="2444"/>
      <c r="BA12" s="2444"/>
      <c r="BB12" s="2444"/>
      <c r="BC12" s="2444"/>
      <c r="BD12" s="2444"/>
      <c r="BE12" s="2444"/>
      <c r="BF12" s="2444"/>
      <c r="BG12" s="2444"/>
      <c r="BH12" s="2444"/>
      <c r="BI12" s="2444"/>
      <c r="BJ12" s="2444"/>
      <c r="BK12" s="2444"/>
      <c r="BL12" s="2444"/>
      <c r="BM12" s="2444"/>
      <c r="BN12" s="2444"/>
      <c r="BO12" s="2444"/>
      <c r="BP12" s="2444"/>
      <c r="BQ12" s="2444"/>
      <c r="BR12" s="2444"/>
      <c r="BS12" s="2463"/>
      <c r="BT12" s="2396" t="s">
        <v>1362</v>
      </c>
      <c r="BU12" s="2397"/>
      <c r="BV12" s="2397"/>
      <c r="BW12" s="2443"/>
      <c r="BX12" s="2396" t="s">
        <v>1363</v>
      </c>
      <c r="BY12" s="2397"/>
      <c r="BZ12" s="2397"/>
      <c r="CA12" s="2443"/>
      <c r="CB12" s="2396" t="s">
        <v>1364</v>
      </c>
      <c r="CC12" s="2443"/>
      <c r="CD12" s="2396" t="s">
        <v>1365</v>
      </c>
      <c r="CE12" s="2397"/>
      <c r="CF12" s="2397"/>
      <c r="CG12" s="2397"/>
      <c r="CH12" s="2397"/>
      <c r="CI12" s="2397"/>
      <c r="CJ12" s="2397"/>
      <c r="CK12" s="2443"/>
      <c r="CL12" s="2446"/>
      <c r="CM12" s="2444"/>
      <c r="CN12" s="2444"/>
      <c r="CO12" s="2444"/>
      <c r="CP12" s="2444"/>
      <c r="CQ12" s="2444"/>
      <c r="CR12" s="2444"/>
      <c r="CS12" s="2444"/>
      <c r="CT12" s="2444"/>
      <c r="CU12" s="2444"/>
      <c r="CV12" s="2444"/>
      <c r="CW12" s="2444"/>
      <c r="CX12" s="2463"/>
      <c r="CY12" s="2396" t="s">
        <v>1366</v>
      </c>
      <c r="CZ12" s="2397"/>
      <c r="DA12" s="2397"/>
      <c r="DB12" s="2397"/>
      <c r="DC12" s="2397"/>
      <c r="DD12" s="2443"/>
      <c r="DE12" s="2396" t="s">
        <v>1367</v>
      </c>
      <c r="DF12" s="2443"/>
      <c r="DG12" s="2396" t="s">
        <v>1365</v>
      </c>
      <c r="DH12" s="2397"/>
      <c r="DI12" s="2397"/>
      <c r="DJ12" s="2443"/>
      <c r="DK12" s="2446"/>
      <c r="DL12" s="2444"/>
      <c r="DM12" s="2444"/>
      <c r="DN12" s="2444"/>
      <c r="DO12" s="2444"/>
      <c r="DP12" s="2444"/>
      <c r="DQ12" s="2444"/>
      <c r="DR12" s="2444"/>
      <c r="DS12" s="2444"/>
      <c r="DT12" s="2444"/>
      <c r="DU12" s="2444"/>
      <c r="DV12" s="2444"/>
      <c r="DW12" s="2444"/>
      <c r="DX12" s="2444"/>
      <c r="DY12" s="2444"/>
      <c r="DZ12" s="2444"/>
      <c r="EA12" s="2444"/>
      <c r="EB12" s="2444"/>
      <c r="EC12" s="2444"/>
      <c r="ED12" s="2444"/>
      <c r="EE12" s="2444"/>
      <c r="EF12" s="2444"/>
      <c r="EG12" s="2444"/>
      <c r="EH12" s="2444"/>
      <c r="EI12" s="2444"/>
      <c r="EJ12" s="2444"/>
      <c r="EK12" s="2444"/>
      <c r="EL12" s="2444"/>
      <c r="EM12" s="2444"/>
      <c r="EN12" s="2444"/>
      <c r="EO12" s="2444"/>
      <c r="EP12" s="2444"/>
      <c r="EQ12" s="2444"/>
      <c r="ER12" s="2444"/>
      <c r="ES12" s="2444"/>
      <c r="ET12" s="2444"/>
      <c r="EU12" s="2444"/>
      <c r="EV12" s="2444"/>
      <c r="EW12" s="2444"/>
      <c r="EX12" s="2444"/>
      <c r="EY12" s="2444"/>
      <c r="EZ12" s="2444"/>
      <c r="FA12" s="2444"/>
      <c r="FB12" s="2444"/>
      <c r="FC12" s="2444"/>
      <c r="FD12" s="2444"/>
      <c r="FE12" s="2444"/>
      <c r="FF12" s="2444"/>
      <c r="FG12" s="2444"/>
      <c r="FH12" s="2444"/>
      <c r="FI12" s="2444"/>
      <c r="FJ12" s="2444"/>
      <c r="FK12" s="2444"/>
      <c r="FL12" s="2444"/>
      <c r="FM12" s="2444"/>
      <c r="FN12" s="2444"/>
      <c r="FO12" s="2444"/>
      <c r="FP12" s="2444"/>
      <c r="FQ12" s="2444"/>
      <c r="FR12" s="2444"/>
      <c r="FS12" s="2444"/>
      <c r="FT12" s="2444"/>
      <c r="FU12" s="2444"/>
      <c r="FV12" s="2444"/>
      <c r="FW12" s="2458"/>
      <c r="FX12" s="772"/>
      <c r="GC12" s="936">
        <v>12</v>
      </c>
    </row>
    <row customHeight="1" ht="37.8">
      <c r="D13" s="948"/>
      <c r="E13" s="947"/>
      <c r="F13" s="2215"/>
      <c r="G13" s="2215"/>
      <c r="H13" s="2447"/>
      <c r="I13" s="2447"/>
      <c r="J13" s="2448"/>
      <c r="K13" s="2448"/>
      <c r="L13" s="2448"/>
      <c r="M13" s="2448"/>
      <c r="N13" s="2448"/>
      <c r="O13" s="2219" t="s">
        <v>1368</v>
      </c>
      <c r="P13" s="2219"/>
      <c r="Q13" s="2219"/>
      <c r="R13" s="2219"/>
      <c r="S13" s="2346" t="s">
        <v>1369</v>
      </c>
      <c r="T13" s="2398"/>
      <c r="U13" s="2137" t="s">
        <v>1370</v>
      </c>
      <c r="V13" s="2137"/>
      <c r="W13" s="2137"/>
      <c r="X13" s="2137"/>
      <c r="Y13" s="2137" t="s">
        <v>1371</v>
      </c>
      <c r="Z13" s="2137"/>
      <c r="AA13" s="2137"/>
      <c r="AB13" s="2137"/>
      <c r="AC13" s="2444"/>
      <c r="AD13" s="2444"/>
      <c r="AE13" s="2444"/>
      <c r="AF13" s="2444"/>
      <c r="AG13" s="2444"/>
      <c r="AH13" s="2444"/>
      <c r="AI13" s="2444"/>
      <c r="AJ13" s="2444"/>
      <c r="AK13" s="2444"/>
      <c r="AL13" s="2444"/>
      <c r="AM13" s="2444"/>
      <c r="AN13" s="2444"/>
      <c r="AO13" s="2444"/>
      <c r="AP13" s="2444"/>
      <c r="AQ13" s="2444"/>
      <c r="AR13" s="2444"/>
      <c r="AS13" s="2444"/>
      <c r="AT13" s="2444"/>
      <c r="AU13" s="2444"/>
      <c r="AV13" s="2444"/>
      <c r="AW13" s="2444"/>
      <c r="AX13" s="2444"/>
      <c r="AY13" s="2444"/>
      <c r="AZ13" s="2444"/>
      <c r="BA13" s="2444"/>
      <c r="BB13" s="2444"/>
      <c r="BC13" s="2444"/>
      <c r="BD13" s="2444"/>
      <c r="BE13" s="2444"/>
      <c r="BF13" s="2444"/>
      <c r="BG13" s="2444"/>
      <c r="BH13" s="2444"/>
      <c r="BI13" s="2444"/>
      <c r="BJ13" s="2444"/>
      <c r="BK13" s="2444"/>
      <c r="BL13" s="2444"/>
      <c r="BM13" s="2444"/>
      <c r="BN13" s="2444"/>
      <c r="BO13" s="2444"/>
      <c r="BP13" s="2444"/>
      <c r="BQ13" s="2444"/>
      <c r="BR13" s="2444"/>
      <c r="BS13" s="2463"/>
      <c r="BT13" s="2346" t="s">
        <v>1372</v>
      </c>
      <c r="BU13" s="2398"/>
      <c r="BV13" s="2346" t="s">
        <v>1373</v>
      </c>
      <c r="BW13" s="2398"/>
      <c r="BX13" s="2346" t="s">
        <v>1374</v>
      </c>
      <c r="BY13" s="2398"/>
      <c r="BZ13" s="2346" t="s">
        <v>1375</v>
      </c>
      <c r="CA13" s="2398"/>
      <c r="CB13" s="2346" t="s">
        <v>1376</v>
      </c>
      <c r="CC13" s="2398"/>
      <c r="CD13" s="2346" t="s">
        <v>1377</v>
      </c>
      <c r="CE13" s="2398"/>
      <c r="CF13" s="2346" t="s">
        <v>1378</v>
      </c>
      <c r="CG13" s="2398"/>
      <c r="CH13" s="2396" t="s">
        <v>1379</v>
      </c>
      <c r="CI13" s="2397"/>
      <c r="CJ13" s="2397"/>
      <c r="CK13" s="2443"/>
      <c r="CL13" s="2446"/>
      <c r="CM13" s="2444"/>
      <c r="CN13" s="2444"/>
      <c r="CO13" s="2444"/>
      <c r="CP13" s="2444"/>
      <c r="CQ13" s="2444"/>
      <c r="CR13" s="2444"/>
      <c r="CS13" s="2444"/>
      <c r="CT13" s="2444"/>
      <c r="CU13" s="2444"/>
      <c r="CV13" s="2444"/>
      <c r="CW13" s="2444"/>
      <c r="CX13" s="2463"/>
      <c r="CY13" s="2346" t="s">
        <v>1380</v>
      </c>
      <c r="CZ13" s="2398"/>
      <c r="DA13" s="2346" t="s">
        <v>1381</v>
      </c>
      <c r="DB13" s="2398"/>
      <c r="DC13" s="2346" t="s">
        <v>1382</v>
      </c>
      <c r="DD13" s="2398"/>
      <c r="DE13" s="2346" t="s">
        <v>1383</v>
      </c>
      <c r="DF13" s="2398"/>
      <c r="DG13" s="2396" t="s">
        <v>1384</v>
      </c>
      <c r="DH13" s="2397"/>
      <c r="DI13" s="2397"/>
      <c r="DJ13" s="2443"/>
      <c r="DK13" s="2446"/>
      <c r="DL13" s="2444"/>
      <c r="DM13" s="2444"/>
      <c r="DN13" s="2444"/>
      <c r="DO13" s="2444"/>
      <c r="DP13" s="2444"/>
      <c r="DQ13" s="2444"/>
      <c r="DR13" s="2444"/>
      <c r="DS13" s="2444"/>
      <c r="DT13" s="2444"/>
      <c r="DU13" s="2444"/>
      <c r="DV13" s="2444"/>
      <c r="DW13" s="2444"/>
      <c r="DX13" s="2444"/>
      <c r="DY13" s="2444"/>
      <c r="DZ13" s="2444"/>
      <c r="EA13" s="2444"/>
      <c r="EB13" s="2444"/>
      <c r="EC13" s="2444"/>
      <c r="ED13" s="2444"/>
      <c r="EE13" s="2444"/>
      <c r="EF13" s="2444"/>
      <c r="EG13" s="2444"/>
      <c r="EH13" s="2444"/>
      <c r="EI13" s="2444"/>
      <c r="EJ13" s="2444"/>
      <c r="EK13" s="2444"/>
      <c r="EL13" s="2444"/>
      <c r="EM13" s="2444"/>
      <c r="EN13" s="2444"/>
      <c r="EO13" s="2444"/>
      <c r="EP13" s="2444"/>
      <c r="EQ13" s="2444"/>
      <c r="ER13" s="2444"/>
      <c r="ES13" s="2444"/>
      <c r="ET13" s="2444"/>
      <c r="EU13" s="2444"/>
      <c r="EV13" s="2444"/>
      <c r="EW13" s="2444"/>
      <c r="EX13" s="2444"/>
      <c r="EY13" s="2444"/>
      <c r="EZ13" s="2444"/>
      <c r="FA13" s="2444"/>
      <c r="FB13" s="2444"/>
      <c r="FC13" s="2444"/>
      <c r="FD13" s="2444"/>
      <c r="FE13" s="2444"/>
      <c r="FF13" s="2444"/>
      <c r="FG13" s="2444"/>
      <c r="FH13" s="2444"/>
      <c r="FI13" s="2444"/>
      <c r="FJ13" s="2444"/>
      <c r="FK13" s="2444"/>
      <c r="FL13" s="2444"/>
      <c r="FM13" s="2444"/>
      <c r="FN13" s="2444"/>
      <c r="FO13" s="2444"/>
      <c r="FP13" s="2444"/>
      <c r="FQ13" s="2444"/>
      <c r="FR13" s="2444"/>
      <c r="FS13" s="2444"/>
      <c r="FT13" s="2444"/>
      <c r="FU13" s="2444"/>
      <c r="FV13" s="2444"/>
      <c r="FW13" s="2458"/>
      <c r="FX13" s="772"/>
      <c r="GC13" s="936">
        <v>36</v>
      </c>
    </row>
    <row customHeight="1" ht="37.8">
      <c r="D14" s="948"/>
      <c r="E14" s="947"/>
      <c r="F14" s="2215"/>
      <c r="G14" s="2215"/>
      <c r="H14" s="2447"/>
      <c r="I14" s="2447"/>
      <c r="J14" s="2448"/>
      <c r="K14" s="2448"/>
      <c r="L14" s="2448"/>
      <c r="M14" s="2448"/>
      <c r="N14" s="2448"/>
      <c r="O14" s="2346" t="s">
        <v>1385</v>
      </c>
      <c r="P14" s="2398"/>
      <c r="Q14" s="2346" t="s">
        <v>1386</v>
      </c>
      <c r="R14" s="2398"/>
      <c r="S14" s="2347"/>
      <c r="T14" s="2223"/>
      <c r="U14" s="2346" t="s">
        <v>860</v>
      </c>
      <c r="V14" s="2398"/>
      <c r="W14" s="2346" t="s">
        <v>863</v>
      </c>
      <c r="X14" s="2398"/>
      <c r="Y14" s="2346" t="s">
        <v>860</v>
      </c>
      <c r="Z14" s="2398"/>
      <c r="AA14" s="2346" t="s">
        <v>870</v>
      </c>
      <c r="AB14" s="2398"/>
      <c r="AC14" s="2444"/>
      <c r="AD14" s="2444"/>
      <c r="AE14" s="2444"/>
      <c r="AF14" s="2444"/>
      <c r="AG14" s="2444"/>
      <c r="AH14" s="2444"/>
      <c r="AI14" s="2444"/>
      <c r="AJ14" s="2444"/>
      <c r="AK14" s="2444"/>
      <c r="AL14" s="2444"/>
      <c r="AM14" s="2444"/>
      <c r="AN14" s="2444"/>
      <c r="AO14" s="2444"/>
      <c r="AP14" s="2444"/>
      <c r="AQ14" s="2444"/>
      <c r="AR14" s="2444"/>
      <c r="AS14" s="2444"/>
      <c r="AT14" s="2444"/>
      <c r="AU14" s="2444"/>
      <c r="AV14" s="2444"/>
      <c r="AW14" s="2444"/>
      <c r="AX14" s="2444"/>
      <c r="AY14" s="2444"/>
      <c r="AZ14" s="2444"/>
      <c r="BA14" s="2444"/>
      <c r="BB14" s="2444"/>
      <c r="BC14" s="2444"/>
      <c r="BD14" s="2444"/>
      <c r="BE14" s="2444"/>
      <c r="BF14" s="2444"/>
      <c r="BG14" s="2444"/>
      <c r="BH14" s="2444"/>
      <c r="BI14" s="2444"/>
      <c r="BJ14" s="2444"/>
      <c r="BK14" s="2444"/>
      <c r="BL14" s="2444"/>
      <c r="BM14" s="2444"/>
      <c r="BN14" s="2444"/>
      <c r="BO14" s="2444"/>
      <c r="BP14" s="2444"/>
      <c r="BQ14" s="2444"/>
      <c r="BR14" s="2444"/>
      <c r="BS14" s="2463"/>
      <c r="BT14" s="2347"/>
      <c r="BU14" s="2223"/>
      <c r="BV14" s="2347"/>
      <c r="BW14" s="2223"/>
      <c r="BX14" s="2347"/>
      <c r="BY14" s="2223"/>
      <c r="BZ14" s="2347"/>
      <c r="CA14" s="2223"/>
      <c r="CB14" s="2347"/>
      <c r="CC14" s="2223"/>
      <c r="CD14" s="2347"/>
      <c r="CE14" s="2223"/>
      <c r="CF14" s="2347"/>
      <c r="CG14" s="2223"/>
      <c r="CH14" s="2346" t="s">
        <v>1387</v>
      </c>
      <c r="CI14" s="2398"/>
      <c r="CJ14" s="2346" t="s">
        <v>1388</v>
      </c>
      <c r="CK14" s="2398"/>
      <c r="CL14" s="2446"/>
      <c r="CM14" s="2444"/>
      <c r="CN14" s="2444"/>
      <c r="CO14" s="2444"/>
      <c r="CP14" s="2444"/>
      <c r="CQ14" s="2444"/>
      <c r="CR14" s="2444"/>
      <c r="CS14" s="2444"/>
      <c r="CT14" s="2444"/>
      <c r="CU14" s="2444"/>
      <c r="CV14" s="2444"/>
      <c r="CW14" s="2444"/>
      <c r="CX14" s="2463"/>
      <c r="CY14" s="2347"/>
      <c r="CZ14" s="2223"/>
      <c r="DA14" s="2347"/>
      <c r="DB14" s="2223"/>
      <c r="DC14" s="2347"/>
      <c r="DD14" s="2223"/>
      <c r="DE14" s="2347"/>
      <c r="DF14" s="2223"/>
      <c r="DG14" s="2346" t="s">
        <v>1389</v>
      </c>
      <c r="DH14" s="2398"/>
      <c r="DI14" s="2346" t="s">
        <v>1390</v>
      </c>
      <c r="DJ14" s="2398"/>
      <c r="DK14" s="2446"/>
      <c r="DL14" s="2444"/>
      <c r="DM14" s="2444"/>
      <c r="DN14" s="2444"/>
      <c r="DO14" s="2444"/>
      <c r="DP14" s="2444"/>
      <c r="DQ14" s="2444"/>
      <c r="DR14" s="2444"/>
      <c r="DS14" s="2444"/>
      <c r="DT14" s="2444"/>
      <c r="DU14" s="2444"/>
      <c r="DV14" s="2444"/>
      <c r="DW14" s="2444"/>
      <c r="DX14" s="2444"/>
      <c r="DY14" s="2444"/>
      <c r="DZ14" s="2444"/>
      <c r="EA14" s="2444"/>
      <c r="EB14" s="2444"/>
      <c r="EC14" s="2444"/>
      <c r="ED14" s="2444"/>
      <c r="EE14" s="2444"/>
      <c r="EF14" s="2444"/>
      <c r="EG14" s="2444"/>
      <c r="EH14" s="2444"/>
      <c r="EI14" s="2444"/>
      <c r="EJ14" s="2444"/>
      <c r="EK14" s="2444"/>
      <c r="EL14" s="2444"/>
      <c r="EM14" s="2444"/>
      <c r="EN14" s="2444"/>
      <c r="EO14" s="2444"/>
      <c r="EP14" s="2444"/>
      <c r="EQ14" s="2444"/>
      <c r="ER14" s="2444"/>
      <c r="ES14" s="2444"/>
      <c r="ET14" s="2444"/>
      <c r="EU14" s="2444"/>
      <c r="EV14" s="2444"/>
      <c r="EW14" s="2444"/>
      <c r="EX14" s="2444"/>
      <c r="EY14" s="2444"/>
      <c r="EZ14" s="2444"/>
      <c r="FA14" s="2444"/>
      <c r="FB14" s="2444"/>
      <c r="FC14" s="2444"/>
      <c r="FD14" s="2444"/>
      <c r="FE14" s="2444"/>
      <c r="FF14" s="2444"/>
      <c r="FG14" s="2444"/>
      <c r="FH14" s="2444"/>
      <c r="FI14" s="2444"/>
      <c r="FJ14" s="2444"/>
      <c r="FK14" s="2444"/>
      <c r="FL14" s="2444"/>
      <c r="FM14" s="2444"/>
      <c r="FN14" s="2444"/>
      <c r="FO14" s="2444"/>
      <c r="FP14" s="2444"/>
      <c r="FQ14" s="2444"/>
      <c r="FR14" s="2444"/>
      <c r="FS14" s="2444"/>
      <c r="FT14" s="2444"/>
      <c r="FU14" s="2444"/>
      <c r="FV14" s="2444"/>
      <c r="FW14" s="2458"/>
      <c r="FX14" s="772"/>
      <c r="GC14" s="936">
        <v>36</v>
      </c>
    </row>
    <row customHeight="1" ht="37.8">
      <c r="D15" s="948"/>
      <c r="E15" s="947"/>
      <c r="F15" s="2215"/>
      <c r="G15" s="2215"/>
      <c r="H15" s="2447"/>
      <c r="I15" s="2447"/>
      <c r="J15" s="2448"/>
      <c r="K15" s="2448"/>
      <c r="L15" s="2448"/>
      <c r="M15" s="2448"/>
      <c r="N15" s="2448"/>
      <c r="O15" s="2348"/>
      <c r="P15" s="2445"/>
      <c r="Q15" s="2348"/>
      <c r="R15" s="2445"/>
      <c r="S15" s="2348"/>
      <c r="T15" s="2445"/>
      <c r="U15" s="2348"/>
      <c r="V15" s="2445"/>
      <c r="W15" s="2348"/>
      <c r="X15" s="2445"/>
      <c r="Y15" s="2348"/>
      <c r="Z15" s="2445"/>
      <c r="AA15" s="2348"/>
      <c r="AB15" s="2445"/>
      <c r="AC15" s="2444"/>
      <c r="AD15" s="2444"/>
      <c r="AE15" s="2444"/>
      <c r="AF15" s="2444"/>
      <c r="AG15" s="2444"/>
      <c r="AH15" s="2444"/>
      <c r="AI15" s="2444"/>
      <c r="AJ15" s="2444"/>
      <c r="AK15" s="2444"/>
      <c r="AL15" s="2444"/>
      <c r="AM15" s="2444"/>
      <c r="AN15" s="2444"/>
      <c r="AO15" s="2444"/>
      <c r="AP15" s="2444"/>
      <c r="AQ15" s="2444"/>
      <c r="AR15" s="2444"/>
      <c r="AS15" s="2444"/>
      <c r="AT15" s="2444"/>
      <c r="AU15" s="2444"/>
      <c r="AV15" s="2444"/>
      <c r="AW15" s="2444"/>
      <c r="AX15" s="2444"/>
      <c r="AY15" s="2444"/>
      <c r="AZ15" s="2444"/>
      <c r="BA15" s="2444"/>
      <c r="BB15" s="2444"/>
      <c r="BC15" s="2444"/>
      <c r="BD15" s="2444"/>
      <c r="BE15" s="2444"/>
      <c r="BF15" s="2444"/>
      <c r="BG15" s="2444"/>
      <c r="BH15" s="2444"/>
      <c r="BI15" s="2444"/>
      <c r="BJ15" s="2444"/>
      <c r="BK15" s="2444"/>
      <c r="BL15" s="2444"/>
      <c r="BM15" s="2444"/>
      <c r="BN15" s="2444"/>
      <c r="BO15" s="2444"/>
      <c r="BP15" s="2444"/>
      <c r="BQ15" s="2444"/>
      <c r="BR15" s="2444"/>
      <c r="BS15" s="2463"/>
      <c r="BT15" s="2348"/>
      <c r="BU15" s="2445"/>
      <c r="BV15" s="2348"/>
      <c r="BW15" s="2445"/>
      <c r="BX15" s="2348"/>
      <c r="BY15" s="2445"/>
      <c r="BZ15" s="2348"/>
      <c r="CA15" s="2445"/>
      <c r="CB15" s="2348"/>
      <c r="CC15" s="2445"/>
      <c r="CD15" s="2348"/>
      <c r="CE15" s="2445"/>
      <c r="CF15" s="2348"/>
      <c r="CG15" s="2445"/>
      <c r="CH15" s="2348"/>
      <c r="CI15" s="2445"/>
      <c r="CJ15" s="2348"/>
      <c r="CK15" s="2445"/>
      <c r="CL15" s="2446"/>
      <c r="CM15" s="2444"/>
      <c r="CN15" s="2444"/>
      <c r="CO15" s="2444"/>
      <c r="CP15" s="2444"/>
      <c r="CQ15" s="2444"/>
      <c r="CR15" s="2444"/>
      <c r="CS15" s="2444"/>
      <c r="CT15" s="2444"/>
      <c r="CU15" s="2444"/>
      <c r="CV15" s="2444"/>
      <c r="CW15" s="2444"/>
      <c r="CX15" s="2463"/>
      <c r="CY15" s="2348"/>
      <c r="CZ15" s="2445"/>
      <c r="DA15" s="2348"/>
      <c r="DB15" s="2445"/>
      <c r="DC15" s="2348"/>
      <c r="DD15" s="2445"/>
      <c r="DE15" s="2348"/>
      <c r="DF15" s="2445"/>
      <c r="DG15" s="2348"/>
      <c r="DH15" s="2445"/>
      <c r="DI15" s="2348"/>
      <c r="DJ15" s="2445"/>
      <c r="DK15" s="2446"/>
      <c r="DL15" s="2444"/>
      <c r="DM15" s="2444"/>
      <c r="DN15" s="2444"/>
      <c r="DO15" s="2444"/>
      <c r="DP15" s="2444"/>
      <c r="DQ15" s="2444"/>
      <c r="DR15" s="2444"/>
      <c r="DS15" s="2444"/>
      <c r="DT15" s="2444"/>
      <c r="DU15" s="2444"/>
      <c r="DV15" s="2444"/>
      <c r="DW15" s="2444"/>
      <c r="DX15" s="2444"/>
      <c r="DY15" s="2444"/>
      <c r="DZ15" s="2444"/>
      <c r="EA15" s="2444"/>
      <c r="EB15" s="2444"/>
      <c r="EC15" s="2444"/>
      <c r="ED15" s="2444"/>
      <c r="EE15" s="2444"/>
      <c r="EF15" s="2444"/>
      <c r="EG15" s="2444"/>
      <c r="EH15" s="2444"/>
      <c r="EI15" s="2444"/>
      <c r="EJ15" s="2444"/>
      <c r="EK15" s="2444"/>
      <c r="EL15" s="2444"/>
      <c r="EM15" s="2444"/>
      <c r="EN15" s="2444"/>
      <c r="EO15" s="2444"/>
      <c r="EP15" s="2444"/>
      <c r="EQ15" s="2444"/>
      <c r="ER15" s="2444"/>
      <c r="ES15" s="2444"/>
      <c r="ET15" s="2444"/>
      <c r="EU15" s="2444"/>
      <c r="EV15" s="2444"/>
      <c r="EW15" s="2444"/>
      <c r="EX15" s="2444"/>
      <c r="EY15" s="2444"/>
      <c r="EZ15" s="2444"/>
      <c r="FA15" s="2444"/>
      <c r="FB15" s="2444"/>
      <c r="FC15" s="2444"/>
      <c r="FD15" s="2444"/>
      <c r="FE15" s="2444"/>
      <c r="FF15" s="2444"/>
      <c r="FG15" s="2444"/>
      <c r="FH15" s="2444"/>
      <c r="FI15" s="2444"/>
      <c r="FJ15" s="2444"/>
      <c r="FK15" s="2444"/>
      <c r="FL15" s="2444"/>
      <c r="FM15" s="2444"/>
      <c r="FN15" s="2444"/>
      <c r="FO15" s="2444"/>
      <c r="FP15" s="2444"/>
      <c r="FQ15" s="2444"/>
      <c r="FR15" s="2444"/>
      <c r="FS15" s="2444"/>
      <c r="FT15" s="2444"/>
      <c r="FU15" s="2444"/>
      <c r="FV15" s="2444"/>
      <c r="FW15" s="2458"/>
      <c r="FX15" s="772"/>
      <c r="GC15" s="936">
        <v>36</v>
      </c>
    </row>
    <row customHeight="1" ht="12.75">
      <c r="D16" s="948"/>
      <c r="E16" s="947"/>
      <c r="F16" s="2215"/>
      <c r="G16" s="2215"/>
      <c r="H16" s="2447"/>
      <c r="I16" s="2447"/>
      <c r="J16" s="2448"/>
      <c r="K16" s="2448"/>
      <c r="L16" s="2448"/>
      <c r="M16" s="2448"/>
      <c r="N16" s="2448"/>
      <c r="O16" s="2396" t="s">
        <v>850</v>
      </c>
      <c r="P16" s="2443"/>
      <c r="Q16" s="2396" t="s">
        <v>852</v>
      </c>
      <c r="R16" s="2443"/>
      <c r="S16" s="2396" t="s">
        <v>856</v>
      </c>
      <c r="T16" s="2443"/>
      <c r="U16" s="2396" t="s">
        <v>861</v>
      </c>
      <c r="V16" s="2443"/>
      <c r="W16" s="2396" t="s">
        <v>864</v>
      </c>
      <c r="X16" s="2443"/>
      <c r="Y16" s="2396" t="s">
        <v>868</v>
      </c>
      <c r="Z16" s="2443"/>
      <c r="AA16" s="2396" t="s">
        <v>871</v>
      </c>
      <c r="AB16" s="2443"/>
      <c r="AC16" s="2444"/>
      <c r="AD16" s="2444"/>
      <c r="AE16" s="2444"/>
      <c r="AF16" s="2444"/>
      <c r="AG16" s="2444"/>
      <c r="AH16" s="2444"/>
      <c r="AI16" s="2444"/>
      <c r="AJ16" s="2444"/>
      <c r="AK16" s="2444"/>
      <c r="AL16" s="2444"/>
      <c r="AM16" s="2444"/>
      <c r="AN16" s="2444"/>
      <c r="AO16" s="2444"/>
      <c r="AP16" s="2444"/>
      <c r="AQ16" s="2444"/>
      <c r="AR16" s="2444"/>
      <c r="AS16" s="2444"/>
      <c r="AT16" s="2444"/>
      <c r="AU16" s="2444"/>
      <c r="AV16" s="2444"/>
      <c r="AW16" s="2444"/>
      <c r="AX16" s="2444"/>
      <c r="AY16" s="2444"/>
      <c r="AZ16" s="2444"/>
      <c r="BA16" s="2444"/>
      <c r="BB16" s="2444"/>
      <c r="BC16" s="2444"/>
      <c r="BD16" s="2444"/>
      <c r="BE16" s="2444"/>
      <c r="BF16" s="2444"/>
      <c r="BG16" s="2444"/>
      <c r="BH16" s="2444"/>
      <c r="BI16" s="2444"/>
      <c r="BJ16" s="2444"/>
      <c r="BK16" s="2444"/>
      <c r="BL16" s="2444"/>
      <c r="BM16" s="2444"/>
      <c r="BN16" s="2444"/>
      <c r="BO16" s="2444"/>
      <c r="BP16" s="2444"/>
      <c r="BQ16" s="2444"/>
      <c r="BR16" s="2444"/>
      <c r="BS16" s="2463"/>
      <c r="BT16" s="2396" t="s">
        <v>580</v>
      </c>
      <c r="BU16" s="2443"/>
      <c r="BV16" s="2396" t="s">
        <v>580</v>
      </c>
      <c r="BW16" s="2443"/>
      <c r="BX16" s="2396" t="s">
        <v>580</v>
      </c>
      <c r="BY16" s="2443"/>
      <c r="BZ16" s="2396" t="s">
        <v>580</v>
      </c>
      <c r="CA16" s="2443"/>
      <c r="CB16" s="2396" t="s">
        <v>1391</v>
      </c>
      <c r="CC16" s="2443"/>
      <c r="CD16" s="2396" t="s">
        <v>580</v>
      </c>
      <c r="CE16" s="2443"/>
      <c r="CF16" s="2396" t="s">
        <v>1392</v>
      </c>
      <c r="CG16" s="2443"/>
      <c r="CH16" s="2396" t="s">
        <v>1393</v>
      </c>
      <c r="CI16" s="2443"/>
      <c r="CJ16" s="2396" t="s">
        <v>1393</v>
      </c>
      <c r="CK16" s="2443"/>
      <c r="CL16" s="2446"/>
      <c r="CM16" s="2444"/>
      <c r="CN16" s="2444"/>
      <c r="CO16" s="2444"/>
      <c r="CP16" s="2444"/>
      <c r="CQ16" s="2444"/>
      <c r="CR16" s="2444"/>
      <c r="CS16" s="2444"/>
      <c r="CT16" s="2444"/>
      <c r="CU16" s="2444"/>
      <c r="CV16" s="2444"/>
      <c r="CW16" s="2444"/>
      <c r="CX16" s="2463"/>
      <c r="CY16" s="2346" t="s">
        <v>580</v>
      </c>
      <c r="CZ16" s="2398"/>
      <c r="DA16" s="2346" t="s">
        <v>580</v>
      </c>
      <c r="DB16" s="2398"/>
      <c r="DC16" s="2346" t="s">
        <v>580</v>
      </c>
      <c r="DD16" s="2398"/>
      <c r="DE16" s="2396" t="s">
        <v>1391</v>
      </c>
      <c r="DF16" s="2443"/>
      <c r="DG16" s="2396" t="s">
        <v>1394</v>
      </c>
      <c r="DH16" s="2443"/>
      <c r="DI16" s="2396" t="s">
        <v>1394</v>
      </c>
      <c r="DJ16" s="2443"/>
      <c r="DK16" s="2446"/>
      <c r="DL16" s="2444"/>
      <c r="DM16" s="2444"/>
      <c r="DN16" s="2444"/>
      <c r="DO16" s="2444"/>
      <c r="DP16" s="2444"/>
      <c r="DQ16" s="2444"/>
      <c r="DR16" s="2444"/>
      <c r="DS16" s="2444"/>
      <c r="DT16" s="2444"/>
      <c r="DU16" s="2444"/>
      <c r="DV16" s="2444"/>
      <c r="DW16" s="2444"/>
      <c r="DX16" s="2444"/>
      <c r="DY16" s="2444"/>
      <c r="DZ16" s="2444"/>
      <c r="EA16" s="2444"/>
      <c r="EB16" s="2444"/>
      <c r="EC16" s="2444"/>
      <c r="ED16" s="2444"/>
      <c r="EE16" s="2444"/>
      <c r="EF16" s="2444"/>
      <c r="EG16" s="2444"/>
      <c r="EH16" s="2444"/>
      <c r="EI16" s="2444"/>
      <c r="EJ16" s="2444"/>
      <c r="EK16" s="2444"/>
      <c r="EL16" s="2444"/>
      <c r="EM16" s="2444"/>
      <c r="EN16" s="2444"/>
      <c r="EO16" s="2444"/>
      <c r="EP16" s="2444"/>
      <c r="EQ16" s="2444"/>
      <c r="ER16" s="2444"/>
      <c r="ES16" s="2444"/>
      <c r="ET16" s="2444"/>
      <c r="EU16" s="2444"/>
      <c r="EV16" s="2444"/>
      <c r="EW16" s="2444"/>
      <c r="EX16" s="2444"/>
      <c r="EY16" s="2444"/>
      <c r="EZ16" s="2444"/>
      <c r="FA16" s="2444"/>
      <c r="FB16" s="2444"/>
      <c r="FC16" s="2444"/>
      <c r="FD16" s="2444"/>
      <c r="FE16" s="2444"/>
      <c r="FF16" s="2444"/>
      <c r="FG16" s="2444"/>
      <c r="FH16" s="2444"/>
      <c r="FI16" s="2444"/>
      <c r="FJ16" s="2444"/>
      <c r="FK16" s="2444"/>
      <c r="FL16" s="2444"/>
      <c r="FM16" s="2444"/>
      <c r="FN16" s="2444"/>
      <c r="FO16" s="2444"/>
      <c r="FP16" s="2444"/>
      <c r="FQ16" s="2444"/>
      <c r="FR16" s="2444"/>
      <c r="FS16" s="2444"/>
      <c r="FT16" s="2444"/>
      <c r="FU16" s="2444"/>
      <c r="FV16" s="2444"/>
      <c r="FW16" s="2458"/>
      <c r="FX16" s="772"/>
      <c r="GC16" s="936">
        <v>12</v>
      </c>
    </row>
    <row customHeight="1" ht="15.75">
      <c r="E17" s="947"/>
      <c r="F17" s="2215"/>
      <c r="G17" s="2215"/>
      <c r="H17" s="2447"/>
      <c r="I17" s="2447"/>
      <c r="J17" s="2448"/>
      <c r="K17" s="2448"/>
      <c r="L17" s="2448"/>
      <c r="M17" s="2448"/>
      <c r="N17" s="2448"/>
      <c r="O17" s="1201" t="s">
        <v>1395</v>
      </c>
      <c r="P17" s="1201" t="s">
        <v>1396</v>
      </c>
      <c r="Q17" s="1201" t="s">
        <v>1395</v>
      </c>
      <c r="R17" s="1201" t="s">
        <v>1396</v>
      </c>
      <c r="S17" s="1201" t="s">
        <v>1395</v>
      </c>
      <c r="T17" s="1201" t="s">
        <v>1396</v>
      </c>
      <c r="U17" s="1201" t="s">
        <v>1395</v>
      </c>
      <c r="V17" s="1201" t="s">
        <v>1396</v>
      </c>
      <c r="W17" s="1201" t="s">
        <v>1395</v>
      </c>
      <c r="X17" s="1201" t="s">
        <v>1396</v>
      </c>
      <c r="Y17" s="1201" t="s">
        <v>1395</v>
      </c>
      <c r="Z17" s="1201" t="s">
        <v>1396</v>
      </c>
      <c r="AA17" s="1201" t="s">
        <v>1395</v>
      </c>
      <c r="AB17" s="1201" t="s">
        <v>1396</v>
      </c>
      <c r="AC17" s="2444"/>
      <c r="AD17" s="2444"/>
      <c r="AE17" s="2444"/>
      <c r="AF17" s="2444"/>
      <c r="AG17" s="2444"/>
      <c r="AH17" s="2444"/>
      <c r="AI17" s="2444"/>
      <c r="AJ17" s="2444"/>
      <c r="AK17" s="2444"/>
      <c r="AL17" s="2444"/>
      <c r="AM17" s="2444"/>
      <c r="AN17" s="2444"/>
      <c r="AO17" s="2444"/>
      <c r="AP17" s="2444"/>
      <c r="AQ17" s="2444"/>
      <c r="AR17" s="2444"/>
      <c r="AS17" s="2444"/>
      <c r="AT17" s="2444"/>
      <c r="AU17" s="2444"/>
      <c r="AV17" s="2444"/>
      <c r="AW17" s="2444"/>
      <c r="AX17" s="2444"/>
      <c r="AY17" s="2444"/>
      <c r="AZ17" s="2444"/>
      <c r="BA17" s="2444"/>
      <c r="BB17" s="2444"/>
      <c r="BC17" s="2444"/>
      <c r="BD17" s="2444"/>
      <c r="BE17" s="2444"/>
      <c r="BF17" s="2444"/>
      <c r="BG17" s="2444"/>
      <c r="BH17" s="2444"/>
      <c r="BI17" s="2444"/>
      <c r="BJ17" s="2444"/>
      <c r="BK17" s="2444"/>
      <c r="BL17" s="2444"/>
      <c r="BM17" s="2444"/>
      <c r="BN17" s="2444"/>
      <c r="BO17" s="2444"/>
      <c r="BP17" s="2444"/>
      <c r="BQ17" s="2444"/>
      <c r="BR17" s="2444"/>
      <c r="BS17" s="2463"/>
      <c r="BT17" s="1201" t="s">
        <v>1395</v>
      </c>
      <c r="BU17" s="1201" t="s">
        <v>1396</v>
      </c>
      <c r="BV17" s="1201" t="s">
        <v>1395</v>
      </c>
      <c r="BW17" s="1201" t="s">
        <v>1396</v>
      </c>
      <c r="BX17" s="1201" t="s">
        <v>1395</v>
      </c>
      <c r="BY17" s="1201" t="s">
        <v>1396</v>
      </c>
      <c r="BZ17" s="1201" t="s">
        <v>1395</v>
      </c>
      <c r="CA17" s="1201" t="s">
        <v>1396</v>
      </c>
      <c r="CB17" s="1201" t="s">
        <v>1395</v>
      </c>
      <c r="CC17" s="1201" t="s">
        <v>1396</v>
      </c>
      <c r="CD17" s="1201" t="s">
        <v>1395</v>
      </c>
      <c r="CE17" s="1201" t="s">
        <v>1396</v>
      </c>
      <c r="CF17" s="1201" t="s">
        <v>1395</v>
      </c>
      <c r="CG17" s="1201" t="s">
        <v>1396</v>
      </c>
      <c r="CH17" s="1201" t="s">
        <v>1395</v>
      </c>
      <c r="CI17" s="1201" t="s">
        <v>1396</v>
      </c>
      <c r="CJ17" s="1201" t="s">
        <v>1395</v>
      </c>
      <c r="CK17" s="1201" t="s">
        <v>1396</v>
      </c>
      <c r="CL17" s="2446"/>
      <c r="CM17" s="2444"/>
      <c r="CN17" s="2444"/>
      <c r="CO17" s="2444"/>
      <c r="CP17" s="2444"/>
      <c r="CQ17" s="2444"/>
      <c r="CR17" s="2444"/>
      <c r="CS17" s="2444"/>
      <c r="CT17" s="2444"/>
      <c r="CU17" s="2444"/>
      <c r="CV17" s="2444"/>
      <c r="CW17" s="2444"/>
      <c r="CX17" s="2463"/>
      <c r="CY17" s="1201" t="s">
        <v>1395</v>
      </c>
      <c r="CZ17" s="1201" t="s">
        <v>1396</v>
      </c>
      <c r="DA17" s="1201" t="s">
        <v>1395</v>
      </c>
      <c r="DB17" s="1201" t="s">
        <v>1396</v>
      </c>
      <c r="DC17" s="1201" t="s">
        <v>1395</v>
      </c>
      <c r="DD17" s="1201" t="s">
        <v>1396</v>
      </c>
      <c r="DE17" s="1201" t="s">
        <v>1395</v>
      </c>
      <c r="DF17" s="1201" t="s">
        <v>1396</v>
      </c>
      <c r="DG17" s="1201" t="s">
        <v>1395</v>
      </c>
      <c r="DH17" s="1201" t="s">
        <v>1396</v>
      </c>
      <c r="DI17" s="1201" t="s">
        <v>1395</v>
      </c>
      <c r="DJ17" s="1201" t="s">
        <v>1396</v>
      </c>
      <c r="DK17" s="2446"/>
      <c r="DL17" s="2444"/>
      <c r="DM17" s="2444"/>
      <c r="DN17" s="2444"/>
      <c r="DO17" s="2444"/>
      <c r="DP17" s="2444"/>
      <c r="DQ17" s="2444"/>
      <c r="DR17" s="2444"/>
      <c r="DS17" s="2444"/>
      <c r="DT17" s="2444"/>
      <c r="DU17" s="2444"/>
      <c r="DV17" s="2444"/>
      <c r="DW17" s="2444"/>
      <c r="DX17" s="2444"/>
      <c r="DY17" s="2444"/>
      <c r="DZ17" s="2444"/>
      <c r="EA17" s="2444"/>
      <c r="EB17" s="2444"/>
      <c r="EC17" s="2444"/>
      <c r="ED17" s="2444"/>
      <c r="EE17" s="2444"/>
      <c r="EF17" s="2444"/>
      <c r="EG17" s="2444"/>
      <c r="EH17" s="2444"/>
      <c r="EI17" s="2444"/>
      <c r="EJ17" s="2444"/>
      <c r="EK17" s="2444"/>
      <c r="EL17" s="2444"/>
      <c r="EM17" s="2444"/>
      <c r="EN17" s="2444"/>
      <c r="EO17" s="2444"/>
      <c r="EP17" s="2444"/>
      <c r="EQ17" s="2444"/>
      <c r="ER17" s="2444"/>
      <c r="ES17" s="2444"/>
      <c r="ET17" s="2444"/>
      <c r="EU17" s="2444"/>
      <c r="EV17" s="2444"/>
      <c r="EW17" s="2444"/>
      <c r="EX17" s="2444"/>
      <c r="EY17" s="2444"/>
      <c r="EZ17" s="2444"/>
      <c r="FA17" s="2444"/>
      <c r="FB17" s="2444"/>
      <c r="FC17" s="2444"/>
      <c r="FD17" s="2444"/>
      <c r="FE17" s="2444"/>
      <c r="FF17" s="2444"/>
      <c r="FG17" s="2444"/>
      <c r="FH17" s="2444"/>
      <c r="FI17" s="2444"/>
      <c r="FJ17" s="2444"/>
      <c r="FK17" s="2444"/>
      <c r="FL17" s="2444"/>
      <c r="FM17" s="2444"/>
      <c r="FN17" s="2444"/>
      <c r="FO17" s="2444"/>
      <c r="FP17" s="2444"/>
      <c r="FQ17" s="2444"/>
      <c r="FR17" s="2444"/>
      <c r="FS17" s="2444"/>
      <c r="FT17" s="2444"/>
      <c r="FU17" s="2444"/>
      <c r="FV17" s="2444"/>
      <c r="FW17" s="2459"/>
      <c r="FX17" s="772"/>
      <c r="GC17" s="936">
        <v>15</v>
      </c>
    </row>
    <row s="935" customFormat="1" customHeight="1" ht="12" hidden="1">
      <c r="B18" s="933"/>
      <c r="E18" s="949"/>
      <c r="F18" s="1202"/>
      <c r="G18" s="1202"/>
      <c r="H18" s="1202"/>
      <c r="I18" s="1202"/>
      <c r="J18" s="1203"/>
      <c r="K18" s="1203"/>
      <c r="L18" s="1203"/>
      <c r="M18" s="1203"/>
      <c r="N18" s="1203"/>
      <c r="O18" s="1202"/>
      <c r="P18" s="1202"/>
      <c r="Q18" s="1202"/>
      <c r="R18" s="1202"/>
      <c r="S18" s="1202"/>
      <c r="T18" s="1202"/>
      <c r="U18" s="1204"/>
      <c r="V18" s="1204"/>
      <c r="W18" s="1204"/>
      <c r="X18" s="1204"/>
      <c r="Y18" s="1204"/>
      <c r="Z18" s="1204"/>
      <c r="AA18" s="1204"/>
      <c r="AB18" s="1202"/>
      <c r="AC18" s="1203"/>
      <c r="AD18" s="1203"/>
      <c r="AE18" s="1203"/>
      <c r="AF18" s="1203"/>
      <c r="AG18" s="1203"/>
      <c r="AH18" s="1203"/>
      <c r="AI18" s="1203"/>
      <c r="AJ18" s="1203"/>
      <c r="AK18" s="1203"/>
      <c r="AL18" s="1203"/>
      <c r="AM18" s="1203"/>
      <c r="AN18" s="1203"/>
      <c r="AO18" s="1203"/>
      <c r="AP18" s="1203"/>
      <c r="AQ18" s="1203"/>
      <c r="AR18" s="1203"/>
      <c r="AS18" s="1203"/>
      <c r="AT18" s="1203"/>
      <c r="AU18" s="1203"/>
      <c r="AV18" s="1203"/>
      <c r="AW18" s="1203"/>
      <c r="AX18" s="1203"/>
      <c r="AY18" s="1203"/>
      <c r="AZ18" s="1203"/>
      <c r="BA18" s="1203"/>
      <c r="BB18" s="1203"/>
      <c r="BC18" s="1203"/>
      <c r="BD18" s="1203"/>
      <c r="BE18" s="1203"/>
      <c r="BF18" s="1203"/>
      <c r="BG18" s="1203"/>
      <c r="BH18" s="1203"/>
      <c r="BI18" s="1203"/>
      <c r="BJ18" s="1203"/>
      <c r="BK18" s="1203"/>
      <c r="BL18" s="1203"/>
      <c r="BM18" s="1203"/>
      <c r="BN18" s="1203"/>
      <c r="BO18" s="1203"/>
      <c r="BP18" s="1203"/>
      <c r="BQ18" s="1203"/>
      <c r="BR18" s="1203"/>
      <c r="BS18" s="1203"/>
      <c r="BT18" s="1205"/>
      <c r="BU18" s="1205"/>
      <c r="BV18" s="1205"/>
      <c r="BW18" s="1205"/>
      <c r="BX18" s="1205"/>
      <c r="BY18" s="1205"/>
      <c r="BZ18" s="1205"/>
      <c r="CA18" s="1205"/>
      <c r="CB18" s="1205"/>
      <c r="CC18" s="1205"/>
      <c r="CD18" s="1205"/>
      <c r="CE18" s="1205"/>
      <c r="CF18" s="1205"/>
      <c r="CG18" s="1205"/>
      <c r="CH18" s="1205"/>
      <c r="CI18" s="1205"/>
      <c r="CJ18" s="1205"/>
      <c r="CK18" s="1205"/>
      <c r="CL18" s="1203"/>
      <c r="CM18" s="1203"/>
      <c r="CN18" s="1203"/>
      <c r="CO18" s="1203"/>
      <c r="CP18" s="1203"/>
      <c r="CQ18" s="1203"/>
      <c r="CR18" s="1203"/>
      <c r="CS18" s="1203"/>
      <c r="CT18" s="1203"/>
      <c r="CU18" s="1203"/>
      <c r="CV18" s="1203"/>
      <c r="CW18" s="1203"/>
      <c r="CX18" s="1203"/>
      <c r="CY18" s="1205"/>
      <c r="CZ18" s="1205"/>
      <c r="DA18" s="1205"/>
      <c r="DB18" s="1205"/>
      <c r="DC18" s="1205"/>
      <c r="DD18" s="1205"/>
      <c r="DE18" s="1205"/>
      <c r="DF18" s="1205"/>
      <c r="DG18" s="1205"/>
      <c r="DH18" s="1205"/>
      <c r="DI18" s="1205"/>
      <c r="DJ18" s="1205"/>
      <c r="DK18" s="1203"/>
      <c r="DL18" s="1203"/>
      <c r="DM18" s="1203"/>
      <c r="DN18" s="1203"/>
      <c r="DO18" s="1203"/>
      <c r="DP18" s="1203"/>
      <c r="DQ18" s="1203"/>
      <c r="DR18" s="1203"/>
      <c r="DS18" s="1203"/>
      <c r="DT18" s="1203"/>
      <c r="DU18" s="1203"/>
      <c r="DV18" s="1203"/>
      <c r="DW18" s="1203"/>
      <c r="DX18" s="1203"/>
      <c r="DY18" s="1203"/>
      <c r="DZ18" s="1203"/>
      <c r="EA18" s="1203"/>
      <c r="EB18" s="1203"/>
      <c r="EC18" s="1203"/>
      <c r="ED18" s="1203"/>
      <c r="EE18" s="1203"/>
      <c r="EF18" s="1203"/>
      <c r="EG18" s="1203"/>
      <c r="EH18" s="1203"/>
      <c r="EI18" s="1203"/>
      <c r="EJ18" s="1203"/>
      <c r="EK18" s="1203"/>
      <c r="EL18" s="1203"/>
      <c r="EM18" s="1203"/>
      <c r="EN18" s="1203"/>
      <c r="EO18" s="1203"/>
      <c r="EP18" s="1203"/>
      <c r="EQ18" s="1203"/>
      <c r="ER18" s="1203"/>
      <c r="ES18" s="1203"/>
      <c r="ET18" s="1203"/>
      <c r="EU18" s="1203"/>
      <c r="EV18" s="1203"/>
      <c r="EW18" s="1203"/>
      <c r="EX18" s="1203"/>
      <c r="EY18" s="1203"/>
      <c r="EZ18" s="1203"/>
      <c r="FA18" s="1203"/>
      <c r="FB18" s="1203"/>
      <c r="FC18" s="1203"/>
      <c r="FD18" s="1203"/>
      <c r="FE18" s="1203"/>
      <c r="FF18" s="1203"/>
      <c r="FG18" s="1203"/>
      <c r="FH18" s="1203"/>
      <c r="FI18" s="1203"/>
      <c r="FJ18" s="1203"/>
      <c r="FK18" s="1203"/>
      <c r="FL18" s="1203"/>
      <c r="FM18" s="1203"/>
      <c r="FN18" s="1203"/>
      <c r="FO18" s="1203"/>
      <c r="FP18" s="1203"/>
      <c r="FQ18" s="1203"/>
      <c r="FR18" s="1203"/>
      <c r="FS18" s="1203"/>
      <c r="FT18" s="1203"/>
      <c r="FU18" s="1203"/>
      <c r="FV18" s="1203"/>
      <c r="FW18" s="1202"/>
      <c r="FX18" s="1206"/>
      <c r="GC18" s="934">
        <v>0</v>
      </c>
    </row>
    <row s="935" customFormat="1" customHeight="1" ht="11.25" hidden="1">
      <c r="B19" s="933"/>
      <c r="E19" s="949"/>
      <c r="F19" s="1202"/>
      <c r="G19" s="1202"/>
      <c r="H19" s="1202"/>
      <c r="I19" s="1202"/>
      <c r="J19" s="1202"/>
      <c r="K19" s="1202"/>
      <c r="L19" s="1202"/>
      <c r="M19" s="1202"/>
      <c r="N19" s="1202"/>
      <c r="O19" s="1202"/>
      <c r="P19" s="1202"/>
      <c r="Q19" s="1202"/>
      <c r="R19" s="1202"/>
      <c r="S19" s="1202"/>
      <c r="T19" s="1202"/>
      <c r="U19" s="1204"/>
      <c r="V19" s="1204"/>
      <c r="W19" s="1204"/>
      <c r="X19" s="1204"/>
      <c r="Y19" s="1204"/>
      <c r="Z19" s="1204"/>
      <c r="AA19" s="1204"/>
      <c r="AB19" s="1202"/>
      <c r="AC19" s="1202"/>
      <c r="AD19" s="1202"/>
      <c r="AE19" s="1202"/>
      <c r="AF19" s="1202"/>
      <c r="AG19" s="1202"/>
      <c r="AH19" s="1202"/>
      <c r="AI19" s="1202"/>
      <c r="AJ19" s="1202"/>
      <c r="AK19" s="1202"/>
      <c r="AL19" s="1202"/>
      <c r="AM19" s="1202"/>
      <c r="AN19" s="1202"/>
      <c r="AO19" s="1202"/>
      <c r="AP19" s="1202"/>
      <c r="AQ19" s="1202"/>
      <c r="AR19" s="1202"/>
      <c r="AS19" s="1202"/>
      <c r="AT19" s="1202"/>
      <c r="AU19" s="1202"/>
      <c r="AV19" s="1202"/>
      <c r="AW19" s="1202"/>
      <c r="AX19" s="1202"/>
      <c r="AY19" s="1202"/>
      <c r="AZ19" s="1202"/>
      <c r="BA19" s="1202"/>
      <c r="BB19" s="1202"/>
      <c r="BC19" s="1202"/>
      <c r="BD19" s="1202"/>
      <c r="BE19" s="1202"/>
      <c r="BF19" s="1202"/>
      <c r="BG19" s="1202"/>
      <c r="BH19" s="1202"/>
      <c r="BI19" s="1202"/>
      <c r="BJ19" s="1202"/>
      <c r="BK19" s="1202"/>
      <c r="BL19" s="1202"/>
      <c r="BM19" s="1202"/>
      <c r="BN19" s="1202"/>
      <c r="BO19" s="1202"/>
      <c r="BP19" s="1202"/>
      <c r="BQ19" s="1202"/>
      <c r="BR19" s="1202"/>
      <c r="BS19" s="1202"/>
      <c r="BT19" s="1202"/>
      <c r="BU19" s="1202"/>
      <c r="BV19" s="1202"/>
      <c r="BW19" s="1202"/>
      <c r="BX19" s="1202"/>
      <c r="BY19" s="1202"/>
      <c r="BZ19" s="1202"/>
      <c r="CA19" s="1202"/>
      <c r="CB19" s="1202"/>
      <c r="CC19" s="1202"/>
      <c r="CD19" s="1202"/>
      <c r="CE19" s="1202"/>
      <c r="CF19" s="1202"/>
      <c r="CG19" s="1202"/>
      <c r="CH19" s="1202"/>
      <c r="CI19" s="1202"/>
      <c r="CJ19" s="1202"/>
      <c r="CK19" s="1202"/>
      <c r="CL19" s="1202"/>
      <c r="CM19" s="1202"/>
      <c r="CN19" s="1202"/>
      <c r="CO19" s="1202"/>
      <c r="CP19" s="1202"/>
      <c r="CQ19" s="1202"/>
      <c r="CR19" s="1202"/>
      <c r="CS19" s="1202"/>
      <c r="CT19" s="1202"/>
      <c r="CU19" s="1202"/>
      <c r="CV19" s="1202"/>
      <c r="CW19" s="1202"/>
      <c r="CX19" s="1202"/>
      <c r="CY19" s="1202"/>
      <c r="CZ19" s="1202"/>
      <c r="DA19" s="1202"/>
      <c r="DB19" s="1202"/>
      <c r="DC19" s="1202"/>
      <c r="DD19" s="1202"/>
      <c r="DE19" s="1202"/>
      <c r="DF19" s="1202"/>
      <c r="DG19" s="1202"/>
      <c r="DH19" s="1202"/>
      <c r="DI19" s="1202"/>
      <c r="DJ19" s="1202"/>
      <c r="DK19" s="1202"/>
      <c r="DL19" s="1202"/>
      <c r="DM19" s="1202"/>
      <c r="DN19" s="1202"/>
      <c r="DO19" s="1202"/>
      <c r="DP19" s="1202"/>
      <c r="DQ19" s="1202"/>
      <c r="DR19" s="1202"/>
      <c r="DS19" s="1202"/>
      <c r="DT19" s="1202"/>
      <c r="DU19" s="1202"/>
      <c r="DV19" s="1202"/>
      <c r="DW19" s="1202"/>
      <c r="DX19" s="1202"/>
      <c r="DY19" s="1202"/>
      <c r="DZ19" s="1202"/>
      <c r="EA19" s="1202"/>
      <c r="EB19" s="1202"/>
      <c r="EC19" s="1202"/>
      <c r="ED19" s="1202"/>
      <c r="EE19" s="1202"/>
      <c r="EF19" s="1202"/>
      <c r="EG19" s="1202"/>
      <c r="EH19" s="1202"/>
      <c r="EI19" s="1202"/>
      <c r="EJ19" s="1202"/>
      <c r="EK19" s="1202"/>
      <c r="EL19" s="1202"/>
      <c r="EM19" s="1202"/>
      <c r="EN19" s="1202"/>
      <c r="EO19" s="1202"/>
      <c r="EP19" s="1202"/>
      <c r="EQ19" s="1202"/>
      <c r="ER19" s="1202"/>
      <c r="ES19" s="1202"/>
      <c r="ET19" s="1202"/>
      <c r="EU19" s="1202"/>
      <c r="EV19" s="1202"/>
      <c r="EW19" s="1202"/>
      <c r="EX19" s="1202"/>
      <c r="EY19" s="1202"/>
      <c r="EZ19" s="1202"/>
      <c r="FA19" s="1202"/>
      <c r="FB19" s="1202"/>
      <c r="FC19" s="1202"/>
      <c r="FD19" s="1202"/>
      <c r="FE19" s="1202"/>
      <c r="FF19" s="1202"/>
      <c r="FG19" s="1202"/>
      <c r="FH19" s="1202"/>
      <c r="FI19" s="1202"/>
      <c r="FJ19" s="1202"/>
      <c r="FK19" s="1202"/>
      <c r="FL19" s="1202"/>
      <c r="FM19" s="1202"/>
      <c r="FN19" s="1202"/>
      <c r="FO19" s="1202"/>
      <c r="FP19" s="1202"/>
      <c r="FQ19" s="1202"/>
      <c r="FR19" s="1202"/>
      <c r="FS19" s="1202"/>
      <c r="FT19" s="1202"/>
      <c r="FU19" s="1202"/>
      <c r="FV19" s="1202"/>
      <c r="FW19" s="1202"/>
      <c r="FX19" s="1206"/>
      <c r="GC19" s="934">
        <v>0</v>
      </c>
    </row>
    <row s="935" customFormat="1" customHeight="1" ht="11.25" hidden="1">
      <c r="B20" s="950"/>
      <c r="D20" s="934"/>
      <c r="E20" s="949"/>
      <c r="F20" s="1207" t="s">
        <v>398</v>
      </c>
      <c r="G20" s="1208"/>
      <c r="H20" s="1209"/>
      <c r="I20" s="1209"/>
      <c r="J20" s="1209"/>
      <c r="K20" s="1209"/>
      <c r="L20" s="1209"/>
      <c r="M20" s="1209"/>
      <c r="N20" s="1209"/>
      <c r="O20" s="1208"/>
      <c r="P20" s="1208"/>
      <c r="Q20" s="1208"/>
      <c r="R20" s="1208"/>
      <c r="S20" s="1208"/>
      <c r="T20" s="1208"/>
      <c r="U20" s="1210"/>
      <c r="V20" s="1210"/>
      <c r="W20" s="1210"/>
      <c r="X20" s="1210"/>
      <c r="Y20" s="1210"/>
      <c r="Z20" s="1210"/>
      <c r="AA20" s="1210"/>
      <c r="AB20" s="1208"/>
      <c r="AC20" s="1209"/>
      <c r="AD20" s="1209"/>
      <c r="AE20" s="1209"/>
      <c r="AF20" s="1209"/>
      <c r="AG20" s="1209"/>
      <c r="AH20" s="1209"/>
      <c r="AI20" s="1209"/>
      <c r="AJ20" s="1209"/>
      <c r="AK20" s="1209"/>
      <c r="AL20" s="1209"/>
      <c r="AM20" s="1209"/>
      <c r="AN20" s="1209"/>
      <c r="AO20" s="1209"/>
      <c r="AP20" s="1209"/>
      <c r="AQ20" s="1209"/>
      <c r="AR20" s="1209"/>
      <c r="AS20" s="1209"/>
      <c r="AT20" s="1209"/>
      <c r="AU20" s="1209"/>
      <c r="AV20" s="1209"/>
      <c r="AW20" s="1209"/>
      <c r="AX20" s="1209"/>
      <c r="AY20" s="1209"/>
      <c r="AZ20" s="1209"/>
      <c r="BA20" s="1209"/>
      <c r="BB20" s="1209"/>
      <c r="BC20" s="1209"/>
      <c r="BD20" s="1209"/>
      <c r="BE20" s="1209"/>
      <c r="BF20" s="1209"/>
      <c r="BG20" s="1209"/>
      <c r="BH20" s="1209"/>
      <c r="BI20" s="1209"/>
      <c r="BJ20" s="1209"/>
      <c r="BK20" s="1209"/>
      <c r="BL20" s="1209"/>
      <c r="BM20" s="1209"/>
      <c r="BN20" s="1209"/>
      <c r="BO20" s="1209"/>
      <c r="BP20" s="1209"/>
      <c r="BQ20" s="1209"/>
      <c r="BR20" s="1209"/>
      <c r="BS20" s="1209"/>
      <c r="BT20" s="1209"/>
      <c r="BU20" s="1209"/>
      <c r="BV20" s="1209"/>
      <c r="BW20" s="1209"/>
      <c r="BX20" s="1209"/>
      <c r="BY20" s="1209"/>
      <c r="BZ20" s="1209"/>
      <c r="CA20" s="1209"/>
      <c r="CB20" s="1209"/>
      <c r="CC20" s="1209"/>
      <c r="CD20" s="1209"/>
      <c r="CE20" s="1209"/>
      <c r="CF20" s="1209"/>
      <c r="CG20" s="1209"/>
      <c r="CH20" s="1209"/>
      <c r="CI20" s="1209"/>
      <c r="CJ20" s="1209"/>
      <c r="CK20" s="1209"/>
      <c r="CL20" s="1211"/>
      <c r="CM20" s="1211"/>
      <c r="CN20" s="1211"/>
      <c r="CO20" s="1211"/>
      <c r="CP20" s="1211"/>
      <c r="CQ20" s="1211"/>
      <c r="CR20" s="1211"/>
      <c r="CS20" s="1211"/>
      <c r="CT20" s="1211"/>
      <c r="CU20" s="1211"/>
      <c r="CV20" s="1211"/>
      <c r="CW20" s="1211"/>
      <c r="CX20" s="1211"/>
      <c r="CY20" s="1211"/>
      <c r="CZ20" s="1211"/>
      <c r="DA20" s="1211"/>
      <c r="DB20" s="1211"/>
      <c r="DC20" s="1211"/>
      <c r="DD20" s="1211"/>
      <c r="DE20" s="1211"/>
      <c r="DF20" s="1211"/>
      <c r="DG20" s="1211"/>
      <c r="DH20" s="1211"/>
      <c r="DI20" s="1211"/>
      <c r="DJ20" s="1211"/>
      <c r="DK20" s="1211"/>
      <c r="DL20" s="1211"/>
      <c r="DM20" s="1211"/>
      <c r="DN20" s="1211"/>
      <c r="DO20" s="1211"/>
      <c r="DP20" s="1211"/>
      <c r="DQ20" s="1211"/>
      <c r="DR20" s="1211"/>
      <c r="DS20" s="1211"/>
      <c r="DT20" s="1211"/>
      <c r="DU20" s="1211"/>
      <c r="DV20" s="1211"/>
      <c r="DW20" s="1211"/>
      <c r="DX20" s="1211"/>
      <c r="DY20" s="1211"/>
      <c r="DZ20" s="1211"/>
      <c r="EA20" s="1211"/>
      <c r="EB20" s="1211"/>
      <c r="EC20" s="1211"/>
      <c r="ED20" s="1211"/>
      <c r="EE20" s="1211"/>
      <c r="EF20" s="1211"/>
      <c r="EG20" s="1211"/>
      <c r="EH20" s="1211"/>
      <c r="EI20" s="1211"/>
      <c r="EJ20" s="1211"/>
      <c r="EK20" s="1211"/>
      <c r="EL20" s="1211"/>
      <c r="EM20" s="1211"/>
      <c r="EN20" s="1211"/>
      <c r="EO20" s="1211"/>
      <c r="EP20" s="1211"/>
      <c r="EQ20" s="1211"/>
      <c r="ER20" s="1211"/>
      <c r="ES20" s="1211"/>
      <c r="ET20" s="1211"/>
      <c r="EU20" s="1211"/>
      <c r="EV20" s="1211"/>
      <c r="EW20" s="1211"/>
      <c r="EX20" s="1211"/>
      <c r="EY20" s="1211"/>
      <c r="EZ20" s="1211"/>
      <c r="FA20" s="1211"/>
      <c r="FB20" s="1211"/>
      <c r="FC20" s="1211"/>
      <c r="FD20" s="1211"/>
      <c r="FE20" s="1211"/>
      <c r="FF20" s="1211"/>
      <c r="FG20" s="1211"/>
      <c r="FH20" s="1211"/>
      <c r="FI20" s="1211"/>
      <c r="FJ20" s="1211"/>
      <c r="FK20" s="1211"/>
      <c r="FL20" s="1211"/>
      <c r="FM20" s="1211"/>
      <c r="FN20" s="1211"/>
      <c r="FO20" s="1211"/>
      <c r="FP20" s="1211"/>
      <c r="FQ20" s="1211"/>
      <c r="FR20" s="1211"/>
      <c r="FS20" s="1211"/>
      <c r="FT20" s="1211"/>
      <c r="FU20" s="1211"/>
      <c r="FV20" s="1211"/>
      <c r="FW20" s="1211"/>
      <c r="FX20" s="1212"/>
      <c r="GC20" s="932">
        <v>0</v>
      </c>
    </row>
    <row s="935" customFormat="1" customHeight="1" ht="12.75">
      <c r="A21" s="951"/>
      <c r="B21" s="951"/>
      <c r="C21" s="951"/>
      <c r="D21" s="951"/>
      <c r="E21" s="951"/>
      <c r="F21" s="949"/>
      <c r="G21" s="949"/>
      <c r="H21" s="949"/>
      <c r="I21" s="949"/>
      <c r="J21" s="949"/>
      <c r="K21" s="949"/>
      <c r="L21" s="949"/>
      <c r="M21" s="949"/>
      <c r="N21" s="949"/>
      <c r="O21" s="949"/>
      <c r="P21" s="949"/>
      <c r="Q21" s="949"/>
      <c r="R21" s="949"/>
      <c r="S21" s="952"/>
      <c r="T21" s="952"/>
      <c r="U21" s="949"/>
      <c r="V21" s="949"/>
      <c r="W21" s="949"/>
      <c r="X21" s="949"/>
      <c r="Y21" s="949"/>
      <c r="Z21" s="949"/>
      <c r="AA21" s="949"/>
      <c r="AB21" s="949"/>
      <c r="AC21" s="949"/>
      <c r="AD21" s="949"/>
      <c r="AE21" s="949"/>
      <c r="AF21" s="949"/>
      <c r="AG21" s="949"/>
      <c r="AH21" s="949"/>
      <c r="AI21" s="949"/>
      <c r="AJ21" s="949"/>
      <c r="AK21" s="949"/>
      <c r="AL21" s="949"/>
      <c r="AM21" s="949"/>
      <c r="AN21" s="949"/>
      <c r="AO21" s="949"/>
      <c r="AP21" s="949"/>
      <c r="AQ21" s="949"/>
      <c r="AR21" s="949"/>
      <c r="AS21" s="949"/>
      <c r="AT21" s="949"/>
      <c r="AU21" s="949"/>
      <c r="AV21" s="949"/>
      <c r="AW21" s="949"/>
      <c r="AX21" s="949"/>
      <c r="AY21" s="949"/>
      <c r="AZ21" s="949"/>
      <c r="BA21" s="949"/>
      <c r="BB21" s="949"/>
      <c r="BC21" s="949"/>
      <c r="BD21" s="949"/>
      <c r="BE21" s="949"/>
      <c r="BF21" s="949"/>
      <c r="BG21" s="949"/>
      <c r="BH21" s="949"/>
      <c r="BI21" s="949"/>
      <c r="BJ21" s="949"/>
      <c r="BK21" s="949"/>
      <c r="BL21" s="949"/>
      <c r="BM21" s="949"/>
      <c r="BN21" s="949"/>
      <c r="BO21" s="949"/>
      <c r="BP21" s="949"/>
      <c r="BQ21" s="949"/>
      <c r="BR21" s="949"/>
      <c r="BS21" s="949"/>
      <c r="BT21" s="949"/>
      <c r="BU21" s="949"/>
      <c r="BV21" s="949"/>
      <c r="BW21" s="949"/>
      <c r="BX21" s="949"/>
      <c r="BY21" s="949"/>
      <c r="BZ21" s="949"/>
      <c r="CA21" s="949"/>
      <c r="CB21" s="949"/>
      <c r="CC21" s="949"/>
      <c r="CD21" s="949"/>
      <c r="CE21" s="949"/>
      <c r="CF21" s="949"/>
      <c r="CG21" s="949"/>
      <c r="CH21" s="949"/>
      <c r="CI21" s="949"/>
      <c r="CJ21" s="949"/>
      <c r="CK21" s="949"/>
      <c r="CL21" s="949"/>
      <c r="CM21" s="949"/>
      <c r="CN21" s="949"/>
      <c r="CO21" s="949"/>
      <c r="CP21" s="949"/>
      <c r="CQ21" s="949"/>
      <c r="CR21" s="949"/>
      <c r="CS21" s="949"/>
      <c r="CT21" s="949"/>
      <c r="CU21" s="949"/>
      <c r="CV21" s="949"/>
      <c r="CW21" s="949"/>
      <c r="CX21" s="949"/>
      <c r="CY21" s="949"/>
      <c r="CZ21" s="949"/>
      <c r="DA21" s="949"/>
      <c r="DB21" s="949"/>
      <c r="DC21" s="949"/>
      <c r="DD21" s="949"/>
      <c r="DE21" s="949"/>
      <c r="DF21" s="949"/>
      <c r="DG21" s="949"/>
      <c r="DH21" s="949"/>
      <c r="DI21" s="949"/>
      <c r="DJ21" s="949"/>
      <c r="DK21" s="949"/>
      <c r="DL21" s="949"/>
      <c r="DM21" s="949"/>
      <c r="DN21" s="949"/>
      <c r="DO21" s="949"/>
      <c r="DP21" s="949"/>
      <c r="DQ21" s="949"/>
      <c r="DR21" s="949"/>
      <c r="DS21" s="949"/>
      <c r="DT21" s="949"/>
      <c r="DU21" s="949"/>
      <c r="DV21" s="949"/>
      <c r="DW21" s="949"/>
      <c r="DX21" s="949"/>
      <c r="DY21" s="949"/>
      <c r="DZ21" s="949"/>
      <c r="EA21" s="949"/>
      <c r="EB21" s="949"/>
      <c r="EC21" s="949"/>
      <c r="ED21" s="949"/>
      <c r="EE21" s="949"/>
      <c r="EF21" s="949"/>
      <c r="EG21" s="949"/>
      <c r="EH21" s="949"/>
      <c r="EI21" s="949"/>
      <c r="EJ21" s="949"/>
      <c r="EK21" s="949"/>
      <c r="EL21" s="949"/>
      <c r="EM21" s="949"/>
      <c r="EN21" s="949"/>
      <c r="EO21" s="949"/>
      <c r="EP21" s="949"/>
      <c r="EQ21" s="949"/>
      <c r="ER21" s="949"/>
      <c r="ES21" s="949"/>
      <c r="ET21" s="949"/>
      <c r="EU21" s="949"/>
      <c r="EV21" s="949"/>
      <c r="EW21" s="949"/>
      <c r="EX21" s="949"/>
      <c r="EY21" s="949"/>
      <c r="EZ21" s="949"/>
      <c r="FA21" s="949"/>
      <c r="FB21" s="949"/>
      <c r="FC21" s="949"/>
      <c r="FD21" s="949"/>
      <c r="FE21" s="949"/>
      <c r="FF21" s="949"/>
      <c r="FG21" s="949"/>
      <c r="FH21" s="949"/>
      <c r="FI21" s="949"/>
      <c r="FJ21" s="949"/>
      <c r="FK21" s="949"/>
      <c r="FL21" s="949"/>
      <c r="FM21" s="949"/>
      <c r="FN21" s="949"/>
      <c r="FO21" s="949"/>
      <c r="FP21" s="949"/>
      <c r="FQ21" s="949"/>
      <c r="FR21" s="949"/>
      <c r="FS21" s="949"/>
      <c r="FT21" s="949"/>
      <c r="FU21" s="949"/>
      <c r="FV21" s="949"/>
      <c r="FW21" s="949"/>
      <c r="FX21" s="951"/>
      <c r="FY21" s="951"/>
      <c r="FZ21" s="951"/>
      <c r="GA21" s="951"/>
      <c r="GB21" s="951"/>
      <c r="GC21" s="932">
        <v>12</v>
      </c>
    </row>
    <row s="935" customFormat="1" customHeight="1" ht="12.75">
      <c r="A22" s="951"/>
      <c r="B22" s="951"/>
      <c r="C22" s="951"/>
      <c r="D22" s="951"/>
      <c r="E22" s="951"/>
      <c r="FX22" s="951"/>
      <c r="FY22" s="951"/>
      <c r="FZ22" s="951"/>
      <c r="GA22" s="951"/>
      <c r="GB22" s="951"/>
      <c r="GC22" s="932">
        <v>12</v>
      </c>
    </row>
    <row s="1073" customFormat="1" customHeight="1" ht="12.75">
      <c r="A23" s="1072"/>
      <c r="B23" s="1072"/>
      <c r="C23" s="1072"/>
      <c r="D23" s="1072"/>
      <c r="E23" s="1072"/>
      <c r="O23" s="1074"/>
      <c r="P23" s="1074"/>
      <c r="Q23" s="1074"/>
      <c r="R23" s="1074"/>
      <c r="S23" s="1074"/>
      <c r="T23" s="1074"/>
      <c r="U23" s="1074"/>
      <c r="V23" s="1074"/>
      <c r="W23" s="1074"/>
      <c r="X23" s="1074"/>
      <c r="Y23" s="1074"/>
      <c r="Z23" s="1074"/>
      <c r="AA23" s="1074"/>
      <c r="AB23" s="1074"/>
      <c r="AC23" s="1074"/>
      <c r="AD23" s="1074"/>
      <c r="AE23" s="1074"/>
      <c r="AF23" s="1074"/>
      <c r="AG23" s="1074"/>
      <c r="AH23" s="1074"/>
      <c r="AI23" s="1074"/>
      <c r="AJ23" s="1074"/>
      <c r="AK23" s="1074"/>
      <c r="AL23" s="1074"/>
      <c r="AM23" s="1074"/>
      <c r="AN23" s="1074"/>
      <c r="AO23" s="1074"/>
      <c r="AP23" s="1074"/>
      <c r="AQ23" s="1074"/>
      <c r="AR23" s="1074"/>
      <c r="AS23" s="1074"/>
      <c r="AT23" s="1074"/>
      <c r="AU23" s="1074"/>
      <c r="AV23" s="1074"/>
      <c r="AW23" s="1074"/>
      <c r="AX23" s="1074"/>
      <c r="AY23" s="1074"/>
      <c r="AZ23" s="1074"/>
      <c r="BA23" s="1074"/>
      <c r="BB23" s="1074"/>
      <c r="BC23" s="1074"/>
      <c r="BD23" s="1074"/>
      <c r="BE23" s="1074"/>
      <c r="BF23" s="1074"/>
      <c r="BG23" s="1074"/>
      <c r="BH23" s="1074"/>
      <c r="BI23" s="1074"/>
      <c r="BJ23" s="1074"/>
      <c r="BK23" s="1074"/>
      <c r="BL23" s="1074"/>
      <c r="BM23" s="1074"/>
      <c r="BN23" s="1074"/>
      <c r="BO23" s="1074"/>
      <c r="BP23" s="1074"/>
      <c r="BQ23" s="1074"/>
      <c r="BR23" s="1074"/>
      <c r="BS23" s="1074"/>
      <c r="BT23" s="1075"/>
      <c r="BU23" s="1075"/>
      <c r="BV23" s="1075"/>
      <c r="BW23" s="1075"/>
      <c r="BX23" s="1075"/>
      <c r="BY23" s="1075"/>
      <c r="BZ23" s="1075"/>
      <c r="CA23" s="1075"/>
      <c r="CB23" s="1075"/>
      <c r="CC23" s="1075"/>
      <c r="CD23" s="1075"/>
      <c r="CE23" s="1075"/>
      <c r="CF23" s="1075"/>
      <c r="CG23" s="1075"/>
      <c r="CH23" s="1075"/>
      <c r="CI23" s="1075"/>
      <c r="CJ23" s="1075"/>
      <c r="CK23" s="1075"/>
      <c r="CL23" s="1075"/>
      <c r="CM23" s="1075"/>
      <c r="CN23" s="1075"/>
      <c r="CO23" s="1075"/>
      <c r="CP23" s="1075"/>
      <c r="CQ23" s="1075"/>
      <c r="CR23" s="1075"/>
      <c r="CS23" s="1075"/>
      <c r="CT23" s="1075"/>
      <c r="CU23" s="1075"/>
      <c r="CV23" s="1075"/>
      <c r="CW23" s="1075"/>
      <c r="CX23" s="1075"/>
      <c r="CY23" s="1075"/>
      <c r="CZ23" s="1075"/>
      <c r="DA23" s="1075"/>
      <c r="DB23" s="1075"/>
      <c r="DC23" s="1075"/>
      <c r="DD23" s="1075"/>
      <c r="DE23" s="1075"/>
      <c r="DF23" s="1075"/>
      <c r="DG23" s="1075"/>
      <c r="DH23" s="1075"/>
      <c r="DI23" s="1075"/>
      <c r="DJ23" s="1075"/>
      <c r="DK23" s="1075"/>
      <c r="DL23" s="1075"/>
      <c r="DM23" s="1075"/>
      <c r="DN23" s="1075"/>
      <c r="DO23" s="1075"/>
      <c r="DP23" s="1075"/>
      <c r="DQ23" s="1075"/>
      <c r="DR23" s="1075"/>
      <c r="DS23" s="1075"/>
      <c r="DT23" s="1075"/>
      <c r="DU23" s="1075"/>
      <c r="DV23" s="1075"/>
      <c r="DW23" s="1075"/>
      <c r="DX23" s="1075"/>
      <c r="FX23" s="1072"/>
      <c r="FY23" s="1072"/>
      <c r="FZ23" s="1072"/>
      <c r="GA23" s="1072"/>
      <c r="GB23" s="1072"/>
      <c r="GC23" s="1073">
        <v>12</v>
      </c>
    </row>
    <row customHeight="1" ht="12.75">
      <c r="S24" s="948"/>
      <c r="T24" s="948"/>
      <c r="U24" s="948"/>
      <c r="V24" s="948"/>
      <c r="W24" s="948"/>
      <c r="X24" s="948"/>
      <c r="Y24" s="948"/>
      <c r="Z24" s="948"/>
      <c r="AA24" s="948"/>
      <c r="AB24" s="948"/>
      <c r="FX24" s="948"/>
      <c r="FY24" s="948"/>
      <c r="FZ24" s="948"/>
      <c r="GA24" s="948"/>
      <c r="GB24" s="948"/>
      <c r="GC24" s="936">
        <v>12</v>
      </c>
    </row>
    <row customHeight="1" ht="12" hidden="1">
      <c r="A25" s="936" t="s">
        <v>82</v>
      </c>
      <c r="B25" s="946">
        <v>0</v>
      </c>
      <c r="C25" s="936">
        <v>0</v>
      </c>
      <c r="D25" s="936">
        <v>0</v>
      </c>
      <c r="E25" s="936">
        <v>3</v>
      </c>
      <c r="F25" s="936">
        <v>6</v>
      </c>
      <c r="G25" s="936">
        <v>18</v>
      </c>
      <c r="H25" s="936">
        <v>27</v>
      </c>
      <c r="I25" s="936">
        <v>18</v>
      </c>
      <c r="J25" s="936">
        <v>0</v>
      </c>
      <c r="K25" s="936">
        <v>0</v>
      </c>
      <c r="L25" s="936">
        <v>0</v>
      </c>
      <c r="M25" s="936">
        <v>0</v>
      </c>
      <c r="N25" s="936">
        <v>0</v>
      </c>
      <c r="O25" s="936">
        <v>0</v>
      </c>
      <c r="P25" s="936">
        <v>0</v>
      </c>
      <c r="Q25" s="936">
        <v>0</v>
      </c>
      <c r="R25" s="936">
        <v>0</v>
      </c>
      <c r="S25" s="936">
        <v>0</v>
      </c>
      <c r="T25" s="936">
        <v>0</v>
      </c>
      <c r="U25" s="936">
        <v>0</v>
      </c>
      <c r="V25" s="936">
        <v>0</v>
      </c>
      <c r="W25" s="936">
        <v>0</v>
      </c>
      <c r="X25" s="936">
        <v>0</v>
      </c>
      <c r="Y25" s="936">
        <v>0</v>
      </c>
      <c r="Z25" s="936">
        <v>0</v>
      </c>
      <c r="AA25" s="936">
        <v>0</v>
      </c>
      <c r="AB25" s="936">
        <v>0</v>
      </c>
      <c r="AC25" s="936">
        <v>0</v>
      </c>
      <c r="AD25" s="936">
        <v>0</v>
      </c>
      <c r="AE25" s="936">
        <v>0</v>
      </c>
      <c r="AF25" s="936">
        <v>0</v>
      </c>
      <c r="AG25" s="936">
        <v>0</v>
      </c>
      <c r="AH25" s="936">
        <v>0</v>
      </c>
      <c r="AI25" s="936">
        <v>0</v>
      </c>
      <c r="AJ25" s="936">
        <v>0</v>
      </c>
      <c r="AK25" s="936">
        <v>0</v>
      </c>
      <c r="AL25" s="936">
        <v>0</v>
      </c>
      <c r="AM25" s="936">
        <v>0</v>
      </c>
      <c r="AN25" s="936">
        <v>0</v>
      </c>
      <c r="AO25" s="936">
        <v>0</v>
      </c>
      <c r="AP25" s="936">
        <v>0</v>
      </c>
      <c r="AQ25" s="936">
        <v>0</v>
      </c>
      <c r="AR25" s="936">
        <v>0</v>
      </c>
      <c r="AS25" s="936">
        <v>0</v>
      </c>
      <c r="AT25" s="936">
        <v>0</v>
      </c>
      <c r="AU25" s="936">
        <v>0</v>
      </c>
      <c r="AV25" s="936">
        <v>0</v>
      </c>
      <c r="AW25" s="936">
        <v>0</v>
      </c>
      <c r="AX25" s="936">
        <v>0</v>
      </c>
      <c r="AY25" s="936">
        <v>0</v>
      </c>
      <c r="AZ25" s="936">
        <v>0</v>
      </c>
      <c r="BA25" s="936">
        <v>0</v>
      </c>
      <c r="BB25" s="936">
        <v>0</v>
      </c>
      <c r="BC25" s="936">
        <v>0</v>
      </c>
      <c r="BD25" s="936">
        <v>0</v>
      </c>
      <c r="BE25" s="936">
        <v>0</v>
      </c>
      <c r="BF25" s="936">
        <v>0</v>
      </c>
      <c r="BG25" s="936">
        <v>0</v>
      </c>
      <c r="BH25" s="936">
        <v>0</v>
      </c>
      <c r="BI25" s="936">
        <v>0</v>
      </c>
      <c r="BJ25" s="936">
        <v>0</v>
      </c>
      <c r="BK25" s="936">
        <v>0</v>
      </c>
      <c r="BL25" s="936">
        <v>0</v>
      </c>
      <c r="BM25" s="936">
        <v>0</v>
      </c>
      <c r="BN25" s="936">
        <v>0</v>
      </c>
      <c r="BO25" s="936">
        <v>0</v>
      </c>
      <c r="BP25" s="936">
        <v>0</v>
      </c>
      <c r="BQ25" s="936">
        <v>0</v>
      </c>
      <c r="BR25" s="936">
        <v>0</v>
      </c>
      <c r="BS25" s="936">
        <v>0</v>
      </c>
      <c r="BT25" s="936">
        <v>0</v>
      </c>
      <c r="BU25" s="936">
        <v>0</v>
      </c>
      <c r="BV25" s="936">
        <v>0</v>
      </c>
      <c r="BW25" s="936">
        <v>0</v>
      </c>
      <c r="BX25" s="936">
        <v>0</v>
      </c>
      <c r="BY25" s="936">
        <v>0</v>
      </c>
      <c r="BZ25" s="936">
        <v>0</v>
      </c>
      <c r="CA25" s="936">
        <v>0</v>
      </c>
      <c r="CB25" s="936">
        <v>0</v>
      </c>
      <c r="CC25" s="936">
        <v>0</v>
      </c>
      <c r="CD25" s="936">
        <v>0</v>
      </c>
      <c r="CE25" s="936">
        <v>0</v>
      </c>
      <c r="CF25" s="936">
        <v>0</v>
      </c>
      <c r="CG25" s="936">
        <v>0</v>
      </c>
      <c r="CH25" s="936">
        <v>0</v>
      </c>
      <c r="CI25" s="936">
        <v>0</v>
      </c>
      <c r="CJ25" s="936">
        <v>0</v>
      </c>
      <c r="CK25" s="936">
        <v>0</v>
      </c>
      <c r="CL25" s="936">
        <v>0</v>
      </c>
      <c r="CM25" s="936">
        <v>0</v>
      </c>
      <c r="CN25" s="936">
        <v>0</v>
      </c>
      <c r="CO25" s="936">
        <v>0</v>
      </c>
      <c r="CP25" s="936">
        <v>0</v>
      </c>
      <c r="CQ25" s="936">
        <v>0</v>
      </c>
      <c r="CR25" s="936">
        <v>0</v>
      </c>
      <c r="CS25" s="936">
        <v>0</v>
      </c>
      <c r="CT25" s="936">
        <v>0</v>
      </c>
      <c r="CU25" s="936">
        <v>0</v>
      </c>
      <c r="CV25" s="936">
        <v>0</v>
      </c>
      <c r="CW25" s="936">
        <v>0</v>
      </c>
      <c r="CX25" s="936">
        <v>0</v>
      </c>
      <c r="CY25" s="936">
        <v>0</v>
      </c>
      <c r="CZ25" s="936">
        <v>0</v>
      </c>
      <c r="DA25" s="936">
        <v>0</v>
      </c>
      <c r="DB25" s="936">
        <v>0</v>
      </c>
      <c r="DC25" s="936">
        <v>0</v>
      </c>
      <c r="DD25" s="936">
        <v>0</v>
      </c>
      <c r="DE25" s="936">
        <v>0</v>
      </c>
      <c r="DF25" s="936">
        <v>0</v>
      </c>
      <c r="DG25" s="936">
        <v>0</v>
      </c>
      <c r="DH25" s="936">
        <v>0</v>
      </c>
      <c r="DI25" s="936">
        <v>0</v>
      </c>
      <c r="DJ25" s="936">
        <v>0</v>
      </c>
      <c r="DK25" s="936">
        <v>0</v>
      </c>
      <c r="DL25" s="936">
        <v>0</v>
      </c>
      <c r="DM25" s="936">
        <v>0</v>
      </c>
      <c r="DN25" s="936">
        <v>0</v>
      </c>
      <c r="DO25" s="936">
        <v>0</v>
      </c>
      <c r="DP25" s="936">
        <v>0</v>
      </c>
      <c r="DQ25" s="936">
        <v>0</v>
      </c>
      <c r="DR25" s="936">
        <v>0</v>
      </c>
      <c r="DS25" s="936">
        <v>0</v>
      </c>
      <c r="DT25" s="936">
        <v>0</v>
      </c>
      <c r="DU25" s="936">
        <v>0</v>
      </c>
      <c r="DV25" s="936">
        <v>0</v>
      </c>
      <c r="DW25" s="936">
        <v>0</v>
      </c>
      <c r="DX25" s="936">
        <v>0</v>
      </c>
      <c r="DY25" s="936">
        <v>0</v>
      </c>
      <c r="DZ25" s="936">
        <v>0</v>
      </c>
      <c r="EA25" s="936">
        <v>0</v>
      </c>
      <c r="EB25" s="936">
        <v>0</v>
      </c>
      <c r="EC25" s="936">
        <v>0</v>
      </c>
      <c r="ED25" s="936">
        <v>0</v>
      </c>
      <c r="EE25" s="936">
        <v>0</v>
      </c>
      <c r="EF25" s="936">
        <v>0</v>
      </c>
      <c r="EG25" s="936">
        <v>0</v>
      </c>
      <c r="EH25" s="936">
        <v>0</v>
      </c>
      <c r="EI25" s="936">
        <v>0</v>
      </c>
      <c r="EJ25" s="936">
        <v>0</v>
      </c>
      <c r="EK25" s="936">
        <v>0</v>
      </c>
      <c r="EL25" s="936">
        <v>0</v>
      </c>
      <c r="EM25" s="936">
        <v>0</v>
      </c>
      <c r="EN25" s="936">
        <v>0</v>
      </c>
      <c r="EO25" s="936">
        <v>0</v>
      </c>
      <c r="EP25" s="936">
        <v>0</v>
      </c>
      <c r="EQ25" s="936">
        <v>0</v>
      </c>
      <c r="ER25" s="936">
        <v>0</v>
      </c>
      <c r="ES25" s="936">
        <v>0</v>
      </c>
      <c r="ET25" s="936">
        <v>0</v>
      </c>
      <c r="EU25" s="936">
        <v>0</v>
      </c>
      <c r="EV25" s="936">
        <v>0</v>
      </c>
      <c r="EW25" s="936">
        <v>0</v>
      </c>
      <c r="EX25" s="936">
        <v>0</v>
      </c>
      <c r="EY25" s="936">
        <v>0</v>
      </c>
      <c r="EZ25" s="936">
        <v>0</v>
      </c>
      <c r="FA25" s="936">
        <v>0</v>
      </c>
      <c r="FB25" s="936">
        <v>0</v>
      </c>
      <c r="FC25" s="936">
        <v>0</v>
      </c>
      <c r="FD25" s="936">
        <v>0</v>
      </c>
      <c r="FE25" s="936">
        <v>0</v>
      </c>
      <c r="FF25" s="936">
        <v>0</v>
      </c>
      <c r="FG25" s="936">
        <v>0</v>
      </c>
      <c r="FH25" s="936">
        <v>0</v>
      </c>
      <c r="FI25" s="936">
        <v>0</v>
      </c>
      <c r="FJ25" s="936">
        <v>0</v>
      </c>
      <c r="FK25" s="936">
        <v>0</v>
      </c>
      <c r="FL25" s="936">
        <v>0</v>
      </c>
      <c r="FM25" s="936">
        <v>0</v>
      </c>
      <c r="FN25" s="936">
        <v>0</v>
      </c>
      <c r="FO25" s="936">
        <v>0</v>
      </c>
      <c r="FP25" s="936">
        <v>0</v>
      </c>
      <c r="FQ25" s="936">
        <v>0</v>
      </c>
      <c r="FR25" s="936">
        <v>0</v>
      </c>
      <c r="FS25" s="936">
        <v>0</v>
      </c>
      <c r="FT25" s="936">
        <v>0</v>
      </c>
      <c r="FU25" s="936">
        <v>0</v>
      </c>
      <c r="FV25" s="936">
        <v>0</v>
      </c>
      <c r="FW25" s="936">
        <v>0</v>
      </c>
      <c r="FX25" s="936">
        <v>8</v>
      </c>
      <c r="FY25" s="936">
        <v>8</v>
      </c>
      <c r="FZ25" s="936">
        <v>8</v>
      </c>
      <c r="GA25" s="936">
        <v>8</v>
      </c>
      <c r="GB25" s="936">
        <v>8</v>
      </c>
      <c r="GC25" s="936">
        <v>12</v>
      </c>
    </row>
  </sheetData>
  <sheetProtection sheet="1" formatColumns="0" formatRows="0" autoFilter="0" sort="1" insertRows="1" insertColumns="1" deleteRows="1" deleteColumns="1"/>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9B2915-4442-649E-59A4-0.CBB07B1E}" mc:Ignorable="x14ac xr xr2 xr3">
  <sheetPr>
    <tabColor theme="2" tint="-0.1"/>
  </sheetPr>
  <dimension ref="A1:V23"/>
  <sheetViews>
    <sheetView showGridLines="0" zoomScale="90" workbookViewId="0">
      <pane xSplit="7" ySplit="14" topLeftCell="H15" activePane="bottomRight" state="frozen"/>
      <selection pane="bottomLeft" activeCell="A15" sqref="A15"/>
      <selection pane="topRight" activeCell="H1" sqref="H1"/>
      <selection pane="bottomRight" activeCell="I21" sqref="I21"/>
    </sheetView>
  </sheetViews>
  <sheetFormatPr defaultColWidth="10.57421875" customHeight="1" defaultRowHeight="15"/>
  <cols>
    <col min="1" max="1" style="1642" width="9.140625" hidden="1" customWidth="1"/>
    <col min="2" max="2" style="1645" width="9.140625" hidden="1" customWidth="1"/>
    <col min="3" max="3" style="693" width="4.00390625" customWidth="1"/>
    <col min="4" max="4" style="1645" width="6.00390625" customWidth="1"/>
    <col min="5" max="5" style="1645" width="36.00390625" customWidth="1"/>
    <col min="6" max="6" style="1645" width="9.00390625" customWidth="1"/>
    <col min="7" max="7" style="1645" width="42.421875" hidden="1" customWidth="1"/>
    <col min="8" max="8" style="1645" width="40.7109375" customWidth="1"/>
    <col min="9" max="11" style="1645" width="42.421875" customWidth="1"/>
    <col min="12" max="12" style="1376" width="93.00390625" customWidth="1"/>
    <col min="13" max="20" style="1645" width="10.00390625" customWidth="1"/>
    <col min="21" max="21" style="685" width="10.00390625" customWidth="1"/>
    <col min="22" max="22" style="1645" width="10.57421875" hidden="1"/>
  </cols>
  <sheetData>
    <row s="1376" customFormat="1" customHeight="1" ht="15" hidden="1">
      <c r="C1" s="682"/>
      <c r="H1" s="427">
        <v>4</v>
      </c>
      <c r="I1" s="1376"/>
      <c r="J1" s="1376"/>
      <c r="K1" s="1376"/>
      <c r="U1" s="430"/>
      <c r="V1" s="427" t="s">
        <v>14</v>
      </c>
    </row>
    <row customHeight="1" ht="22.5" hidden="1">
      <c r="C2" s="1938" t="s">
        <v>105</v>
      </c>
      <c r="D2" s="549"/>
      <c r="E2" s="673"/>
      <c r="F2" s="1771" t="str">
        <f>IF(TEMPLATE_SPHERE="HEAT","Гкал/час","тыс. куб. м/сутки")</f>
        <v>Гкал/час</v>
      </c>
      <c r="G2" s="690"/>
      <c r="H2" s="690"/>
      <c r="I2" s="690"/>
      <c r="J2" s="690"/>
      <c r="K2" s="690"/>
      <c r="L2" s="299"/>
      <c r="V2" s="515">
        <v>0</v>
      </c>
    </row>
    <row s="1376" customFormat="1" customHeight="1" ht="15" hidden="1">
      <c r="C3" s="682"/>
      <c r="I3" s="1376"/>
      <c r="J3" s="1376"/>
      <c r="K3" s="1376"/>
      <c r="U3" s="430"/>
      <c r="V3" s="427">
        <v>0</v>
      </c>
    </row>
    <row customHeight="1" ht="15.75">
      <c r="C4" s="186"/>
      <c r="D4" s="519"/>
      <c r="E4" s="519"/>
      <c r="F4" s="519"/>
      <c r="G4" s="519"/>
      <c r="H4" s="519"/>
      <c r="I4" s="1645"/>
      <c r="J4" s="1645"/>
      <c r="K4" s="1645"/>
      <c r="V4" s="515">
        <v>15</v>
      </c>
    </row>
    <row customHeight="1" ht="39.75">
      <c r="C5" s="186"/>
      <c r="D5" s="2247"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7"/>
      <c r="F5" s="2247"/>
      <c r="G5" s="2247"/>
      <c r="H5" s="2247"/>
      <c r="I5" s="2258"/>
      <c r="J5" s="2258"/>
      <c r="K5" s="2258"/>
      <c r="L5" s="547"/>
      <c r="V5" s="515">
        <v>38</v>
      </c>
    </row>
    <row customHeight="1" ht="15.75">
      <c r="C6" s="186"/>
      <c r="D6" s="2186" t="str">
        <f>IF(org=0,"Не определено",org)</f>
        <v>АО «ДГК» СП «Нерюнгринская ГРЭС»</v>
      </c>
      <c r="E6" s="2186"/>
      <c r="F6" s="2186"/>
      <c r="G6" s="2186"/>
      <c r="H6" s="2186"/>
      <c r="I6" s="2259"/>
      <c r="J6" s="2259"/>
      <c r="K6" s="2259"/>
      <c r="L6" s="547"/>
      <c r="V6" s="515">
        <v>15</v>
      </c>
    </row>
    <row s="1645" customFormat="1" customHeight="1" ht="15.75">
      <c r="A7" s="769"/>
      <c r="C7" s="186"/>
      <c r="D7" s="686"/>
      <c r="E7" s="686"/>
      <c r="F7" s="686"/>
      <c r="G7" s="686"/>
      <c r="H7" s="762"/>
      <c r="I7" s="2417" t="s">
        <v>22</v>
      </c>
      <c r="J7" s="2417" t="s">
        <v>22</v>
      </c>
      <c r="K7" s="2417" t="s">
        <v>22</v>
      </c>
      <c r="L7" s="547"/>
      <c r="U7" s="685"/>
      <c r="V7" s="768">
        <v>15</v>
      </c>
    </row>
    <row customHeight="1" ht="1.05">
      <c r="C8" s="186"/>
      <c r="D8" s="519"/>
      <c r="E8" s="519"/>
      <c r="F8" s="519"/>
      <c r="G8" s="519"/>
      <c r="H8" s="547" t="s">
        <v>132</v>
      </c>
      <c r="I8" s="1645" t="s">
        <v>138</v>
      </c>
      <c r="J8" s="1645" t="s">
        <v>141</v>
      </c>
      <c r="K8" s="1645" t="s">
        <v>143</v>
      </c>
      <c r="V8" s="515">
        <v>1</v>
      </c>
    </row>
    <row customHeight="1" ht="50.833333333333336">
      <c r="C9" s="186"/>
      <c r="D9" s="721"/>
      <c r="E9" s="2377" t="s">
        <v>120</v>
      </c>
      <c r="F9" s="2378"/>
      <c r="G9" s="826" t="str">
        <f>IF(G8="","",INDEX(DIFFERENTIATION_UNMERGE_VD,MATCH(G8,DIFFERENTIATION_ID_DIFF,0)))</f>
        <v/>
      </c>
      <c r="H9" s="826" t="str">
        <f>IF(H8="","",INDEX(DIFFERENTIATION_UNMERGE_VD,MATCH(H8,DIFFERENTIATION_ID_DIFF,0)))</f>
        <v>Производство тепловой энергии. Некомбинированная выработка</v>
      </c>
      <c r="I9" s="2405" t="str">
        <f>IF(I8="","",INDEX(DIFFERENTIATION_UNMERGE_VD,MATCH(I8,DIFFERENTIATION_ID_DIFF,0)))</f>
        <v>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J9" s="2405" t="str">
        <f>IF(J8="","",INDEX(DIFFERENTIATION_UNMERGE_VD,MATCH(J8,DIFFERENTIATION_ID_DIFF,0)))</f>
        <v>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K9" s="2405" t="str">
        <f>IF(K8="","",INDEX(DIFFERENTIATION_UNMERGE_VD,MATCH(K8,DIFFERENTIATION_ID_DIFF,0)))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 Передача. Тепловая энергия; Передача. Теплоноситель; Сбыт. Тепловая энергия; Сбыт. Теплоноситель</v>
      </c>
      <c r="L9" s="2137" t="s">
        <v>323</v>
      </c>
      <c r="V9" s="515">
        <v>15</v>
      </c>
    </row>
    <row s="1645" customFormat="1" customHeight="1" ht="15.75">
      <c r="A10" s="769"/>
      <c r="C10" s="186"/>
      <c r="D10" s="721"/>
      <c r="E10" s="2377" t="s">
        <v>586</v>
      </c>
      <c r="F10" s="2378"/>
      <c r="G10" s="826" t="str">
        <f>IF(G8="","",INDEX(DIFFERENTIATION_UNMERGE_AREA,MATCH(G8,DIFFERENTIATION_ID_DIFF,0)))</f>
        <v/>
      </c>
      <c r="H10" s="826" t="str">
        <f>IF(H8="","",INDEX(DIFFERENTIATION_UNMERGE_AREA,MATCH(H8,DIFFERENTIATION_ID_DIFF,0)))</f>
        <v>Территория 1</v>
      </c>
      <c r="I10" s="2405" t="str">
        <f>IF(I8="","",INDEX(DIFFERENTIATION_UNMERGE_AREA,MATCH(I8,DIFFERENTIATION_ID_DIFF,0)))</f>
        <v>Территория 2</v>
      </c>
      <c r="J10" s="2405" t="str">
        <f>IF(J8="","",INDEX(DIFFERENTIATION_UNMERGE_AREA,MATCH(J8,DIFFERENTIATION_ID_DIFF,0)))</f>
        <v>Территория 3</v>
      </c>
      <c r="K10" s="2405" t="str">
        <f>IF(K8="","",INDEX(DIFFERENTIATION_UNMERGE_AREA,MATCH(K8,DIFFERENTIATION_ID_DIFF,0)))</f>
        <v>Территория 4</v>
      </c>
      <c r="L10" s="2137"/>
      <c r="U10" s="685"/>
      <c r="V10" s="768">
        <v>15</v>
      </c>
    </row>
    <row s="1645" customFormat="1" customHeight="1" ht="15.75">
      <c r="A11" s="769"/>
      <c r="C11" s="186"/>
      <c r="D11" s="721"/>
      <c r="E11" s="2377" t="s">
        <v>587</v>
      </c>
      <c r="F11" s="2378"/>
      <c r="G11" s="826" t="str">
        <f>IF(G8="","",INDEX(DIFFERENTIATION_UNMERGE_SYSTEM,MATCH(G8,DIFFERENTIATION_ID_DIFF,0)))</f>
        <v/>
      </c>
      <c r="H11" s="826" t="str">
        <f>IF(H8="","",INDEX(DIFFERENTIATION_UNMERGE_SYSTEM,MATCH(H8,DIFFERENTIATION_ID_DIFF,0)))</f>
        <v>Нерюнгринская ГРЭС (г. Нерюнгри)</v>
      </c>
      <c r="I11" s="2405" t="str">
        <f>IF(I8="","",INDEX(DIFFERENTIATION_UNMERGE_SYSTEM,MATCH(I8,DIFFERENTIATION_ID_DIFF,0)))</f>
        <v>Нерюнгринская ГРЭС (п. Серебряный Бор)</v>
      </c>
      <c r="J11" s="2405" t="str">
        <f>IF(J8="","",INDEX(DIFFERENTIATION_UNMERGE_SYSTEM,MATCH(J8,DIFFERENTIATION_ID_DIFF,0)))</f>
        <v>Нерюнгринская ГРЭС (п. Беркакит)</v>
      </c>
      <c r="K11" s="2405" t="str">
        <f>IF(K8="","",INDEX(DIFFERENTIATION_UNMERGE_SYSTEM,MATCH(K8,DIFFERENTIATION_ID_DIFF,0)))</f>
        <v>Чульманская ТЭЦ (п. Чульман)</v>
      </c>
      <c r="L11" s="2137"/>
      <c r="U11" s="685"/>
      <c r="V11" s="768">
        <v>15</v>
      </c>
    </row>
    <row s="1645" customFormat="1" customHeight="1" ht="15.75">
      <c r="A12" s="769"/>
      <c r="C12" s="186"/>
      <c r="D12" s="2379" t="s">
        <v>322</v>
      </c>
      <c r="E12" s="2380"/>
      <c r="F12" s="2380"/>
      <c r="G12" s="897"/>
      <c r="H12" s="897"/>
      <c r="I12" s="2377"/>
      <c r="J12" s="2377"/>
      <c r="K12" s="2377"/>
      <c r="L12" s="2137"/>
      <c r="U12" s="685"/>
      <c r="V12" s="768">
        <v>15</v>
      </c>
    </row>
    <row customHeight="1" ht="35.699999999999996">
      <c r="C13" s="186"/>
      <c r="D13" s="771" t="s">
        <v>88</v>
      </c>
      <c r="E13" s="770" t="s">
        <v>324</v>
      </c>
      <c r="F13" s="770" t="s">
        <v>588</v>
      </c>
      <c r="G13" s="818" t="s">
        <v>325</v>
      </c>
      <c r="H13" s="764" t="s">
        <v>325</v>
      </c>
      <c r="I13" s="2272" t="s">
        <v>325</v>
      </c>
      <c r="J13" s="2272" t="s">
        <v>325</v>
      </c>
      <c r="K13" s="2272" t="s">
        <v>325</v>
      </c>
      <c r="L13" s="2137"/>
      <c r="V13" s="515">
        <v>34</v>
      </c>
    </row>
    <row customHeight="1" ht="15" hidden="1">
      <c r="C14" s="186"/>
      <c r="D14" s="603" t="s">
        <v>124</v>
      </c>
      <c r="E14" s="603" t="s">
        <v>104</v>
      </c>
      <c r="F14" s="603" t="s">
        <v>90</v>
      </c>
      <c r="G14" s="669" t="str">
        <f>G1&amp;".1"</f>
        <v>.1</v>
      </c>
      <c r="H14" s="669" t="str">
        <f>H1&amp;".1"</f>
        <v>4.1</v>
      </c>
      <c r="I14" s="693" t="str">
        <f>I1&amp;".1"</f>
        <v>.1</v>
      </c>
      <c r="J14" s="693" t="str">
        <f>J1&amp;".1"</f>
        <v>.1</v>
      </c>
      <c r="K14" s="693" t="str">
        <f>K1&amp;".1"</f>
        <v>.1</v>
      </c>
      <c r="L14" s="299"/>
      <c r="V14" s="515">
        <v>0</v>
      </c>
    </row>
    <row customHeight="1" ht="15.75">
      <c r="A15" s="515"/>
      <c r="C15" s="536"/>
      <c r="D15" s="531">
        <v>1</v>
      </c>
      <c r="E15" s="1940" t="str">
        <f>TP_P_A</f>
        <v>Количество поданных заявок</v>
      </c>
      <c r="F15" s="531" t="s">
        <v>1397</v>
      </c>
      <c r="G15" s="695"/>
      <c r="H15" s="695">
        <v>2</v>
      </c>
      <c r="I15" s="695">
        <v>1</v>
      </c>
      <c r="J15" s="695">
        <v>0</v>
      </c>
      <c r="K15" s="695">
        <v>0</v>
      </c>
      <c r="L15" s="218"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V15" s="515">
        <v>15</v>
      </c>
    </row>
    <row customHeight="1" ht="15.75">
      <c r="A16" s="515"/>
      <c r="C16" s="536"/>
      <c r="D16" s="531">
        <v>2</v>
      </c>
      <c r="E16" s="1940" t="str">
        <f>TP_P_B</f>
        <v>Количество рассмотренных заявок</v>
      </c>
      <c r="F16" s="531" t="s">
        <v>1397</v>
      </c>
      <c r="G16" s="695"/>
      <c r="H16" s="695">
        <v>0</v>
      </c>
      <c r="I16" s="695">
        <v>0</v>
      </c>
      <c r="J16" s="695">
        <v>0</v>
      </c>
      <c r="K16" s="695">
        <v>0</v>
      </c>
      <c r="L16" s="218"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V16" s="515">
        <v>15</v>
      </c>
    </row>
    <row customHeight="1" ht="77.7">
      <c r="A17" s="515"/>
      <c r="C17" s="536"/>
      <c r="D17" s="531">
        <v>3</v>
      </c>
      <c r="E17" s="1940"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31" t="s">
        <v>1397</v>
      </c>
      <c r="G17" s="695"/>
      <c r="H17" s="695">
        <v>0</v>
      </c>
      <c r="I17" s="695">
        <v>0</v>
      </c>
      <c r="J17" s="695">
        <v>0</v>
      </c>
      <c r="K17" s="695">
        <v>0</v>
      </c>
      <c r="L17" s="218" t="str">
        <f>TP_P_NOTE_V</f>
        <v>Указывается количество заявок с решением об отказе в течение отчетного квартала.</v>
      </c>
      <c r="V17" s="515">
        <v>74</v>
      </c>
    </row>
    <row customHeight="1" ht="54.75">
      <c r="A18" s="515"/>
      <c r="C18" s="536"/>
      <c r="D18" s="531">
        <v>4</v>
      </c>
      <c r="E18" s="1940" t="str">
        <f>TP_P_V_1</f>
        <v>Причины отказа в заключении договора о подключении (технологическом присоединении) к системе теплоснабжения</v>
      </c>
      <c r="F18" s="531" t="s">
        <v>328</v>
      </c>
      <c r="G18" s="696"/>
      <c r="H18" s="696"/>
      <c r="I18" s="2363"/>
      <c r="J18" s="2363"/>
      <c r="K18" s="2363"/>
      <c r="L18" s="848"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V18" s="515">
        <v>52</v>
      </c>
    </row>
    <row customHeight="1" ht="60">
      <c r="A19" s="515"/>
      <c r="C19" s="536"/>
      <c r="D19" s="531">
        <v>5</v>
      </c>
      <c r="E19" s="1940" t="str">
        <f>TP_P_G</f>
        <v>Резерв мощности источников тепловой энергии, входящих в систему теплоснабжения, в течение одного квартала, в том числе:</v>
      </c>
      <c r="F19" s="531" t="str">
        <f>IF(TEMPLATE_SPHERE="HEAT","Гкал/час","тыс. куб. м/сутки")</f>
        <v>Гкал/час</v>
      </c>
      <c r="G19" s="697">
        <f>SUM(G20:G22)</f>
        <v>0</v>
      </c>
      <c r="H19" s="697">
        <f>SUM(H20:H22)</f>
        <v>584.27</v>
      </c>
      <c r="I19" s="697">
        <f>SUM(I20:I22)</f>
        <v>584.27</v>
      </c>
      <c r="J19" s="697">
        <f>SUM(J20:J22)</f>
        <v>584.27</v>
      </c>
      <c r="K19" s="697">
        <f>SUM(K20:K22)</f>
        <v>55.46</v>
      </c>
      <c r="L19" s="218"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V19" s="515">
        <v>57</v>
      </c>
    </row>
    <row customHeight="1" ht="15" hidden="1">
      <c r="D20" s="519" t="s">
        <v>1398</v>
      </c>
      <c r="E20" s="698"/>
      <c r="F20" s="519"/>
      <c r="G20" s="519"/>
      <c r="H20" s="519"/>
      <c r="I20" s="1645"/>
      <c r="J20" s="1645"/>
      <c r="K20" s="1645"/>
      <c r="L20" s="1773"/>
      <c r="V20" s="515">
        <v>0</v>
      </c>
    </row>
    <row customHeight="1" ht="29.25">
      <c r="C21" s="461"/>
      <c r="D21" s="549" t="s">
        <v>335</v>
      </c>
      <c r="E21" s="680" t="s">
        <v>1399</v>
      </c>
      <c r="F21" s="1771" t="str">
        <f>IF(TEMPLATE_SPHERE="HEAT","Гкал/час","тыс. куб. м/сутки")</f>
        <v>Гкал/час</v>
      </c>
      <c r="G21" s="690"/>
      <c r="H21" s="690">
        <v>584.27</v>
      </c>
      <c r="I21" s="690">
        <v>584.27</v>
      </c>
      <c r="J21" s="690">
        <v>584.27</v>
      </c>
      <c r="K21" s="690">
        <v>55.46</v>
      </c>
      <c r="L21" s="2179"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V21" s="515">
        <v>28</v>
      </c>
    </row>
    <row customHeight="1" ht="15.75">
      <c r="A22" s="515"/>
      <c r="C22" s="515"/>
      <c r="D22" s="357"/>
      <c r="E22" s="590" t="s">
        <v>1400</v>
      </c>
      <c r="F22" s="582"/>
      <c r="G22" s="582"/>
      <c r="H22" s="582"/>
      <c r="I22" s="2696"/>
      <c r="J22" s="2697"/>
      <c r="K22" s="2698"/>
      <c r="L22" s="2181"/>
      <c r="U22" s="515"/>
      <c r="V22" s="515">
        <v>15</v>
      </c>
    </row>
    <row customHeight="1" ht="22.5" hidden="1">
      <c r="A23" s="459" t="s">
        <v>82</v>
      </c>
      <c r="B23" s="515">
        <v>0</v>
      </c>
      <c r="C23" s="693">
        <v>4</v>
      </c>
      <c r="D23" s="515">
        <v>6</v>
      </c>
      <c r="E23" s="515">
        <v>36</v>
      </c>
      <c r="F23" s="515">
        <v>9</v>
      </c>
      <c r="G23" s="768">
        <v>0</v>
      </c>
      <c r="H23" s="515">
        <v>40</v>
      </c>
      <c r="I23" s="1645">
        <v>0</v>
      </c>
      <c r="J23" s="1645">
        <v>0</v>
      </c>
      <c r="K23" s="1645">
        <v>0</v>
      </c>
      <c r="L23" s="427">
        <v>93</v>
      </c>
      <c r="M23" s="515">
        <v>10</v>
      </c>
      <c r="N23" s="515">
        <v>10</v>
      </c>
      <c r="O23" s="515">
        <v>10</v>
      </c>
      <c r="P23" s="515">
        <v>10</v>
      </c>
      <c r="Q23" s="515">
        <v>10</v>
      </c>
      <c r="R23" s="515">
        <v>10</v>
      </c>
      <c r="S23" s="515">
        <v>10</v>
      </c>
      <c r="T23" s="515">
        <v>10</v>
      </c>
      <c r="U23" s="685">
        <v>10</v>
      </c>
      <c r="V23" s="515">
        <v>23</v>
      </c>
    </row>
  </sheetData>
  <sheetProtection sheet="1" formatColumns="0" formatRows="0" autoFilter="0" sort="1" insertRows="1" insertColumns="1" deleteRows="1" deleteColumns="1"/>
  <mergeCells count="8">
    <mergeCell ref="L21:L22"/>
    <mergeCell ref="L9:L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K18">
      <formula1>900</formula1>
    </dataValidation>
    <dataValidation type="whole" allowBlank="1" showErrorMessage="1" errorTitle="Ошибка" error="Допускается ввод только неотрицательных целых чисел!" sqref="G15:K17">
      <formula1>0</formula1>
      <formula2>9.99999999999999E+23</formula2>
    </dataValidation>
    <dataValidation type="decimal" allowBlank="1" showErrorMessage="1" errorTitle="Ошибка" error="Допускается ввод только действительных чисел!" sqref="G2:K2 G21:K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111EA8-1F1C-3582-8A45-0.4AD26368}"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407" width="9.140625" hidden="1" customWidth="1"/>
    <col min="2" max="2" style="1376" width="9.140625" hidden="1" customWidth="1"/>
    <col min="3" max="3" style="354" width="3.00390625" customWidth="1"/>
    <col min="4" max="4" style="1645" width="6.00390625" customWidth="1"/>
    <col min="5" max="6" style="1645" width="64.00390625" customWidth="1"/>
    <col min="7" max="7" style="1645" width="140.00390625" customWidth="1"/>
    <col min="8" max="8" style="1645" width="10.00390625" customWidth="1"/>
    <col min="9" max="10" style="1634" width="10.00390625" customWidth="1"/>
    <col min="11" max="16" style="1645" width="10.00390625" customWidth="1"/>
    <col min="17" max="17" style="1645" width="10.57421875" hidden="1"/>
  </cols>
  <sheetData>
    <row customHeight="1" ht="22.5" hidden="1">
      <c r="M1" s="265"/>
      <c r="N1" s="265"/>
      <c r="P1" s="265"/>
      <c r="Q1" s="93" t="s">
        <v>14</v>
      </c>
    </row>
    <row customHeight="1" ht="14.25" hidden="1">
      <c r="Q2" s="93">
        <v>0</v>
      </c>
    </row>
    <row customHeight="1" ht="14.25" hidden="1">
      <c r="Q3" s="93">
        <v>0</v>
      </c>
    </row>
    <row customHeight="1" ht="3">
      <c r="C4" s="106"/>
      <c r="D4" s="94"/>
      <c r="E4" s="94"/>
      <c r="F4" s="95"/>
      <c r="G4" s="95"/>
      <c r="Q4" s="93">
        <v>3</v>
      </c>
    </row>
    <row customHeight="1" ht="29.25">
      <c r="C5" s="106"/>
      <c r="D5" s="2464"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65"/>
      <c r="F5" s="2465"/>
      <c r="G5" s="2466"/>
      <c r="Q5" s="93">
        <v>28</v>
      </c>
    </row>
    <row s="1645" customFormat="1" customHeight="1" ht="18.75">
      <c r="A6" s="892"/>
      <c r="B6" s="427"/>
      <c r="C6" s="386"/>
      <c r="D6" s="2467" t="str">
        <f>IF(org=0,"Не определено",org)</f>
        <v>АО «ДГК» СП «Нерюнгринская ГРЭС»</v>
      </c>
      <c r="E6" s="2468"/>
      <c r="F6" s="2468"/>
      <c r="G6" s="2469"/>
      <c r="I6" s="510"/>
      <c r="J6" s="510"/>
      <c r="Q6" s="768">
        <v>18</v>
      </c>
    </row>
    <row customHeight="1" ht="14.699999999999998">
      <c r="C7" s="106"/>
      <c r="D7" s="94"/>
      <c r="E7" s="105"/>
      <c r="F7" s="762"/>
      <c r="G7" s="203"/>
      <c r="Q7" s="93">
        <v>14</v>
      </c>
    </row>
    <row s="1645" customFormat="1" customHeight="1" ht="1.05">
      <c r="A8" s="1679"/>
      <c r="B8" s="1170"/>
      <c r="C8" s="386"/>
      <c r="D8" s="373"/>
      <c r="E8" s="399"/>
      <c r="F8" s="762"/>
      <c r="G8" s="203"/>
      <c r="I8" s="1634"/>
      <c r="J8" s="1634"/>
      <c r="Q8" s="1641">
        <v>1</v>
      </c>
    </row>
    <row customHeight="1" ht="14.699999999999998">
      <c r="C9" s="106"/>
      <c r="D9" s="2219" t="s">
        <v>322</v>
      </c>
      <c r="E9" s="2219"/>
      <c r="F9" s="2219"/>
      <c r="G9" s="2399" t="s">
        <v>323</v>
      </c>
      <c r="Q9" s="93">
        <v>14</v>
      </c>
    </row>
    <row customHeight="1" ht="24">
      <c r="C10" s="106"/>
      <c r="D10" s="115" t="s">
        <v>88</v>
      </c>
      <c r="E10" s="118" t="s">
        <v>324</v>
      </c>
      <c r="F10" s="118" t="s">
        <v>412</v>
      </c>
      <c r="G10" s="2399"/>
      <c r="Q10" s="93">
        <v>23</v>
      </c>
    </row>
    <row customHeight="1" ht="12" hidden="1">
      <c r="C11" s="106"/>
      <c r="D11" s="97"/>
      <c r="E11" s="97"/>
      <c r="F11" s="97"/>
      <c r="G11" s="97"/>
      <c r="Q11" s="93">
        <v>0</v>
      </c>
    </row>
    <row customHeight="1" ht="65.25">
      <c r="A12" s="202"/>
      <c r="C12" s="106"/>
      <c r="D12" s="157">
        <v>1</v>
      </c>
      <c r="E12" s="207"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8" t="s">
        <v>328</v>
      </c>
      <c r="G12" s="161"/>
      <c r="Q12" s="93">
        <v>62</v>
      </c>
    </row>
    <row customHeight="1" ht="24">
      <c r="A13" s="202"/>
      <c r="C13" s="106"/>
      <c r="D13" s="157" t="s">
        <v>1304</v>
      </c>
      <c r="E13" s="20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8" t="s">
        <v>328</v>
      </c>
      <c r="G13" s="161"/>
      <c r="Q13" s="93">
        <v>23</v>
      </c>
    </row>
    <row customHeight="1" ht="14.699999999999998">
      <c r="A14" s="202"/>
      <c r="C14" s="106"/>
      <c r="D14" s="157" t="s">
        <v>1340</v>
      </c>
      <c r="E14" s="205"/>
      <c r="F14" s="223"/>
      <c r="G14" s="217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93">
        <v>14</v>
      </c>
    </row>
    <row customHeight="1" ht="15.75">
      <c r="A15" s="202"/>
      <c r="C15" s="106"/>
      <c r="D15" s="119"/>
      <c r="E15" s="359" t="s">
        <v>1401</v>
      </c>
      <c r="F15" s="211"/>
      <c r="G15" s="2181"/>
      <c r="Q15" s="93">
        <v>15</v>
      </c>
    </row>
    <row customHeight="1" ht="14.699999999999998">
      <c r="A16" s="202"/>
      <c r="C16" s="106"/>
      <c r="D16" s="157" t="s">
        <v>1306</v>
      </c>
      <c r="E16" s="20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8" t="s">
        <v>328</v>
      </c>
      <c r="G16" s="347"/>
      <c r="Q16" s="93">
        <v>14</v>
      </c>
    </row>
    <row customHeight="1" ht="14.699999999999998">
      <c r="A17" s="202"/>
      <c r="C17" s="106"/>
      <c r="D17" s="157" t="s">
        <v>1348</v>
      </c>
      <c r="E17" s="205"/>
      <c r="F17" s="395"/>
      <c r="G17" s="217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93">
        <v>14</v>
      </c>
    </row>
    <row s="1645" customFormat="1" customHeight="1" ht="22.049999999999997">
      <c r="A18" s="353"/>
      <c r="B18" s="156"/>
      <c r="C18" s="317"/>
      <c r="D18" s="357"/>
      <c r="E18" s="359" t="s">
        <v>1402</v>
      </c>
      <c r="F18" s="348"/>
      <c r="G18" s="2181"/>
      <c r="I18" s="360"/>
      <c r="J18" s="360"/>
      <c r="Q18" s="352">
        <v>21</v>
      </c>
    </row>
    <row s="1645" customFormat="1" customHeight="1" ht="256.5" hidden="1">
      <c r="A19" s="353"/>
      <c r="B19" s="427"/>
      <c r="C19" s="386"/>
      <c r="D19" s="894" t="s">
        <v>1308</v>
      </c>
      <c r="E19" s="893" t="s">
        <v>1403</v>
      </c>
      <c r="F19" s="395"/>
      <c r="G19" s="347" t="s">
        <v>1404</v>
      </c>
      <c r="I19" s="510"/>
      <c r="J19" s="510"/>
      <c r="Q19" s="768">
        <v>0</v>
      </c>
    </row>
    <row s="1645" customFormat="1" customHeight="1" ht="14.699999999999998">
      <c r="A20" s="353"/>
      <c r="B20" s="156"/>
      <c r="C20" s="317"/>
      <c r="D20" s="895">
        <v>2</v>
      </c>
      <c r="E20" s="340" t="s">
        <v>1405</v>
      </c>
      <c r="F20" s="208" t="s">
        <v>328</v>
      </c>
      <c r="G20" s="347"/>
      <c r="I20" s="360"/>
      <c r="J20" s="360"/>
      <c r="Q20" s="352">
        <v>14</v>
      </c>
    </row>
    <row s="1645" customFormat="1" customHeight="1" ht="18.75" hidden="1">
      <c r="A21" s="353"/>
      <c r="B21" s="156"/>
      <c r="C21" s="317"/>
      <c r="D21" s="343" t="s">
        <v>661</v>
      </c>
      <c r="E21" s="342"/>
      <c r="F21" s="341"/>
      <c r="G21" s="351"/>
      <c r="H21" s="344"/>
      <c r="I21" s="360"/>
      <c r="J21" s="360"/>
      <c r="Q21" s="352">
        <v>0</v>
      </c>
    </row>
    <row customHeight="1" ht="15.75">
      <c r="A22" s="202"/>
      <c r="C22" s="106"/>
      <c r="D22" s="119"/>
      <c r="E22" s="213" t="s">
        <v>344</v>
      </c>
      <c r="F22" s="348"/>
      <c r="G22" s="349"/>
      <c r="Q22" s="93">
        <v>15</v>
      </c>
    </row>
    <row s="1645" customFormat="1" customHeight="1" ht="22.5" hidden="1">
      <c r="A23" s="353"/>
      <c r="B23" s="1170"/>
      <c r="C23" s="386"/>
      <c r="D23" s="1683" t="s">
        <v>104</v>
      </c>
      <c r="E23" s="207" t="s">
        <v>1406</v>
      </c>
      <c r="F23" s="1680" t="s">
        <v>328</v>
      </c>
      <c r="G23" s="355"/>
      <c r="I23" s="1634"/>
      <c r="J23" s="1634"/>
      <c r="Q23" s="1641">
        <v>0</v>
      </c>
    </row>
    <row s="1645" customFormat="1" customHeight="1" ht="14.25" hidden="1">
      <c r="A24" s="353"/>
      <c r="B24" s="1170"/>
      <c r="C24" s="386"/>
      <c r="D24" s="1683" t="s">
        <v>733</v>
      </c>
      <c r="E24" s="1682" t="s">
        <v>1407</v>
      </c>
      <c r="F24" s="1680" t="s">
        <v>328</v>
      </c>
      <c r="G24" s="347"/>
      <c r="I24" s="1634"/>
      <c r="J24" s="1634"/>
      <c r="Q24" s="1641">
        <v>0</v>
      </c>
    </row>
    <row s="1645" customFormat="1" customHeight="1" ht="14.25" hidden="1">
      <c r="A25" s="353"/>
      <c r="B25" s="1170"/>
      <c r="C25" s="386"/>
      <c r="D25" s="1683" t="s">
        <v>736</v>
      </c>
      <c r="E25" s="205"/>
      <c r="F25" s="395"/>
      <c r="G25" s="2179" t="s">
        <v>1408</v>
      </c>
      <c r="I25" s="1634"/>
      <c r="J25" s="1634"/>
      <c r="Q25" s="1641">
        <v>0</v>
      </c>
    </row>
    <row s="1645" customFormat="1" customHeight="1" ht="22.5" hidden="1">
      <c r="A26" s="353"/>
      <c r="B26" s="1170"/>
      <c r="C26" s="386"/>
      <c r="D26" s="357"/>
      <c r="E26" s="359" t="s">
        <v>1409</v>
      </c>
      <c r="F26" s="348"/>
      <c r="G26" s="2181"/>
      <c r="I26" s="1634"/>
      <c r="J26" s="1634"/>
      <c r="Q26" s="1641">
        <v>0</v>
      </c>
    </row>
    <row customHeight="1" ht="3">
      <c r="Q27" s="93">
        <v>3</v>
      </c>
    </row>
    <row customHeight="1" ht="14.699999999999998">
      <c r="D28" s="346"/>
      <c r="E28" s="345"/>
      <c r="F28" s="325"/>
      <c r="G28" s="325"/>
      <c r="H28" s="325"/>
      <c r="I28" s="325"/>
      <c r="J28" s="325"/>
      <c r="K28" s="325"/>
      <c r="L28" s="325"/>
      <c r="M28" s="325"/>
      <c r="N28" s="325"/>
      <c r="O28" s="325"/>
      <c r="P28" s="325"/>
      <c r="Q28" s="93">
        <v>14</v>
      </c>
    </row>
    <row customHeight="1" ht="14.699999999999998">
      <c r="D29" s="346"/>
      <c r="E29" s="592"/>
      <c r="Q29" s="93">
        <v>14</v>
      </c>
    </row>
    <row customHeight="1" ht="14.699999999999998">
      <c r="Q30" s="93">
        <v>14</v>
      </c>
    </row>
    <row customHeight="1" ht="14.699999999999998">
      <c r="E31" s="768"/>
      <c r="Q31" s="93">
        <v>14</v>
      </c>
    </row>
    <row customHeight="1" ht="22.5" hidden="1">
      <c r="A32" s="111" t="s">
        <v>82</v>
      </c>
      <c r="B32" s="156">
        <v>0</v>
      </c>
      <c r="C32" s="107">
        <v>3</v>
      </c>
      <c r="D32" s="93">
        <v>6</v>
      </c>
      <c r="E32" s="93">
        <v>64</v>
      </c>
      <c r="F32" s="93">
        <v>64</v>
      </c>
      <c r="G32" s="93">
        <v>140</v>
      </c>
      <c r="H32" s="93">
        <v>10</v>
      </c>
      <c r="I32" s="165">
        <v>10</v>
      </c>
      <c r="J32" s="165">
        <v>10</v>
      </c>
      <c r="K32" s="93">
        <v>10</v>
      </c>
      <c r="L32" s="93">
        <v>10</v>
      </c>
      <c r="M32" s="93">
        <v>10</v>
      </c>
      <c r="N32" s="93">
        <v>10</v>
      </c>
      <c r="O32" s="93">
        <v>10</v>
      </c>
      <c r="P32" s="93">
        <v>10</v>
      </c>
      <c r="Q32" s="93">
        <v>23</v>
      </c>
    </row>
  </sheetData>
  <sheetProtection sheet="1" formatColumns="0" formatRows="0" autoFilter="0" sort="1" insertRows="1" insertColumns="1" deleteRows="1" deleteColumns="1"/>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CB8564-53E5-3A43-3CF3-0.D963086E}"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86" width="9.140625" hidden="1" customWidth="1"/>
    <col min="2" max="2" style="1376" width="9.140625" hidden="1" customWidth="1"/>
    <col min="3" max="3" style="354" width="3.00390625" customWidth="1"/>
    <col min="4" max="4" style="1645" width="6.00390625" customWidth="1"/>
    <col min="5" max="5" style="1645" width="63.00390625" customWidth="1"/>
    <col min="6" max="6" style="1645" width="1.7109375" hidden="1" customWidth="1"/>
    <col min="7" max="8" style="1645" width="35.00390625" customWidth="1"/>
    <col min="9" max="9" style="1645" width="91.00390625" customWidth="1"/>
    <col min="10" max="10" style="1645" width="68.00390625" customWidth="1"/>
    <col min="11" max="12" style="1634" width="10.00390625" customWidth="1"/>
    <col min="13" max="13" style="1645" width="10.57421875" hidden="1"/>
  </cols>
  <sheetData>
    <row customHeight="1" ht="22.5" hidden="1">
      <c r="M1" s="93" t="s">
        <v>14</v>
      </c>
    </row>
    <row s="1645" customFormat="1" customHeight="1" ht="18.75" hidden="1">
      <c r="A2" s="1693"/>
      <c r="B2" s="1170"/>
      <c r="C2" s="1740" t="s">
        <v>105</v>
      </c>
      <c r="D2" s="1683"/>
      <c r="E2" s="209"/>
      <c r="F2" s="1680"/>
      <c r="G2" s="1680" t="s">
        <v>328</v>
      </c>
      <c r="H2" s="1171"/>
      <c r="K2" s="1634"/>
      <c r="L2" s="1634"/>
      <c r="M2" s="1641">
        <v>0</v>
      </c>
    </row>
    <row s="1645" customFormat="1" customHeight="1" ht="14.25" hidden="1">
      <c r="A3" s="1372"/>
      <c r="B3" s="1170"/>
      <c r="C3" s="354"/>
      <c r="K3" s="1634"/>
      <c r="L3" s="1634"/>
      <c r="M3" s="1641">
        <v>0</v>
      </c>
    </row>
    <row s="1645" customFormat="1" customHeight="1" ht="18.75" hidden="1">
      <c r="A4" s="1693"/>
      <c r="B4" s="1170"/>
      <c r="C4" s="1740" t="s">
        <v>105</v>
      </c>
      <c r="D4" s="1683"/>
      <c r="E4" s="215" t="s">
        <v>1410</v>
      </c>
      <c r="F4" s="1680"/>
      <c r="G4" s="267"/>
      <c r="H4" s="1680" t="s">
        <v>328</v>
      </c>
      <c r="K4" s="1634"/>
      <c r="L4" s="1634"/>
      <c r="M4" s="1641">
        <v>0</v>
      </c>
    </row>
    <row s="1645" customFormat="1" customHeight="1" ht="14.25" hidden="1">
      <c r="A5" s="1372"/>
      <c r="B5" s="1170"/>
      <c r="C5" s="354"/>
      <c r="K5" s="1634"/>
      <c r="L5" s="1634"/>
      <c r="M5" s="1641">
        <v>0</v>
      </c>
    </row>
    <row s="1645" customFormat="1" customHeight="1" ht="18.75" hidden="1">
      <c r="A6" s="1693"/>
      <c r="B6" s="1170"/>
      <c r="C6" s="1740" t="s">
        <v>105</v>
      </c>
      <c r="D6" s="1683"/>
      <c r="E6" s="216" t="s">
        <v>1411</v>
      </c>
      <c r="F6" s="1680"/>
      <c r="G6" s="267"/>
      <c r="H6" s="1680" t="s">
        <v>328</v>
      </c>
      <c r="K6" s="1634"/>
      <c r="L6" s="1634"/>
      <c r="M6" s="1641">
        <v>0</v>
      </c>
    </row>
    <row s="1645" customFormat="1" customHeight="1" ht="14.25" hidden="1">
      <c r="A7" s="1372"/>
      <c r="B7" s="1170"/>
      <c r="C7" s="354"/>
      <c r="K7" s="1634"/>
      <c r="L7" s="1634"/>
      <c r="M7" s="1641">
        <v>0</v>
      </c>
    </row>
    <row s="1645" customFormat="1" customHeight="1" ht="18.75" hidden="1">
      <c r="A8" s="1693"/>
      <c r="B8" s="1170"/>
      <c r="C8" s="1740" t="s">
        <v>105</v>
      </c>
      <c r="D8" s="1683"/>
      <c r="E8" s="216" t="s">
        <v>1412</v>
      </c>
      <c r="F8" s="1680"/>
      <c r="G8" s="267"/>
      <c r="H8" s="1680" t="s">
        <v>328</v>
      </c>
      <c r="K8" s="1634"/>
      <c r="L8" s="1634"/>
      <c r="M8" s="1641">
        <v>0</v>
      </c>
    </row>
    <row s="1645" customFormat="1" customHeight="1" ht="14.25" hidden="1">
      <c r="A9" s="1372"/>
      <c r="B9" s="1170"/>
      <c r="C9" s="354"/>
      <c r="K9" s="1634"/>
      <c r="L9" s="1634"/>
      <c r="M9" s="1641">
        <v>0</v>
      </c>
    </row>
    <row s="1645" customFormat="1" customHeight="1" ht="18.75" hidden="1">
      <c r="A10" s="1693"/>
      <c r="B10" s="1170"/>
      <c r="C10" s="1740" t="s">
        <v>105</v>
      </c>
      <c r="D10" s="1683"/>
      <c r="E10" s="216" t="s">
        <v>1413</v>
      </c>
      <c r="F10" s="1680"/>
      <c r="G10" s="1684"/>
      <c r="H10" s="1680" t="s">
        <v>328</v>
      </c>
      <c r="K10" s="1634"/>
      <c r="L10" s="1634" t="s">
        <v>1414</v>
      </c>
      <c r="M10" s="1641">
        <v>0</v>
      </c>
    </row>
    <row customHeight="1" ht="14.25" hidden="1">
      <c r="M11" s="93">
        <v>0</v>
      </c>
    </row>
    <row customHeight="1" ht="14.25" hidden="1">
      <c r="M12" s="93">
        <v>0</v>
      </c>
    </row>
    <row customHeight="1" ht="14.699999999999998">
      <c r="C13" s="106"/>
      <c r="D13" s="94"/>
      <c r="E13" s="94"/>
      <c r="F13" s="94"/>
      <c r="G13" s="94"/>
      <c r="H13" s="95"/>
      <c r="I13" s="95"/>
      <c r="M13" s="93">
        <v>14</v>
      </c>
    </row>
    <row customHeight="1" ht="29.25">
      <c r="C14" s="106"/>
      <c r="D14" s="2464"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65"/>
      <c r="F14" s="2465"/>
      <c r="G14" s="2465"/>
      <c r="H14" s="2466"/>
      <c r="J14" s="1641"/>
      <c r="M14" s="93">
        <v>28</v>
      </c>
    </row>
    <row s="1645" customFormat="1" customHeight="1" ht="14.699999999999998">
      <c r="A15" s="1372"/>
      <c r="B15" s="1170"/>
      <c r="C15" s="386"/>
      <c r="D15" s="2467" t="str">
        <f>IF(org=0,"Не определено",org)</f>
        <v>АО «ДГК» СП «Нерюнгринская ГРЭС»</v>
      </c>
      <c r="E15" s="2468"/>
      <c r="F15" s="2468"/>
      <c r="G15" s="2468"/>
      <c r="H15" s="2469"/>
      <c r="J15" s="862"/>
      <c r="K15" s="1634"/>
      <c r="L15" s="1634"/>
      <c r="M15" s="1641">
        <v>14</v>
      </c>
    </row>
    <row customHeight="1" ht="14.699999999999998">
      <c r="C16" s="106"/>
      <c r="D16" s="94"/>
      <c r="E16" s="105"/>
      <c r="F16" s="105"/>
      <c r="G16" s="105"/>
      <c r="H16" s="762"/>
      <c r="I16" s="203"/>
      <c r="M16" s="93">
        <v>14</v>
      </c>
    </row>
    <row s="1645" customFormat="1" customHeight="1" ht="14.25" hidden="1">
      <c r="A17" s="1372"/>
      <c r="B17" s="1170"/>
      <c r="C17" s="386"/>
      <c r="D17" s="373"/>
      <c r="E17" s="399"/>
      <c r="F17" s="399"/>
      <c r="G17" s="399"/>
      <c r="H17" s="762"/>
      <c r="I17" s="203"/>
      <c r="K17" s="1634"/>
      <c r="L17" s="1634"/>
      <c r="M17" s="1641">
        <v>0</v>
      </c>
    </row>
    <row customHeight="1" ht="22.049999999999997">
      <c r="C18" s="106"/>
      <c r="D18" s="2219" t="s">
        <v>322</v>
      </c>
      <c r="E18" s="2219"/>
      <c r="F18" s="2219"/>
      <c r="G18" s="2219"/>
      <c r="H18" s="2219"/>
      <c r="I18" s="2399" t="s">
        <v>323</v>
      </c>
      <c r="M18" s="93">
        <v>21</v>
      </c>
    </row>
    <row customHeight="1" ht="22.049999999999997">
      <c r="C19" s="106"/>
      <c r="D19" s="115" t="s">
        <v>88</v>
      </c>
      <c r="E19" s="118" t="s">
        <v>324</v>
      </c>
      <c r="F19" s="118"/>
      <c r="G19" s="118" t="s">
        <v>325</v>
      </c>
      <c r="H19" s="118" t="s">
        <v>412</v>
      </c>
      <c r="I19" s="2399"/>
      <c r="M19" s="93">
        <v>21</v>
      </c>
    </row>
    <row customHeight="1" ht="12" hidden="1">
      <c r="C20" s="106"/>
      <c r="D20" s="97"/>
      <c r="E20" s="97"/>
      <c r="F20" s="97"/>
      <c r="G20" s="97"/>
      <c r="H20" s="97"/>
      <c r="I20" s="97"/>
      <c r="M20" s="93">
        <v>0</v>
      </c>
    </row>
    <row customHeight="1" ht="14.699999999999998">
      <c r="A21" s="1693"/>
      <c r="C21" s="106"/>
      <c r="D21" s="157">
        <v>1</v>
      </c>
      <c r="E21" s="2471" t="s">
        <v>1415</v>
      </c>
      <c r="F21" s="2471"/>
      <c r="G21" s="2471"/>
      <c r="H21" s="2471"/>
      <c r="I21" s="218"/>
      <c r="M21" s="93">
        <v>14</v>
      </c>
    </row>
    <row customHeight="1" ht="21">
      <c r="A22" s="1693"/>
      <c r="C22" s="106"/>
      <c r="D22" s="157" t="s">
        <v>1304</v>
      </c>
      <c r="E22" s="204" t="s">
        <v>1416</v>
      </c>
      <c r="F22" s="208"/>
      <c r="G22" s="1747"/>
      <c r="H22" s="208" t="s">
        <v>328</v>
      </c>
      <c r="I22" s="161" t="s">
        <v>1417</v>
      </c>
      <c r="M22" s="93">
        <v>20</v>
      </c>
    </row>
    <row customHeight="1" ht="60">
      <c r="A23" s="1693"/>
      <c r="C23" s="106"/>
      <c r="D23" s="157" t="s">
        <v>1306</v>
      </c>
      <c r="E23" s="204" t="s">
        <v>1418</v>
      </c>
      <c r="F23" s="208"/>
      <c r="G23" s="267"/>
      <c r="H23" s="223"/>
      <c r="I23" s="268" t="s">
        <v>1419</v>
      </c>
      <c r="M23" s="93">
        <v>57</v>
      </c>
    </row>
    <row customHeight="1" ht="14.699999999999998">
      <c r="A24" s="1693"/>
      <c r="B24" s="156">
        <v>3</v>
      </c>
      <c r="C24" s="106"/>
      <c r="D24" s="157">
        <v>2</v>
      </c>
      <c r="E24" s="23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8"/>
      <c r="G24" s="208" t="s">
        <v>328</v>
      </c>
      <c r="H24" s="223"/>
      <c r="I24" s="269" t="s">
        <v>656</v>
      </c>
      <c r="M24" s="93">
        <v>14</v>
      </c>
    </row>
    <row customHeight="1" ht="48.29999999999999">
      <c r="A25" s="1693"/>
      <c r="C25" s="106"/>
      <c r="D25" s="157">
        <v>3</v>
      </c>
      <c r="E25" s="247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70"/>
      <c r="G25" s="2470"/>
      <c r="H25" s="2470"/>
      <c r="I25" s="266"/>
      <c r="M25" s="93">
        <v>46</v>
      </c>
    </row>
    <row customHeight="1" ht="14.699999999999998">
      <c r="A26" s="1693"/>
      <c r="C26" s="106"/>
      <c r="D26" s="157" t="s">
        <v>346</v>
      </c>
      <c r="E26" s="209"/>
      <c r="F26" s="208"/>
      <c r="G26" s="208" t="s">
        <v>328</v>
      </c>
      <c r="H26" s="223"/>
      <c r="I26" s="2179" t="s">
        <v>1420</v>
      </c>
      <c r="M26" s="93">
        <v>14</v>
      </c>
    </row>
    <row customHeight="1" ht="15.75">
      <c r="A27" s="1693" t="s">
        <v>124</v>
      </c>
      <c r="C27" s="106"/>
      <c r="D27" s="119"/>
      <c r="E27" s="213" t="s">
        <v>344</v>
      </c>
      <c r="F27" s="214"/>
      <c r="G27" s="214"/>
      <c r="H27" s="211"/>
      <c r="I27" s="2181"/>
      <c r="M27" s="93">
        <v>15</v>
      </c>
    </row>
    <row customHeight="1" ht="39.75">
      <c r="A28" s="1693"/>
      <c r="B28" s="156">
        <v>3</v>
      </c>
      <c r="C28" s="106"/>
      <c r="D28" s="157">
        <v>4</v>
      </c>
      <c r="E28" s="247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70"/>
      <c r="G28" s="2470"/>
      <c r="H28" s="2470"/>
      <c r="I28" s="266"/>
      <c r="M28" s="93">
        <v>38</v>
      </c>
    </row>
    <row customHeight="1" ht="21">
      <c r="A29" s="1693"/>
      <c r="C29" s="106"/>
      <c r="D29" s="157" t="s">
        <v>778</v>
      </c>
      <c r="E29" s="215" t="s">
        <v>1410</v>
      </c>
      <c r="F29" s="208"/>
      <c r="G29" s="267"/>
      <c r="H29" s="208" t="s">
        <v>328</v>
      </c>
      <c r="I29" s="2179" t="s">
        <v>1421</v>
      </c>
      <c r="M29" s="93">
        <v>20</v>
      </c>
    </row>
    <row customHeight="1" ht="15.75">
      <c r="A30" s="1693" t="s">
        <v>104</v>
      </c>
      <c r="C30" s="106"/>
      <c r="D30" s="119"/>
      <c r="E30" s="213" t="s">
        <v>344</v>
      </c>
      <c r="F30" s="214"/>
      <c r="G30" s="214"/>
      <c r="H30" s="211"/>
      <c r="I30" s="2181"/>
      <c r="M30" s="93">
        <v>15</v>
      </c>
    </row>
    <row customHeight="1" ht="31.5">
      <c r="A31" s="1693"/>
      <c r="B31" s="156">
        <v>3</v>
      </c>
      <c r="C31" s="106"/>
      <c r="D31" s="157">
        <v>5</v>
      </c>
      <c r="E31" s="247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70"/>
      <c r="G31" s="2470"/>
      <c r="H31" s="2470"/>
      <c r="I31" s="266"/>
      <c r="M31" s="93">
        <v>30</v>
      </c>
    </row>
    <row customHeight="1" ht="27.299999999999997">
      <c r="A32" s="1693"/>
      <c r="C32" s="106"/>
      <c r="D32" s="157" t="s">
        <v>335</v>
      </c>
      <c r="E32" s="241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13"/>
      <c r="G32" s="2413"/>
      <c r="H32" s="2413"/>
      <c r="I32" s="266"/>
      <c r="M32" s="93">
        <v>26</v>
      </c>
    </row>
    <row customHeight="1" ht="14.699999999999998">
      <c r="A33" s="1693"/>
      <c r="C33" s="106"/>
      <c r="D33" s="157" t="s">
        <v>1422</v>
      </c>
      <c r="E33" s="216" t="s">
        <v>1411</v>
      </c>
      <c r="F33" s="208"/>
      <c r="G33" s="267"/>
      <c r="H33" s="208" t="s">
        <v>328</v>
      </c>
      <c r="I33" s="2179" t="s">
        <v>1423</v>
      </c>
      <c r="M33" s="93">
        <v>14</v>
      </c>
    </row>
    <row customHeight="1" ht="15.75">
      <c r="A34" s="1693" t="s">
        <v>90</v>
      </c>
      <c r="C34" s="106"/>
      <c r="D34" s="119"/>
      <c r="E34" s="214" t="s">
        <v>344</v>
      </c>
      <c r="F34" s="210"/>
      <c r="G34" s="210"/>
      <c r="H34" s="211"/>
      <c r="I34" s="2181"/>
      <c r="M34" s="93">
        <v>15</v>
      </c>
    </row>
    <row customHeight="1" ht="25.2">
      <c r="A35" s="1693"/>
      <c r="C35" s="106"/>
      <c r="D35" s="157" t="s">
        <v>906</v>
      </c>
      <c r="E35" s="241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13"/>
      <c r="G35" s="2413"/>
      <c r="H35" s="2413"/>
      <c r="I35" s="266"/>
      <c r="M35" s="93">
        <v>24</v>
      </c>
    </row>
    <row customHeight="1" ht="14.699999999999998">
      <c r="A36" s="1693"/>
      <c r="C36" s="106"/>
      <c r="D36" s="157" t="s">
        <v>1424</v>
      </c>
      <c r="E36" s="216" t="s">
        <v>1412</v>
      </c>
      <c r="F36" s="208"/>
      <c r="G36" s="267"/>
      <c r="H36" s="208" t="s">
        <v>328</v>
      </c>
      <c r="I36" s="2153" t="s">
        <v>1425</v>
      </c>
      <c r="M36" s="93">
        <v>14</v>
      </c>
    </row>
    <row customHeight="1" ht="15.75">
      <c r="A37" s="1693" t="s">
        <v>91</v>
      </c>
      <c r="C37" s="106"/>
      <c r="D37" s="119"/>
      <c r="E37" s="214" t="s">
        <v>344</v>
      </c>
      <c r="F37" s="210"/>
      <c r="G37" s="210"/>
      <c r="H37" s="211"/>
      <c r="I37" s="2153"/>
      <c r="M37" s="93">
        <v>15</v>
      </c>
    </row>
    <row customHeight="1" ht="27.299999999999997">
      <c r="A38" s="1693"/>
      <c r="C38" s="106"/>
      <c r="D38" s="157" t="s">
        <v>907</v>
      </c>
      <c r="E38" s="241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13"/>
      <c r="G38" s="2413"/>
      <c r="H38" s="2413"/>
      <c r="I38" s="266"/>
      <c r="M38" s="93">
        <v>26</v>
      </c>
    </row>
    <row customHeight="1" ht="14.699999999999998">
      <c r="A39" s="1693"/>
      <c r="C39" s="106"/>
      <c r="D39" s="157" t="s">
        <v>908</v>
      </c>
      <c r="E39" s="216" t="s">
        <v>1413</v>
      </c>
      <c r="F39" s="208"/>
      <c r="G39" s="217"/>
      <c r="H39" s="208" t="s">
        <v>328</v>
      </c>
      <c r="I39" s="2179" t="s">
        <v>1426</v>
      </c>
      <c r="L39" s="165" t="s">
        <v>1414</v>
      </c>
      <c r="M39" s="93">
        <v>14</v>
      </c>
    </row>
    <row customHeight="1" ht="15.75">
      <c r="A40" s="1693" t="s">
        <v>125</v>
      </c>
      <c r="C40" s="106"/>
      <c r="D40" s="119"/>
      <c r="E40" s="214" t="s">
        <v>344</v>
      </c>
      <c r="F40" s="210"/>
      <c r="G40" s="210"/>
      <c r="H40" s="211"/>
      <c r="I40" s="2181"/>
      <c r="M40" s="93">
        <v>15</v>
      </c>
    </row>
    <row s="1833" customFormat="1" customHeight="1" ht="3">
      <c r="A41" s="1693"/>
      <c r="K41" s="206"/>
      <c r="L41" s="206"/>
      <c r="M41" s="150">
        <v>3</v>
      </c>
    </row>
    <row customHeight="1" ht="26.25">
      <c r="D42" s="1691" t="s">
        <v>828</v>
      </c>
      <c r="E42" s="229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95"/>
      <c r="G42" s="2295"/>
      <c r="H42" s="2295"/>
      <c r="I42" s="2295"/>
      <c r="M42" s="93">
        <v>25</v>
      </c>
    </row>
    <row customHeight="1" ht="22.5" hidden="1">
      <c r="A43" s="1372" t="s">
        <v>82</v>
      </c>
      <c r="B43" s="156">
        <v>0</v>
      </c>
      <c r="C43" s="107">
        <v>3</v>
      </c>
      <c r="D43" s="93">
        <v>6</v>
      </c>
      <c r="E43" s="93">
        <v>63</v>
      </c>
      <c r="F43" s="93">
        <v>0</v>
      </c>
      <c r="G43" s="93">
        <v>35</v>
      </c>
      <c r="H43" s="93">
        <v>35</v>
      </c>
      <c r="I43" s="93">
        <v>91</v>
      </c>
      <c r="J43" s="93">
        <v>68</v>
      </c>
      <c r="K43" s="165">
        <v>10</v>
      </c>
      <c r="L43" s="165">
        <v>10</v>
      </c>
      <c r="M43" s="93">
        <v>23</v>
      </c>
    </row>
  </sheetData>
  <sheetProtection sheet="1" formatColumns="0" formatRows="0" autoFilter="0" sort="1" insertRows="1" insertColumns="1" deleteRows="1" deleteColumns="1"/>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57CF6B-98C8-240D-C13E-0.EC4AB2BF}"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9" width="25.140625" hidden="1" customWidth="1"/>
    <col min="3" max="3" style="1697" width="9.140625" hidden="1" customWidth="1"/>
    <col min="4" max="4" style="354" width="3.00390625" customWidth="1"/>
    <col min="5" max="5" style="1645" width="6.00390625" customWidth="1"/>
    <col min="6" max="6" style="1645" width="46.7109375" customWidth="1"/>
    <col min="7" max="7" style="1645" width="35.00390625" customWidth="1"/>
    <col min="8" max="8" style="1645" width="3.00390625" customWidth="1"/>
    <col min="9" max="10" style="1645" width="11.00390625" customWidth="1"/>
    <col min="11" max="12" style="1645" width="35.00390625" customWidth="1"/>
    <col min="13" max="13" style="1645" width="84.00390625" customWidth="1"/>
    <col min="14" max="14" style="1645" width="10.00390625" customWidth="1"/>
    <col min="15" max="16" style="1634" width="10.00390625" customWidth="1"/>
    <col min="17" max="33" style="1645" width="10.00390625" customWidth="1"/>
    <col min="34" max="34" style="1645" width="10.57421875" hidden="1"/>
  </cols>
  <sheetData>
    <row s="1645" customFormat="1" customHeight="1" ht="22.5" hidden="1">
      <c r="A1" s="1789"/>
      <c r="B1" s="1789"/>
      <c r="C1" s="379"/>
      <c r="D1" s="354"/>
      <c r="N1" s="1646">
        <f>_xlfn.IFERROR(MATCH("метод экономически обоснованных расходов (затрат)",OFFER_METHOD,0),0)</f>
        <v>0</v>
      </c>
      <c r="O1" s="1634"/>
      <c r="P1" s="1634"/>
      <c r="T1" s="841"/>
      <c r="AG1" s="265"/>
      <c r="AH1" s="1641" t="s">
        <v>14</v>
      </c>
    </row>
    <row s="1645" customFormat="1" customHeight="1" ht="18.75" hidden="1">
      <c r="A2" s="1790" t="s">
        <v>179</v>
      </c>
      <c r="B2" s="1790" t="s">
        <v>180</v>
      </c>
      <c r="C2" s="379"/>
      <c r="D2" s="354"/>
      <c r="E2" s="1041"/>
      <c r="F2" s="1041"/>
      <c r="G2" s="2437" t="str">
        <f>INDEX(PT_DIFFERENTIATION_NTAR,MATCH(B2,PT_DIFFERENTIATION_NTAR_ID,0))</f>
        <v/>
      </c>
      <c r="H2" s="1874"/>
      <c r="I2" s="1749"/>
      <c r="J2" s="1783"/>
      <c r="K2" s="1875"/>
      <c r="L2" s="1874" t="s">
        <v>328</v>
      </c>
      <c r="M2" s="1885"/>
      <c r="N2" s="344"/>
      <c r="O2" s="1634"/>
      <c r="P2" s="1634"/>
      <c r="AH2" s="1641">
        <v>0</v>
      </c>
    </row>
    <row s="1645" customFormat="1" customHeight="1" ht="18.75" hidden="1">
      <c r="A3" s="1790"/>
      <c r="B3" s="1790"/>
      <c r="C3" s="379" t="s">
        <v>1427</v>
      </c>
      <c r="D3" s="354"/>
      <c r="E3" s="1041"/>
      <c r="F3" s="1041"/>
      <c r="G3" s="2437"/>
      <c r="H3" s="1510"/>
      <c r="I3" s="661" t="s">
        <v>1428</v>
      </c>
      <c r="J3" s="581"/>
      <c r="K3" s="1510"/>
      <c r="L3" s="224"/>
      <c r="M3" s="1885"/>
      <c r="N3" s="344"/>
      <c r="O3" s="1634"/>
      <c r="P3" s="1634"/>
      <c r="AH3" s="1641">
        <v>0</v>
      </c>
    </row>
    <row s="1645" customFormat="1" customHeight="1" ht="14.25" hidden="1">
      <c r="A4" s="1789"/>
      <c r="B4" s="1789"/>
      <c r="C4" s="379"/>
      <c r="D4" s="354"/>
      <c r="N4" s="1646">
        <f>_xlfn.IFERROR(MATCH("метод экономически обоснованных расходов (затрат)",OFFER_METHOD,0),0)</f>
        <v>0</v>
      </c>
      <c r="O4" s="1634"/>
      <c r="P4" s="1634"/>
      <c r="T4" s="841"/>
      <c r="AG4" s="265"/>
      <c r="AH4" s="1641">
        <v>0</v>
      </c>
    </row>
    <row s="1645" customFormat="1" customHeight="1" ht="18.75" hidden="1">
      <c r="A5" s="1790" t="s">
        <v>179</v>
      </c>
      <c r="B5" s="1790" t="s">
        <v>180</v>
      </c>
      <c r="C5" s="379"/>
      <c r="D5" s="354"/>
      <c r="E5" s="1041"/>
      <c r="F5" s="1041"/>
      <c r="G5" s="2437" t="str">
        <f>INDEX(PT_DIFFERENTIATION_NTAR,MATCH(B5,PT_DIFFERENTIATION_NTAR_ID,0))</f>
        <v/>
      </c>
      <c r="H5" s="1874"/>
      <c r="I5" s="1749"/>
      <c r="J5" s="1783"/>
      <c r="K5" s="1788"/>
      <c r="L5" s="1874" t="s">
        <v>328</v>
      </c>
      <c r="M5" s="1885"/>
      <c r="N5" s="344"/>
      <c r="O5" s="1634"/>
      <c r="P5" s="1634"/>
      <c r="AH5" s="1641">
        <v>0</v>
      </c>
    </row>
    <row s="1645" customFormat="1" customHeight="1" ht="18.75" hidden="1">
      <c r="A6" s="1790"/>
      <c r="B6" s="1790"/>
      <c r="C6" s="379" t="s">
        <v>1429</v>
      </c>
      <c r="D6" s="354"/>
      <c r="E6" s="1041"/>
      <c r="F6" s="1041"/>
      <c r="G6" s="2437"/>
      <c r="H6" s="1510"/>
      <c r="I6" s="661" t="s">
        <v>1428</v>
      </c>
      <c r="J6" s="581"/>
      <c r="K6" s="1510"/>
      <c r="L6" s="224"/>
      <c r="M6" s="1885"/>
      <c r="N6" s="344"/>
      <c r="O6" s="1634"/>
      <c r="P6" s="1634"/>
      <c r="AH6" s="1641">
        <v>0</v>
      </c>
    </row>
    <row s="1645" customFormat="1" customHeight="1" ht="14.25" hidden="1">
      <c r="A7" s="1789"/>
      <c r="B7" s="1789"/>
      <c r="C7" s="379"/>
      <c r="D7" s="354"/>
      <c r="N7" s="1646">
        <f>_xlfn.IFERROR(MATCH("метод экономически обоснованных расходов (затрат)",OFFER_METHOD,0),0)</f>
        <v>0</v>
      </c>
      <c r="O7" s="1634"/>
      <c r="P7" s="1634"/>
      <c r="T7" s="841"/>
      <c r="AG7" s="265"/>
      <c r="AH7" s="1641">
        <v>0</v>
      </c>
    </row>
    <row s="1645" customFormat="1" customHeight="1" ht="56.25" hidden="1">
      <c r="A8" s="1790"/>
      <c r="B8" s="1790"/>
      <c r="C8" s="379"/>
      <c r="D8" s="354"/>
      <c r="E8" s="1041"/>
      <c r="F8" s="1041"/>
      <c r="G8" s="1041"/>
      <c r="H8" s="1781"/>
      <c r="I8" s="1749"/>
      <c r="J8" s="1783"/>
      <c r="K8" s="1875"/>
      <c r="L8" s="1781" t="s">
        <v>328</v>
      </c>
      <c r="M8" s="1885"/>
      <c r="N8" s="344"/>
      <c r="O8" s="1634"/>
      <c r="P8" s="1634"/>
      <c r="AH8" s="1641">
        <v>0</v>
      </c>
    </row>
    <row customHeight="1" ht="14.25" hidden="1">
      <c r="T9" s="407"/>
      <c r="AG9" s="265"/>
      <c r="AH9" s="384">
        <v>0</v>
      </c>
    </row>
    <row s="1645" customFormat="1" customHeight="1" ht="56.25" hidden="1">
      <c r="A10" s="1790"/>
      <c r="B10" s="1790"/>
      <c r="C10" s="379"/>
      <c r="D10" s="354"/>
      <c r="E10" s="1041"/>
      <c r="F10" s="1041"/>
      <c r="G10" s="1041"/>
      <c r="H10" s="1780"/>
      <c r="I10" s="1749"/>
      <c r="J10" s="1783"/>
      <c r="K10" s="1788"/>
      <c r="L10" s="1781" t="s">
        <v>328</v>
      </c>
      <c r="M10" s="1885"/>
      <c r="N10" s="344"/>
      <c r="O10" s="1634"/>
      <c r="P10" s="1634"/>
      <c r="AH10" s="1641">
        <v>0</v>
      </c>
    </row>
    <row customHeight="1" ht="14.25" hidden="1">
      <c r="AH11" s="384">
        <v>0</v>
      </c>
    </row>
    <row customHeight="1" ht="14.25" hidden="1">
      <c r="AH12" s="384">
        <v>0</v>
      </c>
    </row>
    <row customHeight="1" ht="6.3">
      <c r="D13" s="386"/>
      <c r="E13" s="373"/>
      <c r="F13" s="373"/>
      <c r="G13" s="373"/>
      <c r="H13" s="373"/>
      <c r="I13" s="373"/>
      <c r="J13" s="373"/>
      <c r="K13" s="373"/>
      <c r="L13" s="95"/>
      <c r="M13" s="95"/>
      <c r="AH13" s="384">
        <v>6</v>
      </c>
    </row>
    <row customHeight="1" ht="14.699999999999998">
      <c r="D14" s="386"/>
      <c r="E14" s="247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75"/>
      <c r="G14" s="2475"/>
      <c r="H14" s="2475"/>
      <c r="I14" s="2475"/>
      <c r="J14" s="2475"/>
      <c r="K14" s="2475"/>
      <c r="L14" s="2475"/>
      <c r="M14" s="230"/>
      <c r="AH14" s="384">
        <v>14</v>
      </c>
    </row>
    <row customHeight="1" ht="6.3">
      <c r="D15" s="386"/>
      <c r="E15" s="373"/>
      <c r="F15" s="399"/>
      <c r="G15" s="399"/>
      <c r="H15" s="399"/>
      <c r="I15" s="399"/>
      <c r="J15" s="399"/>
      <c r="K15" s="399"/>
      <c r="L15" s="332"/>
      <c r="M15" s="203"/>
      <c r="AH15" s="384">
        <v>6</v>
      </c>
    </row>
    <row customHeight="1" ht="24">
      <c r="D16" s="386"/>
      <c r="E16" s="373"/>
      <c r="F16" s="315" t="str">
        <f>"Дата подачи заявления об "&amp;IF(TITLE_DATE_PR_CHANGE="","утверждении","изменении")&amp;" тарифов"</f>
        <v>Дата подачи заявления об утверждении тарифов</v>
      </c>
      <c r="G16" s="2274" t="str">
        <f>IF(TITLE_DATE_PR_CHANGE="",IF(TITLE_DATE_PR="","",TITLE_DATE_PR),TITLE_DATE_PR_CHANGE)</f>
        <v/>
      </c>
      <c r="H16" s="2274"/>
      <c r="I16" s="2274"/>
      <c r="J16" s="2274"/>
      <c r="K16" s="2274"/>
      <c r="L16" s="2274"/>
      <c r="M16" s="408"/>
      <c r="N16" s="336"/>
      <c r="AH16" s="384">
        <v>23</v>
      </c>
    </row>
    <row customHeight="1" ht="24">
      <c r="D17" s="386"/>
      <c r="E17" s="373"/>
      <c r="F17" s="315" t="str">
        <f>"Номер подачи заявления об "&amp;IF(TITLE_DATE_PR_CHANGE="","утверждении","изменении")&amp;" тарифов"</f>
        <v>Номер подачи заявления об утверждении тарифов</v>
      </c>
      <c r="G17" s="2261" t="str">
        <f>IF(TITLE_NUMBER_PR_CHANGE="",IF(TITLE_NUMBER_PR="","",TITLE_NUMBER_PR),TITLE_NUMBER_PR_CHANGE)</f>
        <v/>
      </c>
      <c r="H17" s="2261"/>
      <c r="I17" s="2261"/>
      <c r="J17" s="2261"/>
      <c r="K17" s="2261"/>
      <c r="L17" s="2261"/>
      <c r="M17" s="408"/>
      <c r="N17" s="336"/>
      <c r="AH17" s="384">
        <v>23</v>
      </c>
    </row>
    <row customHeight="1" ht="14.699999999999998">
      <c r="D18" s="386"/>
      <c r="E18" s="373"/>
      <c r="F18" s="399"/>
      <c r="G18" s="399"/>
      <c r="H18" s="399"/>
      <c r="I18" s="399"/>
      <c r="J18" s="399"/>
      <c r="K18" s="399"/>
      <c r="L18" s="762"/>
      <c r="M18" s="203"/>
      <c r="AH18" s="384">
        <v>14</v>
      </c>
    </row>
    <row customHeight="1" ht="22.049999999999997">
      <c r="D19" s="386"/>
      <c r="E19" s="2219" t="s">
        <v>322</v>
      </c>
      <c r="F19" s="2219"/>
      <c r="G19" s="2219"/>
      <c r="H19" s="2219"/>
      <c r="I19" s="2219"/>
      <c r="J19" s="2219"/>
      <c r="K19" s="2219"/>
      <c r="L19" s="2219"/>
      <c r="M19" s="2399" t="s">
        <v>323</v>
      </c>
      <c r="AH19" s="384">
        <v>21</v>
      </c>
    </row>
    <row customHeight="1" ht="22.049999999999997">
      <c r="D20" s="386"/>
      <c r="E20" s="2287" t="s">
        <v>88</v>
      </c>
      <c r="F20" s="2234" t="s">
        <v>146</v>
      </c>
      <c r="G20" s="2234" t="s">
        <v>147</v>
      </c>
      <c r="H20" s="2396" t="s">
        <v>1430</v>
      </c>
      <c r="I20" s="2397"/>
      <c r="J20" s="2443"/>
      <c r="K20" s="2234" t="s">
        <v>325</v>
      </c>
      <c r="L20" s="2234" t="s">
        <v>412</v>
      </c>
      <c r="M20" s="2399"/>
      <c r="AH20" s="384">
        <v>21</v>
      </c>
    </row>
    <row customHeight="1" ht="22.049999999999997">
      <c r="D21" s="386"/>
      <c r="E21" s="2289"/>
      <c r="F21" s="2235"/>
      <c r="G21" s="2235"/>
      <c r="H21" s="2228" t="s">
        <v>1431</v>
      </c>
      <c r="I21" s="2230"/>
      <c r="J21" s="118" t="s">
        <v>1432</v>
      </c>
      <c r="K21" s="2235"/>
      <c r="L21" s="2235"/>
      <c r="M21" s="2399"/>
      <c r="AH21" s="384">
        <v>21</v>
      </c>
    </row>
    <row customHeight="1" ht="12.75">
      <c r="D22" s="386"/>
      <c r="E22" s="291"/>
      <c r="F22" s="291"/>
      <c r="G22" s="291"/>
      <c r="H22" s="2477"/>
      <c r="I22" s="2477"/>
      <c r="J22" s="291"/>
      <c r="K22" s="291"/>
      <c r="L22" s="291"/>
      <c r="M22" s="291"/>
      <c r="AH22" s="384">
        <v>12</v>
      </c>
    </row>
    <row customHeight="1" ht="19.95">
      <c r="A23" s="1790"/>
      <c r="B23" s="1790"/>
      <c r="D23" s="386"/>
      <c r="E23" s="1876" t="s">
        <v>124</v>
      </c>
      <c r="F23" s="2478" t="str">
        <f>"Предлагаемый метод регулирования"&amp;IF(TEMPLATE_SPHERE="HEAT"," в сфере "&amp;TEMPLATE_SPHERE_RUS,"")</f>
        <v>Предлагаемый метод регулирования в сфере теплоснабжения</v>
      </c>
      <c r="G23" s="2479"/>
      <c r="H23" s="2471"/>
      <c r="I23" s="2471"/>
      <c r="J23" s="2471"/>
      <c r="K23" s="2479" t="s">
        <v>328</v>
      </c>
      <c r="L23" s="2471"/>
      <c r="M23" s="1779"/>
      <c r="N23" s="344"/>
      <c r="AH23" s="384">
        <v>19</v>
      </c>
    </row>
    <row customHeight="1" ht="60.75" hidden="1">
      <c r="A24" s="1790" t="s">
        <v>179</v>
      </c>
      <c r="B24" s="1790" t="s">
        <v>180</v>
      </c>
      <c r="D24" s="2476"/>
      <c r="E24" s="2214"/>
      <c r="F24" s="248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7" t="str">
        <f>INDEX(PT_DIFFERENTIATION_NTAR,MATCH(B24,PT_DIFFERENTIATION_NTAR_ID,0))</f>
        <v/>
      </c>
      <c r="H24" s="1872"/>
      <c r="I24" s="1749"/>
      <c r="J24" s="1783"/>
      <c r="K24" s="1875"/>
      <c r="L24" s="1778" t="s">
        <v>328</v>
      </c>
      <c r="M24" s="217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44"/>
      <c r="AH24" s="384">
        <v>0</v>
      </c>
    </row>
    <row s="1645" customFormat="1" customHeight="1" ht="18.75" hidden="1">
      <c r="A25" s="1790"/>
      <c r="B25" s="1790"/>
      <c r="C25" s="379" t="s">
        <v>1427</v>
      </c>
      <c r="D25" s="2476"/>
      <c r="E25" s="2214"/>
      <c r="F25" s="2480"/>
      <c r="G25" s="2437"/>
      <c r="H25" s="1510"/>
      <c r="I25" s="661" t="s">
        <v>1428</v>
      </c>
      <c r="J25" s="581"/>
      <c r="K25" s="1510"/>
      <c r="L25" s="224"/>
      <c r="M25" s="2180"/>
      <c r="N25" s="344"/>
      <c r="O25" s="1634"/>
      <c r="P25" s="1634"/>
      <c r="AH25" s="1641">
        <v>0</v>
      </c>
    </row>
    <row customHeight="1" ht="0.75" hidden="1">
      <c r="A26" s="1790"/>
      <c r="B26" s="1790"/>
      <c r="C26" s="379" t="s">
        <v>1433</v>
      </c>
      <c r="D26" s="2476"/>
      <c r="E26" s="2214"/>
      <c r="F26" s="2393"/>
      <c r="G26" s="410"/>
      <c r="H26" s="1510"/>
      <c r="I26" s="405"/>
      <c r="J26" s="359"/>
      <c r="K26" s="1510"/>
      <c r="L26" s="211"/>
      <c r="M26" s="2180"/>
      <c r="N26" s="344"/>
      <c r="AH26" s="384">
        <v>0</v>
      </c>
    </row>
    <row s="1645" customFormat="1" customHeight="1" ht="45" hidden="1">
      <c r="A27" s="1790" t="s">
        <v>184</v>
      </c>
      <c r="B27" s="1790" t="s">
        <v>185</v>
      </c>
      <c r="C27" s="379"/>
      <c r="D27" s="2472"/>
      <c r="E27" s="2473"/>
      <c r="F27" s="2474" t="str">
        <f>INDEX(PT_DIFFERENTIATION_VTAR,MATCH(A27,PT_DIFFERENTIATION_VTAR_ID,0))</f>
        <v/>
      </c>
      <c r="G27" s="2437" t="str">
        <f>INDEX(PT_DIFFERENTIATION_NTAR,MATCH(B27,PT_DIFFERENTIATION_NTAR_ID,0))</f>
        <v/>
      </c>
      <c r="H27" s="1872"/>
      <c r="I27" s="1749"/>
      <c r="J27" s="1783"/>
      <c r="K27" s="1875"/>
      <c r="L27" s="1872" t="s">
        <v>328</v>
      </c>
      <c r="M27" s="2180"/>
      <c r="N27" s="344"/>
      <c r="O27" s="1634"/>
      <c r="P27" s="1634"/>
      <c r="AH27" s="1641">
        <v>0</v>
      </c>
    </row>
    <row s="1645" customFormat="1" customHeight="1" ht="18.75" hidden="1">
      <c r="A28" s="1790"/>
      <c r="B28" s="1790"/>
      <c r="C28" s="379" t="s">
        <v>1427</v>
      </c>
      <c r="D28" s="2472"/>
      <c r="E28" s="2473"/>
      <c r="F28" s="2474"/>
      <c r="G28" s="2437"/>
      <c r="H28" s="1510"/>
      <c r="I28" s="661" t="s">
        <v>1428</v>
      </c>
      <c r="J28" s="581"/>
      <c r="K28" s="1510"/>
      <c r="L28" s="224"/>
      <c r="M28" s="2180"/>
      <c r="N28" s="344"/>
      <c r="O28" s="1634"/>
      <c r="P28" s="1634"/>
      <c r="AH28" s="1641">
        <v>0</v>
      </c>
    </row>
    <row s="1645" customFormat="1" customHeight="1" ht="0.75" hidden="1">
      <c r="A29" s="1790"/>
      <c r="B29" s="1790"/>
      <c r="C29" s="379" t="s">
        <v>1433</v>
      </c>
      <c r="D29" s="2472"/>
      <c r="E29" s="2214"/>
      <c r="F29" s="2393"/>
      <c r="G29" s="410"/>
      <c r="H29" s="1510"/>
      <c r="I29" s="661"/>
      <c r="J29" s="581"/>
      <c r="K29" s="1510"/>
      <c r="L29" s="224"/>
      <c r="M29" s="2180"/>
      <c r="N29" s="344"/>
      <c r="O29" s="1634"/>
      <c r="P29" s="1634"/>
      <c r="AH29" s="1641">
        <v>0</v>
      </c>
    </row>
    <row s="1645" customFormat="1" customHeight="1" ht="45" hidden="1">
      <c r="A30" s="1790" t="s">
        <v>191</v>
      </c>
      <c r="B30" s="1790" t="s">
        <v>192</v>
      </c>
      <c r="C30" s="379"/>
      <c r="D30" s="2472"/>
      <c r="E30" s="2214"/>
      <c r="F30" s="239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7" t="str">
        <f>INDEX(PT_DIFFERENTIATION_NTAR,MATCH(B30,PT_DIFFERENTIATION_NTAR_ID,0))</f>
        <v/>
      </c>
      <c r="H30" s="1872"/>
      <c r="I30" s="1749"/>
      <c r="J30" s="1783"/>
      <c r="K30" s="1875"/>
      <c r="L30" s="1872" t="s">
        <v>328</v>
      </c>
      <c r="M30" s="2180"/>
      <c r="N30" s="344"/>
      <c r="O30" s="1634"/>
      <c r="P30" s="1634"/>
      <c r="AH30" s="1641">
        <v>0</v>
      </c>
    </row>
    <row s="1645" customFormat="1" customHeight="1" ht="18.75" hidden="1">
      <c r="A31" s="1790"/>
      <c r="B31" s="1790"/>
      <c r="C31" s="379" t="s">
        <v>1427</v>
      </c>
      <c r="D31" s="2472"/>
      <c r="E31" s="2214"/>
      <c r="F31" s="2393"/>
      <c r="G31" s="2437"/>
      <c r="H31" s="1510"/>
      <c r="I31" s="661" t="s">
        <v>1428</v>
      </c>
      <c r="J31" s="581"/>
      <c r="K31" s="1510"/>
      <c r="L31" s="224"/>
      <c r="M31" s="2180"/>
      <c r="N31" s="344"/>
      <c r="O31" s="1634"/>
      <c r="P31" s="1634"/>
      <c r="AH31" s="1641">
        <v>0</v>
      </c>
    </row>
    <row s="1645" customFormat="1" customHeight="1" ht="0.75" hidden="1">
      <c r="A32" s="1790"/>
      <c r="B32" s="1790"/>
      <c r="C32" s="379" t="s">
        <v>1433</v>
      </c>
      <c r="D32" s="2472"/>
      <c r="E32" s="2214"/>
      <c r="F32" s="2393"/>
      <c r="G32" s="410"/>
      <c r="H32" s="1510"/>
      <c r="I32" s="661"/>
      <c r="J32" s="581"/>
      <c r="K32" s="1510"/>
      <c r="L32" s="224"/>
      <c r="M32" s="2180"/>
      <c r="N32" s="344"/>
      <c r="O32" s="1634"/>
      <c r="P32" s="1634"/>
      <c r="AH32" s="1641">
        <v>0</v>
      </c>
    </row>
    <row s="1645" customFormat="1" customHeight="1" ht="45" hidden="1">
      <c r="A33" s="1790" t="s">
        <v>197</v>
      </c>
      <c r="B33" s="1790" t="s">
        <v>198</v>
      </c>
      <c r="C33" s="379"/>
      <c r="D33" s="2472"/>
      <c r="E33" s="2214"/>
      <c r="F33" s="239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7" t="str">
        <f>INDEX(PT_DIFFERENTIATION_NTAR,MATCH(B33,PT_DIFFERENTIATION_NTAR_ID,0))</f>
        <v/>
      </c>
      <c r="H33" s="1872"/>
      <c r="I33" s="1749"/>
      <c r="J33" s="1783"/>
      <c r="K33" s="1875"/>
      <c r="L33" s="1872" t="s">
        <v>328</v>
      </c>
      <c r="M33" s="2180"/>
      <c r="N33" s="344"/>
      <c r="O33" s="1634"/>
      <c r="P33" s="1634"/>
      <c r="AH33" s="1641">
        <v>0</v>
      </c>
    </row>
    <row s="1645" customFormat="1" customHeight="1" ht="18.75" hidden="1">
      <c r="A34" s="1790"/>
      <c r="B34" s="1790"/>
      <c r="C34" s="379" t="s">
        <v>1427</v>
      </c>
      <c r="D34" s="2472"/>
      <c r="E34" s="2214"/>
      <c r="F34" s="2393"/>
      <c r="G34" s="2437"/>
      <c r="H34" s="1510"/>
      <c r="I34" s="661" t="s">
        <v>1428</v>
      </c>
      <c r="J34" s="581"/>
      <c r="K34" s="1510"/>
      <c r="L34" s="224"/>
      <c r="M34" s="2180"/>
      <c r="N34" s="344"/>
      <c r="O34" s="1634"/>
      <c r="P34" s="1634"/>
      <c r="AH34" s="1641">
        <v>0</v>
      </c>
    </row>
    <row s="1645" customFormat="1" customHeight="1" ht="0.75" hidden="1">
      <c r="A35" s="1790"/>
      <c r="B35" s="1790"/>
      <c r="C35" s="379" t="s">
        <v>1433</v>
      </c>
      <c r="D35" s="2472"/>
      <c r="E35" s="2214"/>
      <c r="F35" s="2393"/>
      <c r="G35" s="410"/>
      <c r="H35" s="1510"/>
      <c r="I35" s="661"/>
      <c r="J35" s="581"/>
      <c r="K35" s="1510"/>
      <c r="L35" s="224"/>
      <c r="M35" s="2180"/>
      <c r="N35" s="344"/>
      <c r="O35" s="1634"/>
      <c r="P35" s="1634"/>
      <c r="AH35" s="1641">
        <v>0</v>
      </c>
    </row>
    <row s="1645" customFormat="1" customHeight="1" ht="18.75" hidden="1">
      <c r="A36" s="1790" t="s">
        <v>203</v>
      </c>
      <c r="B36" s="1790" t="s">
        <v>204</v>
      </c>
      <c r="C36" s="379"/>
      <c r="D36" s="2472"/>
      <c r="E36" s="2214"/>
      <c r="F36" s="2393" t="str">
        <f>INDEX(PT_DIFFERENTIATION_VTAR,MATCH(A36,PT_DIFFERENTIATION_VTAR_ID,0))</f>
        <v>Тарифы на услуги по передаче тепловой энергии</v>
      </c>
      <c r="G36" s="2437" t="str">
        <f>INDEX(PT_DIFFERENTIATION_NTAR,MATCH(B36,PT_DIFFERENTIATION_NTAR_ID,0))</f>
        <v/>
      </c>
      <c r="H36" s="1872"/>
      <c r="I36" s="1749"/>
      <c r="J36" s="1783"/>
      <c r="K36" s="1875"/>
      <c r="L36" s="1872" t="s">
        <v>328</v>
      </c>
      <c r="M36" s="2180"/>
      <c r="N36" s="344"/>
      <c r="O36" s="1634"/>
      <c r="P36" s="1634"/>
      <c r="AH36" s="1641">
        <v>0</v>
      </c>
    </row>
    <row s="1645" customFormat="1" customHeight="1" ht="18.75" hidden="1">
      <c r="A37" s="1790"/>
      <c r="B37" s="1790"/>
      <c r="C37" s="379" t="s">
        <v>1427</v>
      </c>
      <c r="D37" s="2472"/>
      <c r="E37" s="2214"/>
      <c r="F37" s="2393"/>
      <c r="G37" s="2437"/>
      <c r="H37" s="1510"/>
      <c r="I37" s="661" t="s">
        <v>1428</v>
      </c>
      <c r="J37" s="581"/>
      <c r="K37" s="1510"/>
      <c r="L37" s="224"/>
      <c r="M37" s="2180"/>
      <c r="N37" s="344"/>
      <c r="O37" s="1634"/>
      <c r="P37" s="1634"/>
      <c r="AH37" s="1641">
        <v>0</v>
      </c>
    </row>
    <row s="1645" customFormat="1" customHeight="1" ht="0.75" hidden="1">
      <c r="A38" s="1790"/>
      <c r="B38" s="1790"/>
      <c r="C38" s="379" t="s">
        <v>1433</v>
      </c>
      <c r="D38" s="2472"/>
      <c r="E38" s="2214"/>
      <c r="F38" s="2393"/>
      <c r="G38" s="410"/>
      <c r="H38" s="1510"/>
      <c r="I38" s="661"/>
      <c r="J38" s="581"/>
      <c r="K38" s="1510"/>
      <c r="L38" s="224"/>
      <c r="M38" s="2180"/>
      <c r="N38" s="344"/>
      <c r="O38" s="1634"/>
      <c r="P38" s="1634"/>
      <c r="AH38" s="1641">
        <v>0</v>
      </c>
    </row>
    <row s="1645" customFormat="1" customHeight="1" ht="18.75" hidden="1">
      <c r="A39" s="1790" t="s">
        <v>209</v>
      </c>
      <c r="B39" s="1790" t="s">
        <v>210</v>
      </c>
      <c r="C39" s="379"/>
      <c r="D39" s="2472"/>
      <c r="E39" s="2214"/>
      <c r="F39" s="2393" t="str">
        <f>INDEX(PT_DIFFERENTIATION_VTAR,MATCH(A39,PT_DIFFERENTIATION_VTAR_ID,0))</f>
        <v>Тарифы на услуги по передаче теплоносителя</v>
      </c>
      <c r="G39" s="2437" t="str">
        <f>INDEX(PT_DIFFERENTIATION_NTAR,MATCH(B39,PT_DIFFERENTIATION_NTAR_ID,0))</f>
        <v/>
      </c>
      <c r="H39" s="1872"/>
      <c r="I39" s="1749"/>
      <c r="J39" s="1783"/>
      <c r="K39" s="1875"/>
      <c r="L39" s="1872" t="s">
        <v>328</v>
      </c>
      <c r="M39" s="2180"/>
      <c r="N39" s="344"/>
      <c r="O39" s="1634"/>
      <c r="P39" s="1634"/>
      <c r="AH39" s="1641">
        <v>0</v>
      </c>
    </row>
    <row s="1645" customFormat="1" customHeight="1" ht="18.75" hidden="1">
      <c r="A40" s="1790"/>
      <c r="B40" s="1790"/>
      <c r="C40" s="379" t="s">
        <v>1427</v>
      </c>
      <c r="D40" s="2472"/>
      <c r="E40" s="2214"/>
      <c r="F40" s="2393"/>
      <c r="G40" s="2437"/>
      <c r="H40" s="1510"/>
      <c r="I40" s="661" t="s">
        <v>1428</v>
      </c>
      <c r="J40" s="581"/>
      <c r="K40" s="1510"/>
      <c r="L40" s="224"/>
      <c r="M40" s="2180"/>
      <c r="N40" s="344"/>
      <c r="O40" s="1634"/>
      <c r="P40" s="1634"/>
      <c r="AH40" s="1641">
        <v>0</v>
      </c>
    </row>
    <row s="1645" customFormat="1" customHeight="1" ht="0.75" hidden="1">
      <c r="A41" s="1790"/>
      <c r="B41" s="1790"/>
      <c r="C41" s="379" t="s">
        <v>1433</v>
      </c>
      <c r="D41" s="2472"/>
      <c r="E41" s="2214"/>
      <c r="F41" s="2393"/>
      <c r="G41" s="410"/>
      <c r="H41" s="1510"/>
      <c r="I41" s="661"/>
      <c r="J41" s="581"/>
      <c r="K41" s="1510"/>
      <c r="L41" s="224"/>
      <c r="M41" s="2180"/>
      <c r="N41" s="344"/>
      <c r="O41" s="1634"/>
      <c r="P41" s="1634"/>
      <c r="AH41" s="1641">
        <v>0</v>
      </c>
    </row>
    <row s="1645" customFormat="1" customHeight="1" ht="18.75" hidden="1">
      <c r="A42" s="1790" t="s">
        <v>215</v>
      </c>
      <c r="B42" s="1790" t="s">
        <v>216</v>
      </c>
      <c r="C42" s="379"/>
      <c r="D42" s="2472"/>
      <c r="E42" s="2214"/>
      <c r="F42" s="2393"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7" t="str">
        <f>INDEX(PT_DIFFERENTIATION_NTAR,MATCH(B42,PT_DIFFERENTIATION_NTAR_ID,0))</f>
        <v/>
      </c>
      <c r="H42" s="1872"/>
      <c r="I42" s="1749"/>
      <c r="J42" s="1783"/>
      <c r="K42" s="1875"/>
      <c r="L42" s="1872" t="s">
        <v>328</v>
      </c>
      <c r="M42" s="2180"/>
      <c r="N42" s="344"/>
      <c r="O42" s="1634"/>
      <c r="P42" s="1634"/>
      <c r="AH42" s="1641">
        <v>0</v>
      </c>
    </row>
    <row s="1645" customFormat="1" customHeight="1" ht="18.75" hidden="1">
      <c r="A43" s="1790"/>
      <c r="B43" s="1790"/>
      <c r="C43" s="379" t="s">
        <v>1427</v>
      </c>
      <c r="D43" s="2472"/>
      <c r="E43" s="2214"/>
      <c r="F43" s="2393"/>
      <c r="G43" s="2437"/>
      <c r="H43" s="1510"/>
      <c r="I43" s="661" t="s">
        <v>1428</v>
      </c>
      <c r="J43" s="581"/>
      <c r="K43" s="1510"/>
      <c r="L43" s="224"/>
      <c r="M43" s="2180"/>
      <c r="N43" s="344"/>
      <c r="O43" s="1634"/>
      <c r="P43" s="1634"/>
      <c r="AH43" s="1641">
        <v>0</v>
      </c>
    </row>
    <row s="1645" customFormat="1" customHeight="1" ht="0.75" hidden="1">
      <c r="A44" s="1790"/>
      <c r="B44" s="1790"/>
      <c r="C44" s="379" t="s">
        <v>1433</v>
      </c>
      <c r="D44" s="2472"/>
      <c r="E44" s="2214"/>
      <c r="F44" s="2393"/>
      <c r="G44" s="410"/>
      <c r="H44" s="1510"/>
      <c r="I44" s="661"/>
      <c r="J44" s="581"/>
      <c r="K44" s="1510"/>
      <c r="L44" s="224"/>
      <c r="M44" s="2180"/>
      <c r="N44" s="344"/>
      <c r="O44" s="1634"/>
      <c r="P44" s="1634"/>
      <c r="AH44" s="1641">
        <v>0</v>
      </c>
    </row>
    <row s="1645" customFormat="1" customHeight="1" ht="18.75" hidden="1">
      <c r="A45" s="1790" t="s">
        <v>221</v>
      </c>
      <c r="B45" s="1790" t="s">
        <v>222</v>
      </c>
      <c r="C45" s="379"/>
      <c r="D45" s="2472"/>
      <c r="E45" s="2214"/>
      <c r="F45" s="2393" t="str">
        <f>INDEX(PT_DIFFERENTIATION_VTAR,MATCH(A45,PT_DIFFERENTIATION_VTAR_ID,0))</f>
        <v>Плата за подключение (технологическое присоединение) к системе теплоснабжения</v>
      </c>
      <c r="G45" s="2437" t="str">
        <f>INDEX(PT_DIFFERENTIATION_NTAR,MATCH(B45,PT_DIFFERENTIATION_NTAR_ID,0))</f>
        <v/>
      </c>
      <c r="H45" s="1872"/>
      <c r="I45" s="1749"/>
      <c r="J45" s="1783"/>
      <c r="K45" s="1875"/>
      <c r="L45" s="1872" t="s">
        <v>328</v>
      </c>
      <c r="M45" s="2180"/>
      <c r="N45" s="344"/>
      <c r="O45" s="1634"/>
      <c r="P45" s="1634"/>
      <c r="AH45" s="1641">
        <v>0</v>
      </c>
    </row>
    <row s="1645" customFormat="1" customHeight="1" ht="18.75" hidden="1">
      <c r="A46" s="1790"/>
      <c r="B46" s="1790"/>
      <c r="C46" s="379" t="s">
        <v>1427</v>
      </c>
      <c r="D46" s="2472"/>
      <c r="E46" s="2214"/>
      <c r="F46" s="2393"/>
      <c r="G46" s="2437"/>
      <c r="H46" s="1510"/>
      <c r="I46" s="661" t="s">
        <v>1428</v>
      </c>
      <c r="J46" s="581"/>
      <c r="K46" s="1510"/>
      <c r="L46" s="224"/>
      <c r="M46" s="2180"/>
      <c r="N46" s="344"/>
      <c r="O46" s="1634"/>
      <c r="P46" s="1634"/>
      <c r="AH46" s="1641">
        <v>0</v>
      </c>
    </row>
    <row s="1645" customFormat="1" customHeight="1" ht="0.75" hidden="1">
      <c r="A47" s="1790"/>
      <c r="B47" s="1790"/>
      <c r="C47" s="379" t="s">
        <v>1433</v>
      </c>
      <c r="D47" s="2472"/>
      <c r="E47" s="2214"/>
      <c r="F47" s="2393"/>
      <c r="G47" s="410"/>
      <c r="H47" s="1510"/>
      <c r="I47" s="661"/>
      <c r="J47" s="581"/>
      <c r="K47" s="1510"/>
      <c r="L47" s="224"/>
      <c r="M47" s="2180"/>
      <c r="N47" s="344"/>
      <c r="O47" s="1634"/>
      <c r="P47" s="1634"/>
      <c r="AH47" s="1641">
        <v>0</v>
      </c>
    </row>
    <row s="1645" customFormat="1" customHeight="1" ht="18.75" hidden="1">
      <c r="A48" s="1790" t="s">
        <v>227</v>
      </c>
      <c r="B48" s="1790" t="s">
        <v>228</v>
      </c>
      <c r="C48" s="379"/>
      <c r="D48" s="2472"/>
      <c r="E48" s="2214"/>
      <c r="F48" s="2393" t="str">
        <f>INDEX(PT_DIFFERENTIATION_VTAR,MATCH(A48,PT_DIFFERENTIATION_VTAR_ID,0))</f>
        <v>Плата за подключение (технологическое присоединение) к системе теплоснабжения (индивидуальная)</v>
      </c>
      <c r="G48" s="2437" t="str">
        <f>INDEX(PT_DIFFERENTIATION_NTAR,MATCH(B48,PT_DIFFERENTIATION_NTAR_ID,0))</f>
        <v/>
      </c>
      <c r="H48" s="1999"/>
      <c r="I48" s="1749"/>
      <c r="J48" s="1783"/>
      <c r="K48" s="1875"/>
      <c r="L48" s="1999" t="s">
        <v>328</v>
      </c>
      <c r="M48" s="2180"/>
      <c r="N48" s="344"/>
      <c r="O48" s="1634"/>
      <c r="P48" s="1634"/>
      <c r="AH48" s="1641">
        <v>0</v>
      </c>
    </row>
    <row s="1645" customFormat="1" customHeight="1" ht="18.75" hidden="1">
      <c r="A49" s="1790"/>
      <c r="B49" s="1790"/>
      <c r="C49" s="379" t="s">
        <v>1427</v>
      </c>
      <c r="D49" s="2472"/>
      <c r="E49" s="2214"/>
      <c r="F49" s="2393"/>
      <c r="G49" s="2437"/>
      <c r="H49" s="1510"/>
      <c r="I49" s="661" t="s">
        <v>1428</v>
      </c>
      <c r="J49" s="581"/>
      <c r="K49" s="1510"/>
      <c r="L49" s="224"/>
      <c r="M49" s="2180"/>
      <c r="N49" s="344"/>
      <c r="O49" s="1634"/>
      <c r="P49" s="1634"/>
      <c r="AH49" s="1641">
        <v>0</v>
      </c>
    </row>
    <row s="1645" customFormat="1" customHeight="1" ht="0.75" hidden="1">
      <c r="A50" s="1790"/>
      <c r="B50" s="1790"/>
      <c r="C50" s="379" t="s">
        <v>1433</v>
      </c>
      <c r="D50" s="2472"/>
      <c r="E50" s="2214"/>
      <c r="F50" s="2393"/>
      <c r="G50" s="410"/>
      <c r="H50" s="1510"/>
      <c r="I50" s="661"/>
      <c r="J50" s="581"/>
      <c r="K50" s="1510"/>
      <c r="L50" s="224"/>
      <c r="M50" s="2180"/>
      <c r="N50" s="344"/>
      <c r="O50" s="1634"/>
      <c r="P50" s="1634"/>
      <c r="AH50" s="1641">
        <v>0</v>
      </c>
    </row>
    <row s="1645" customFormat="1" customHeight="1" ht="18.75" hidden="1">
      <c r="A51" s="1790" t="s">
        <v>247</v>
      </c>
      <c r="B51" s="1790" t="s">
        <v>248</v>
      </c>
      <c r="C51" s="379"/>
      <c r="D51" s="2472"/>
      <c r="E51" s="2214"/>
      <c r="F51" s="2393" t="str">
        <f>INDEX(PT_DIFFERENTIATION_VTAR,MATCH(A51,PT_DIFFERENTIATION_VTAR_ID,0))</f>
        <v>Тариф на питьевую воду (питьевое водоснабжение)</v>
      </c>
      <c r="G51" s="2437" t="str">
        <f>INDEX(PT_DIFFERENTIATION_NTAR,MATCH(B51,PT_DIFFERENTIATION_NTAR_ID,0))</f>
        <v/>
      </c>
      <c r="H51" s="1872"/>
      <c r="I51" s="1749"/>
      <c r="J51" s="1783"/>
      <c r="K51" s="1875"/>
      <c r="L51" s="1872" t="s">
        <v>328</v>
      </c>
      <c r="M51" s="2180"/>
      <c r="N51" s="344"/>
      <c r="O51" s="1634"/>
      <c r="P51" s="1634"/>
      <c r="AH51" s="1641">
        <v>0</v>
      </c>
    </row>
    <row s="1645" customFormat="1" customHeight="1" ht="18.75" hidden="1">
      <c r="A52" s="1790"/>
      <c r="B52" s="1790"/>
      <c r="C52" s="379" t="s">
        <v>1427</v>
      </c>
      <c r="D52" s="2472"/>
      <c r="E52" s="2214"/>
      <c r="F52" s="2393"/>
      <c r="G52" s="2437"/>
      <c r="H52" s="1510"/>
      <c r="I52" s="661" t="s">
        <v>1428</v>
      </c>
      <c r="J52" s="581"/>
      <c r="K52" s="1510"/>
      <c r="L52" s="224"/>
      <c r="M52" s="2180"/>
      <c r="N52" s="344"/>
      <c r="O52" s="1634"/>
      <c r="P52" s="1634"/>
      <c r="AH52" s="1641">
        <v>0</v>
      </c>
    </row>
    <row s="1645" customFormat="1" customHeight="1" ht="0.75" hidden="1">
      <c r="A53" s="1790"/>
      <c r="B53" s="1790"/>
      <c r="C53" s="379" t="s">
        <v>1433</v>
      </c>
      <c r="D53" s="2472"/>
      <c r="E53" s="2214"/>
      <c r="F53" s="2393"/>
      <c r="G53" s="410"/>
      <c r="H53" s="1510"/>
      <c r="I53" s="661"/>
      <c r="J53" s="581"/>
      <c r="K53" s="1510"/>
      <c r="L53" s="224"/>
      <c r="M53" s="2180"/>
      <c r="N53" s="344"/>
      <c r="O53" s="1634"/>
      <c r="P53" s="1634"/>
      <c r="AH53" s="1641">
        <v>0</v>
      </c>
    </row>
    <row s="1645" customFormat="1" customHeight="1" ht="18.75" hidden="1">
      <c r="A54" s="1790" t="s">
        <v>252</v>
      </c>
      <c r="B54" s="1790" t="s">
        <v>253</v>
      </c>
      <c r="C54" s="379"/>
      <c r="D54" s="2472"/>
      <c r="E54" s="2214"/>
      <c r="F54" s="2393" t="str">
        <f>INDEX(PT_DIFFERENTIATION_VTAR,MATCH(A54,PT_DIFFERENTIATION_VTAR_ID,0))</f>
        <v>Тариф на техническую воду</v>
      </c>
      <c r="G54" s="2437" t="str">
        <f>INDEX(PT_DIFFERENTIATION_NTAR,MATCH(B54,PT_DIFFERENTIATION_NTAR_ID,0))</f>
        <v/>
      </c>
      <c r="H54" s="1872"/>
      <c r="I54" s="1749"/>
      <c r="J54" s="1783"/>
      <c r="K54" s="1875"/>
      <c r="L54" s="1872" t="s">
        <v>328</v>
      </c>
      <c r="M54" s="2180"/>
      <c r="N54" s="344"/>
      <c r="O54" s="1634"/>
      <c r="P54" s="1634"/>
      <c r="AH54" s="1641">
        <v>0</v>
      </c>
    </row>
    <row s="1645" customFormat="1" customHeight="1" ht="18.75" hidden="1">
      <c r="A55" s="1790"/>
      <c r="B55" s="1790"/>
      <c r="C55" s="379" t="s">
        <v>1427</v>
      </c>
      <c r="D55" s="2472"/>
      <c r="E55" s="2214"/>
      <c r="F55" s="2393"/>
      <c r="G55" s="2437"/>
      <c r="H55" s="1510"/>
      <c r="I55" s="661" t="s">
        <v>1428</v>
      </c>
      <c r="J55" s="581"/>
      <c r="K55" s="1510"/>
      <c r="L55" s="224"/>
      <c r="M55" s="2180"/>
      <c r="N55" s="344"/>
      <c r="O55" s="1634"/>
      <c r="P55" s="1634"/>
      <c r="AH55" s="1641">
        <v>0</v>
      </c>
    </row>
    <row s="1645" customFormat="1" customHeight="1" ht="0.75" hidden="1">
      <c r="A56" s="1790"/>
      <c r="B56" s="1790"/>
      <c r="C56" s="379" t="s">
        <v>1433</v>
      </c>
      <c r="D56" s="2472"/>
      <c r="E56" s="2214"/>
      <c r="F56" s="2393"/>
      <c r="G56" s="410"/>
      <c r="H56" s="1510"/>
      <c r="I56" s="661"/>
      <c r="J56" s="581"/>
      <c r="K56" s="1510"/>
      <c r="L56" s="224"/>
      <c r="M56" s="2180"/>
      <c r="N56" s="344"/>
      <c r="O56" s="1634"/>
      <c r="P56" s="1634"/>
      <c r="AH56" s="1641">
        <v>0</v>
      </c>
    </row>
    <row s="1645" customFormat="1" customHeight="1" ht="18.75" hidden="1">
      <c r="A57" s="1790" t="s">
        <v>257</v>
      </c>
      <c r="B57" s="1790" t="s">
        <v>258</v>
      </c>
      <c r="C57" s="379"/>
      <c r="D57" s="2472"/>
      <c r="E57" s="2214"/>
      <c r="F57" s="2393" t="str">
        <f>INDEX(PT_DIFFERENTIATION_VTAR,MATCH(A57,PT_DIFFERENTIATION_VTAR_ID,0))</f>
        <v>Тариф на транспортировку воды</v>
      </c>
      <c r="G57" s="2437" t="str">
        <f>INDEX(PT_DIFFERENTIATION_NTAR,MATCH(B57,PT_DIFFERENTIATION_NTAR_ID,0))</f>
        <v/>
      </c>
      <c r="H57" s="1872"/>
      <c r="I57" s="1749"/>
      <c r="J57" s="1783"/>
      <c r="K57" s="1875"/>
      <c r="L57" s="1872" t="s">
        <v>328</v>
      </c>
      <c r="M57" s="2180"/>
      <c r="N57" s="344"/>
      <c r="O57" s="1634"/>
      <c r="P57" s="1634"/>
      <c r="AH57" s="1641">
        <v>0</v>
      </c>
    </row>
    <row s="1645" customFormat="1" customHeight="1" ht="18.75" hidden="1">
      <c r="A58" s="1790"/>
      <c r="B58" s="1790"/>
      <c r="C58" s="379" t="s">
        <v>1427</v>
      </c>
      <c r="D58" s="2472"/>
      <c r="E58" s="2214"/>
      <c r="F58" s="2393"/>
      <c r="G58" s="2437"/>
      <c r="H58" s="1510"/>
      <c r="I58" s="661" t="s">
        <v>1428</v>
      </c>
      <c r="J58" s="581"/>
      <c r="K58" s="1510"/>
      <c r="L58" s="224"/>
      <c r="M58" s="2180"/>
      <c r="N58" s="344"/>
      <c r="O58" s="1634"/>
      <c r="P58" s="1634"/>
      <c r="AH58" s="1641">
        <v>0</v>
      </c>
    </row>
    <row s="1645" customFormat="1" customHeight="1" ht="0.75" hidden="1">
      <c r="A59" s="1790"/>
      <c r="B59" s="1790"/>
      <c r="C59" s="379" t="s">
        <v>1433</v>
      </c>
      <c r="D59" s="2472"/>
      <c r="E59" s="2214"/>
      <c r="F59" s="2393"/>
      <c r="G59" s="410"/>
      <c r="H59" s="1510"/>
      <c r="I59" s="661"/>
      <c r="J59" s="581"/>
      <c r="K59" s="1510"/>
      <c r="L59" s="224"/>
      <c r="M59" s="2180"/>
      <c r="N59" s="344"/>
      <c r="O59" s="1634"/>
      <c r="P59" s="1634"/>
      <c r="AH59" s="1641">
        <v>0</v>
      </c>
    </row>
    <row s="1645" customFormat="1" customHeight="1" ht="18.75" hidden="1">
      <c r="A60" s="1790" t="s">
        <v>262</v>
      </c>
      <c r="B60" s="1790" t="s">
        <v>263</v>
      </c>
      <c r="C60" s="379"/>
      <c r="D60" s="2472"/>
      <c r="E60" s="2214"/>
      <c r="F60" s="2393" t="str">
        <f>INDEX(PT_DIFFERENTIATION_VTAR,MATCH(A60,PT_DIFFERENTIATION_VTAR_ID,0))</f>
        <v>Тариф на подвоз воды</v>
      </c>
      <c r="G60" s="2437" t="str">
        <f>INDEX(PT_DIFFERENTIATION_NTAR,MATCH(B60,PT_DIFFERENTIATION_NTAR_ID,0))</f>
        <v/>
      </c>
      <c r="H60" s="1872"/>
      <c r="I60" s="1749"/>
      <c r="J60" s="1783"/>
      <c r="K60" s="1875"/>
      <c r="L60" s="1872" t="s">
        <v>328</v>
      </c>
      <c r="M60" s="2180"/>
      <c r="N60" s="344"/>
      <c r="O60" s="1634"/>
      <c r="P60" s="1634"/>
      <c r="AH60" s="1641">
        <v>0</v>
      </c>
    </row>
    <row s="1645" customFormat="1" customHeight="1" ht="18.75" hidden="1">
      <c r="A61" s="1790"/>
      <c r="B61" s="1790"/>
      <c r="C61" s="379" t="s">
        <v>1427</v>
      </c>
      <c r="D61" s="2472"/>
      <c r="E61" s="2214"/>
      <c r="F61" s="2393"/>
      <c r="G61" s="2437"/>
      <c r="H61" s="1510"/>
      <c r="I61" s="661" t="s">
        <v>1428</v>
      </c>
      <c r="J61" s="581"/>
      <c r="K61" s="1510"/>
      <c r="L61" s="224"/>
      <c r="M61" s="2180"/>
      <c r="N61" s="344"/>
      <c r="O61" s="1634"/>
      <c r="P61" s="1634"/>
      <c r="AH61" s="1641">
        <v>0</v>
      </c>
    </row>
    <row s="1645" customFormat="1" customHeight="1" ht="0.75" hidden="1">
      <c r="A62" s="1790"/>
      <c r="B62" s="1790"/>
      <c r="C62" s="379" t="s">
        <v>1433</v>
      </c>
      <c r="D62" s="2472"/>
      <c r="E62" s="2214"/>
      <c r="F62" s="2393"/>
      <c r="G62" s="410"/>
      <c r="H62" s="1510"/>
      <c r="I62" s="661"/>
      <c r="J62" s="581"/>
      <c r="K62" s="1510"/>
      <c r="L62" s="224"/>
      <c r="M62" s="2180"/>
      <c r="N62" s="344"/>
      <c r="O62" s="1634"/>
      <c r="P62" s="1634"/>
      <c r="AH62" s="1641">
        <v>0</v>
      </c>
    </row>
    <row s="1645" customFormat="1" customHeight="1" ht="18.75" hidden="1">
      <c r="A63" s="1790" t="s">
        <v>267</v>
      </c>
      <c r="B63" s="1790" t="s">
        <v>268</v>
      </c>
      <c r="C63" s="379"/>
      <c r="D63" s="2472"/>
      <c r="E63" s="2214"/>
      <c r="F63" s="239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7" t="str">
        <f>INDEX(PT_DIFFERENTIATION_NTAR,MATCH(B63,PT_DIFFERENTIATION_NTAR_ID,0))</f>
        <v/>
      </c>
      <c r="H63" s="1872"/>
      <c r="I63" s="1749"/>
      <c r="J63" s="1783"/>
      <c r="K63" s="1875"/>
      <c r="L63" s="1872" t="s">
        <v>328</v>
      </c>
      <c r="M63" s="2180"/>
      <c r="N63" s="344"/>
      <c r="O63" s="1634"/>
      <c r="P63" s="1634"/>
      <c r="AH63" s="1641">
        <v>0</v>
      </c>
    </row>
    <row s="1645" customFormat="1" customHeight="1" ht="18.75" hidden="1">
      <c r="A64" s="1790"/>
      <c r="B64" s="1790"/>
      <c r="C64" s="379" t="s">
        <v>1427</v>
      </c>
      <c r="D64" s="2472"/>
      <c r="E64" s="2214"/>
      <c r="F64" s="2393"/>
      <c r="G64" s="2437"/>
      <c r="H64" s="1510"/>
      <c r="I64" s="661" t="s">
        <v>1428</v>
      </c>
      <c r="J64" s="581"/>
      <c r="K64" s="1510"/>
      <c r="L64" s="224"/>
      <c r="M64" s="2180"/>
      <c r="N64" s="344"/>
      <c r="O64" s="1634"/>
      <c r="P64" s="1634"/>
      <c r="AH64" s="1641">
        <v>0</v>
      </c>
    </row>
    <row s="1645" customFormat="1" customHeight="1" ht="0.75" hidden="1">
      <c r="A65" s="1790"/>
      <c r="B65" s="1790"/>
      <c r="C65" s="379" t="s">
        <v>1433</v>
      </c>
      <c r="D65" s="2472"/>
      <c r="E65" s="2214"/>
      <c r="F65" s="2393"/>
      <c r="G65" s="410"/>
      <c r="H65" s="1510"/>
      <c r="I65" s="661"/>
      <c r="J65" s="581"/>
      <c r="K65" s="1510"/>
      <c r="L65" s="224"/>
      <c r="M65" s="2180"/>
      <c r="N65" s="344"/>
      <c r="O65" s="1634"/>
      <c r="P65" s="1634"/>
      <c r="AH65" s="1641">
        <v>0</v>
      </c>
    </row>
    <row s="1645" customFormat="1" customHeight="1" ht="18.75" hidden="1">
      <c r="A66" s="1790" t="s">
        <v>272</v>
      </c>
      <c r="B66" s="1790" t="s">
        <v>273</v>
      </c>
      <c r="C66" s="379"/>
      <c r="D66" s="2472"/>
      <c r="E66" s="2214"/>
      <c r="F66" s="2393" t="str">
        <f>INDEX(PT_DIFFERENTIATION_VTAR,MATCH(A66,PT_DIFFERENTIATION_VTAR_ID,0))</f>
        <v>Тариф на горячую воду (горячее водоснабжение)</v>
      </c>
      <c r="G66" s="2437" t="str">
        <f>INDEX(PT_DIFFERENTIATION_NTAR,MATCH(B66,PT_DIFFERENTIATION_NTAR_ID,0))</f>
        <v/>
      </c>
      <c r="H66" s="1872"/>
      <c r="I66" s="1749"/>
      <c r="J66" s="1783"/>
      <c r="K66" s="1875"/>
      <c r="L66" s="1872" t="s">
        <v>328</v>
      </c>
      <c r="M66" s="2180"/>
      <c r="N66" s="344"/>
      <c r="O66" s="1634"/>
      <c r="P66" s="1634"/>
      <c r="AH66" s="1641">
        <v>0</v>
      </c>
    </row>
    <row s="1645" customFormat="1" customHeight="1" ht="18.75" hidden="1">
      <c r="A67" s="1790"/>
      <c r="B67" s="1790"/>
      <c r="C67" s="379" t="s">
        <v>1427</v>
      </c>
      <c r="D67" s="2472"/>
      <c r="E67" s="2214"/>
      <c r="F67" s="2393"/>
      <c r="G67" s="2437"/>
      <c r="H67" s="1510"/>
      <c r="I67" s="661" t="s">
        <v>1428</v>
      </c>
      <c r="J67" s="581"/>
      <c r="K67" s="1510"/>
      <c r="L67" s="224"/>
      <c r="M67" s="2180"/>
      <c r="N67" s="344"/>
      <c r="O67" s="1634"/>
      <c r="P67" s="1634"/>
      <c r="AH67" s="1641">
        <v>0</v>
      </c>
    </row>
    <row s="1645" customFormat="1" customHeight="1" ht="0.75" hidden="1">
      <c r="A68" s="1790"/>
      <c r="B68" s="1790"/>
      <c r="C68" s="379" t="s">
        <v>1433</v>
      </c>
      <c r="D68" s="2472"/>
      <c r="E68" s="2214"/>
      <c r="F68" s="2393"/>
      <c r="G68" s="410"/>
      <c r="H68" s="1510"/>
      <c r="I68" s="661"/>
      <c r="J68" s="581"/>
      <c r="K68" s="1510"/>
      <c r="L68" s="224"/>
      <c r="M68" s="2180"/>
      <c r="N68" s="344"/>
      <c r="O68" s="1634"/>
      <c r="P68" s="1634"/>
      <c r="AH68" s="1641">
        <v>0</v>
      </c>
    </row>
    <row s="1645" customFormat="1" customHeight="1" ht="18.75" hidden="1">
      <c r="A69" s="1790" t="s">
        <v>277</v>
      </c>
      <c r="B69" s="1790" t="s">
        <v>278</v>
      </c>
      <c r="C69" s="379"/>
      <c r="D69" s="2472"/>
      <c r="E69" s="2214"/>
      <c r="F69" s="2393" t="str">
        <f>INDEX(PT_DIFFERENTIATION_VTAR,MATCH(A69,PT_DIFFERENTIATION_VTAR_ID,0))</f>
        <v>Тариф на транспортировку горячей воды</v>
      </c>
      <c r="G69" s="2437" t="str">
        <f>INDEX(PT_DIFFERENTIATION_NTAR,MATCH(B69,PT_DIFFERENTIATION_NTAR_ID,0))</f>
        <v/>
      </c>
      <c r="H69" s="1872"/>
      <c r="I69" s="1749"/>
      <c r="J69" s="1783"/>
      <c r="K69" s="1875"/>
      <c r="L69" s="1872" t="s">
        <v>328</v>
      </c>
      <c r="M69" s="2180"/>
      <c r="N69" s="344"/>
      <c r="O69" s="1634"/>
      <c r="P69" s="1634"/>
      <c r="AH69" s="1641">
        <v>0</v>
      </c>
    </row>
    <row s="1645" customFormat="1" customHeight="1" ht="18.75" hidden="1">
      <c r="A70" s="1790"/>
      <c r="B70" s="1790"/>
      <c r="C70" s="379" t="s">
        <v>1427</v>
      </c>
      <c r="D70" s="2472"/>
      <c r="E70" s="2214"/>
      <c r="F70" s="2393"/>
      <c r="G70" s="2437"/>
      <c r="H70" s="1510"/>
      <c r="I70" s="661" t="s">
        <v>1428</v>
      </c>
      <c r="J70" s="581"/>
      <c r="K70" s="1510"/>
      <c r="L70" s="224"/>
      <c r="M70" s="2180"/>
      <c r="N70" s="344"/>
      <c r="O70" s="1634"/>
      <c r="P70" s="1634"/>
      <c r="AH70" s="1641">
        <v>0</v>
      </c>
    </row>
    <row s="1645" customFormat="1" customHeight="1" ht="0.75" hidden="1">
      <c r="A71" s="1790"/>
      <c r="B71" s="1790"/>
      <c r="C71" s="379" t="s">
        <v>1433</v>
      </c>
      <c r="D71" s="2472"/>
      <c r="E71" s="2214"/>
      <c r="F71" s="2393"/>
      <c r="G71" s="410"/>
      <c r="H71" s="1510"/>
      <c r="I71" s="661"/>
      <c r="J71" s="581"/>
      <c r="K71" s="1510"/>
      <c r="L71" s="224"/>
      <c r="M71" s="2180"/>
      <c r="N71" s="344"/>
      <c r="O71" s="1634"/>
      <c r="P71" s="1634"/>
      <c r="AH71" s="1641">
        <v>0</v>
      </c>
    </row>
    <row s="1645" customFormat="1" customHeight="1" ht="18.75" hidden="1">
      <c r="A72" s="1790" t="s">
        <v>282</v>
      </c>
      <c r="B72" s="1790" t="s">
        <v>283</v>
      </c>
      <c r="C72" s="379"/>
      <c r="D72" s="2472"/>
      <c r="E72" s="2214"/>
      <c r="F72" s="2393" t="str">
        <f>INDEX(PT_DIFFERENTIATION_VTAR,MATCH(A72,PT_DIFFERENTIATION_VTAR_ID,0))</f>
        <v>Тариф на подключение (технологическое присоединение) к централизованной системе горячего водоснабжения</v>
      </c>
      <c r="G72" s="2437" t="str">
        <f>INDEX(PT_DIFFERENTIATION_NTAR,MATCH(B72,PT_DIFFERENTIATION_NTAR_ID,0))</f>
        <v/>
      </c>
      <c r="H72" s="1872"/>
      <c r="I72" s="1749"/>
      <c r="J72" s="1783"/>
      <c r="K72" s="1875"/>
      <c r="L72" s="1872" t="s">
        <v>328</v>
      </c>
      <c r="M72" s="2180"/>
      <c r="N72" s="344"/>
      <c r="O72" s="1634"/>
      <c r="P72" s="1634"/>
      <c r="AH72" s="1641">
        <v>0</v>
      </c>
    </row>
    <row s="1645" customFormat="1" customHeight="1" ht="18.75" hidden="1">
      <c r="A73" s="1790"/>
      <c r="B73" s="1790"/>
      <c r="C73" s="379" t="s">
        <v>1427</v>
      </c>
      <c r="D73" s="2472"/>
      <c r="E73" s="2214"/>
      <c r="F73" s="2393"/>
      <c r="G73" s="2437"/>
      <c r="H73" s="1510"/>
      <c r="I73" s="661" t="s">
        <v>1428</v>
      </c>
      <c r="J73" s="581"/>
      <c r="K73" s="1510"/>
      <c r="L73" s="224"/>
      <c r="M73" s="2180"/>
      <c r="N73" s="344"/>
      <c r="O73" s="1634"/>
      <c r="P73" s="1634"/>
      <c r="AH73" s="1641">
        <v>0</v>
      </c>
    </row>
    <row s="1645" customFormat="1" customHeight="1" ht="0.75" hidden="1">
      <c r="A74" s="1790"/>
      <c r="B74" s="1790"/>
      <c r="C74" s="379" t="s">
        <v>1433</v>
      </c>
      <c r="D74" s="2472"/>
      <c r="E74" s="2214"/>
      <c r="F74" s="2393"/>
      <c r="G74" s="410"/>
      <c r="H74" s="1510"/>
      <c r="I74" s="661"/>
      <c r="J74" s="581"/>
      <c r="K74" s="1510"/>
      <c r="L74" s="224"/>
      <c r="M74" s="2180"/>
      <c r="N74" s="344"/>
      <c r="O74" s="1634"/>
      <c r="P74" s="1634"/>
      <c r="AH74" s="1641">
        <v>0</v>
      </c>
    </row>
    <row s="1645" customFormat="1" customHeight="1" ht="18.75" hidden="1">
      <c r="A75" s="1790" t="s">
        <v>287</v>
      </c>
      <c r="B75" s="1790" t="s">
        <v>288</v>
      </c>
      <c r="C75" s="379"/>
      <c r="D75" s="2472"/>
      <c r="E75" s="2214"/>
      <c r="F75" s="2393" t="str">
        <f>INDEX(PT_DIFFERENTIATION_VTAR,MATCH(A75,PT_DIFFERENTIATION_VTAR_ID,0))</f>
        <v>Тариф на водоотведение</v>
      </c>
      <c r="G75" s="2437" t="str">
        <f>INDEX(PT_DIFFERENTIATION_NTAR,MATCH(B75,PT_DIFFERENTIATION_NTAR_ID,0))</f>
        <v/>
      </c>
      <c r="H75" s="1872"/>
      <c r="I75" s="1749"/>
      <c r="J75" s="1783"/>
      <c r="K75" s="1875"/>
      <c r="L75" s="1872" t="s">
        <v>328</v>
      </c>
      <c r="M75" s="2180"/>
      <c r="N75" s="344"/>
      <c r="O75" s="1634"/>
      <c r="P75" s="1634"/>
      <c r="AH75" s="1641">
        <v>0</v>
      </c>
    </row>
    <row s="1645" customFormat="1" customHeight="1" ht="18.75" hidden="1">
      <c r="A76" s="1790"/>
      <c r="B76" s="1790"/>
      <c r="C76" s="379" t="s">
        <v>1427</v>
      </c>
      <c r="D76" s="2472"/>
      <c r="E76" s="2214"/>
      <c r="F76" s="2393"/>
      <c r="G76" s="2437"/>
      <c r="H76" s="1510"/>
      <c r="I76" s="661" t="s">
        <v>1428</v>
      </c>
      <c r="J76" s="581"/>
      <c r="K76" s="1510"/>
      <c r="L76" s="224"/>
      <c r="M76" s="2180"/>
      <c r="N76" s="344"/>
      <c r="O76" s="1634"/>
      <c r="P76" s="1634"/>
      <c r="AH76" s="1641">
        <v>0</v>
      </c>
    </row>
    <row s="1645" customFormat="1" customHeight="1" ht="0.75" hidden="1">
      <c r="A77" s="1790"/>
      <c r="B77" s="1790"/>
      <c r="C77" s="379" t="s">
        <v>1433</v>
      </c>
      <c r="D77" s="2472"/>
      <c r="E77" s="2214"/>
      <c r="F77" s="2393"/>
      <c r="G77" s="410"/>
      <c r="H77" s="1510"/>
      <c r="I77" s="661"/>
      <c r="J77" s="581"/>
      <c r="K77" s="1510"/>
      <c r="L77" s="224"/>
      <c r="M77" s="2180"/>
      <c r="N77" s="344"/>
      <c r="O77" s="1634"/>
      <c r="P77" s="1634"/>
      <c r="AH77" s="1641">
        <v>0</v>
      </c>
    </row>
    <row s="1645" customFormat="1" customHeight="1" ht="18.75" hidden="1">
      <c r="A78" s="1790" t="s">
        <v>292</v>
      </c>
      <c r="B78" s="1790" t="s">
        <v>293</v>
      </c>
      <c r="C78" s="379"/>
      <c r="D78" s="2472"/>
      <c r="E78" s="2214"/>
      <c r="F78" s="2393" t="str">
        <f>INDEX(PT_DIFFERENTIATION_VTAR,MATCH(A78,PT_DIFFERENTIATION_VTAR_ID,0))</f>
        <v>Тариф на транспортировку сточных вод</v>
      </c>
      <c r="G78" s="2437" t="str">
        <f>INDEX(PT_DIFFERENTIATION_NTAR,MATCH(B78,PT_DIFFERENTIATION_NTAR_ID,0))</f>
        <v/>
      </c>
      <c r="H78" s="1872"/>
      <c r="I78" s="1749"/>
      <c r="J78" s="1783"/>
      <c r="K78" s="1875"/>
      <c r="L78" s="1872" t="s">
        <v>328</v>
      </c>
      <c r="M78" s="2180"/>
      <c r="N78" s="344"/>
      <c r="O78" s="1634"/>
      <c r="P78" s="1634"/>
      <c r="AH78" s="1641">
        <v>0</v>
      </c>
    </row>
    <row s="1645" customFormat="1" customHeight="1" ht="18.75" hidden="1">
      <c r="A79" s="1790"/>
      <c r="B79" s="1790"/>
      <c r="C79" s="379" t="s">
        <v>1427</v>
      </c>
      <c r="D79" s="2472"/>
      <c r="E79" s="2214"/>
      <c r="F79" s="2393"/>
      <c r="G79" s="2437"/>
      <c r="H79" s="1510"/>
      <c r="I79" s="661" t="s">
        <v>1428</v>
      </c>
      <c r="J79" s="581"/>
      <c r="K79" s="1510"/>
      <c r="L79" s="224"/>
      <c r="M79" s="2180"/>
      <c r="N79" s="344"/>
      <c r="O79" s="1634"/>
      <c r="P79" s="1634"/>
      <c r="AH79" s="1641">
        <v>0</v>
      </c>
    </row>
    <row s="1645" customFormat="1" customHeight="1" ht="0.75" hidden="1">
      <c r="A80" s="1790"/>
      <c r="B80" s="1790"/>
      <c r="C80" s="379" t="s">
        <v>1433</v>
      </c>
      <c r="D80" s="2472"/>
      <c r="E80" s="2214"/>
      <c r="F80" s="2393"/>
      <c r="G80" s="410"/>
      <c r="H80" s="1510"/>
      <c r="I80" s="661"/>
      <c r="J80" s="581"/>
      <c r="K80" s="1510"/>
      <c r="L80" s="224"/>
      <c r="M80" s="2180"/>
      <c r="N80" s="344"/>
      <c r="O80" s="1634"/>
      <c r="P80" s="1634"/>
      <c r="AH80" s="1641">
        <v>0</v>
      </c>
    </row>
    <row s="1645" customFormat="1" customHeight="1" ht="18.75" hidden="1">
      <c r="A81" s="1790" t="s">
        <v>297</v>
      </c>
      <c r="B81" s="1790" t="s">
        <v>298</v>
      </c>
      <c r="C81" s="379"/>
      <c r="D81" s="2472"/>
      <c r="E81" s="2214"/>
      <c r="F81" s="2393" t="str">
        <f>INDEX(PT_DIFFERENTIATION_VTAR,MATCH(A81,PT_DIFFERENTIATION_VTAR_ID,0))</f>
        <v>Тариф на подключение (технологическое присоединение) к централизованной системе водоотведения</v>
      </c>
      <c r="G81" s="2437" t="str">
        <f>INDEX(PT_DIFFERENTIATION_NTAR,MATCH(B81,PT_DIFFERENTIATION_NTAR_ID,0))</f>
        <v/>
      </c>
      <c r="H81" s="1872"/>
      <c r="I81" s="1749"/>
      <c r="J81" s="1783"/>
      <c r="K81" s="1875"/>
      <c r="L81" s="1872" t="s">
        <v>328</v>
      </c>
      <c r="M81" s="2180"/>
      <c r="N81" s="344"/>
      <c r="O81" s="1634"/>
      <c r="P81" s="1634"/>
      <c r="AH81" s="1641">
        <v>0</v>
      </c>
    </row>
    <row s="1645" customFormat="1" customHeight="1" ht="18.75" hidden="1">
      <c r="A82" s="1790"/>
      <c r="B82" s="1790"/>
      <c r="C82" s="379" t="s">
        <v>1427</v>
      </c>
      <c r="D82" s="2472"/>
      <c r="E82" s="2214"/>
      <c r="F82" s="2393"/>
      <c r="G82" s="2437"/>
      <c r="H82" s="1510"/>
      <c r="I82" s="661" t="s">
        <v>1428</v>
      </c>
      <c r="J82" s="581"/>
      <c r="K82" s="1510"/>
      <c r="L82" s="224"/>
      <c r="M82" s="2180"/>
      <c r="N82" s="344"/>
      <c r="O82" s="1634"/>
      <c r="P82" s="1634"/>
      <c r="AH82" s="1641">
        <v>0</v>
      </c>
    </row>
    <row s="1645" customFormat="1" customHeight="1" ht="1.05">
      <c r="A83" s="1790"/>
      <c r="B83" s="1790"/>
      <c r="C83" s="379" t="s">
        <v>1433</v>
      </c>
      <c r="D83" s="2472"/>
      <c r="E83" s="2214"/>
      <c r="F83" s="2393"/>
      <c r="G83" s="410"/>
      <c r="H83" s="1510"/>
      <c r="I83" s="661"/>
      <c r="J83" s="581"/>
      <c r="K83" s="1510"/>
      <c r="L83" s="224"/>
      <c r="M83" s="2180"/>
      <c r="N83" s="344"/>
      <c r="O83" s="1634"/>
      <c r="P83" s="1634"/>
      <c r="AH83" s="1641">
        <v>1</v>
      </c>
    </row>
    <row customHeight="1" ht="19.95">
      <c r="A84" s="1790"/>
      <c r="B84" s="1790"/>
      <c r="D84" s="386"/>
      <c r="E84" s="157" t="s">
        <v>104</v>
      </c>
      <c r="F84" s="247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70"/>
      <c r="H84" s="2470"/>
      <c r="I84" s="2470"/>
      <c r="J84" s="2470"/>
      <c r="K84" s="2470"/>
      <c r="L84" s="2470"/>
      <c r="M84" s="307"/>
      <c r="N84" s="344"/>
      <c r="AH84" s="384">
        <v>19</v>
      </c>
    </row>
    <row customHeight="1" ht="35.699999999999996">
      <c r="A85" s="1790"/>
      <c r="B85" s="1790"/>
      <c r="D85" s="386"/>
      <c r="E85" s="409"/>
      <c r="F85" s="208" t="s">
        <v>328</v>
      </c>
      <c r="G85" s="208" t="s">
        <v>328</v>
      </c>
      <c r="H85" s="2228" t="s">
        <v>328</v>
      </c>
      <c r="I85" s="2230"/>
      <c r="J85" s="208" t="s">
        <v>328</v>
      </c>
      <c r="K85" s="208" t="s">
        <v>328</v>
      </c>
      <c r="L85" s="411"/>
      <c r="M85" s="355" t="s">
        <v>1434</v>
      </c>
      <c r="N85" s="344"/>
      <c r="AH85" s="384">
        <v>34</v>
      </c>
    </row>
    <row customHeight="1" ht="19.95">
      <c r="A86" s="1790"/>
      <c r="B86" s="1790"/>
      <c r="D86" s="386"/>
      <c r="E86" s="157" t="s">
        <v>90</v>
      </c>
      <c r="F86" s="2470" t="s">
        <v>1435</v>
      </c>
      <c r="G86" s="2470"/>
      <c r="H86" s="2470"/>
      <c r="I86" s="2470"/>
      <c r="J86" s="2470"/>
      <c r="K86" s="2470"/>
      <c r="L86" s="2470"/>
      <c r="M86" s="307"/>
      <c r="N86" s="344"/>
      <c r="AH86" s="384">
        <v>19</v>
      </c>
    </row>
    <row s="1645" customFormat="1" customHeight="1" ht="60.75" hidden="1">
      <c r="A87" s="1790" t="s">
        <v>179</v>
      </c>
      <c r="B87" s="1790" t="s">
        <v>180</v>
      </c>
      <c r="C87" s="379"/>
      <c r="D87" s="2472"/>
      <c r="E87" s="2214"/>
      <c r="F87" s="239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7" t="str">
        <f>INDEX(PT_DIFFERENTIATION_NTAR,MATCH(B87,PT_DIFFERENTIATION_NTAR_ID,0))</f>
        <v/>
      </c>
      <c r="H87" s="1872"/>
      <c r="I87" s="1749"/>
      <c r="J87" s="1783"/>
      <c r="K87" s="1788"/>
      <c r="L87" s="1872" t="s">
        <v>328</v>
      </c>
      <c r="M87" s="217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44"/>
      <c r="O87" s="1634"/>
      <c r="P87" s="1634"/>
      <c r="AH87" s="1641">
        <v>0</v>
      </c>
    </row>
    <row s="1645" customFormat="1" customHeight="1" ht="18.75" hidden="1">
      <c r="A88" s="1790"/>
      <c r="B88" s="1790"/>
      <c r="C88" s="379" t="s">
        <v>1429</v>
      </c>
      <c r="D88" s="2472"/>
      <c r="E88" s="2214"/>
      <c r="F88" s="2393"/>
      <c r="G88" s="2437"/>
      <c r="H88" s="1510"/>
      <c r="I88" s="661" t="s">
        <v>1428</v>
      </c>
      <c r="J88" s="581"/>
      <c r="K88" s="1510"/>
      <c r="L88" s="224"/>
      <c r="M88" s="2180"/>
      <c r="N88" s="344"/>
      <c r="O88" s="1634"/>
      <c r="P88" s="1634"/>
      <c r="AH88" s="1641">
        <v>0</v>
      </c>
    </row>
    <row s="1645" customFormat="1" customHeight="1" ht="0.75" hidden="1">
      <c r="A89" s="1790"/>
      <c r="B89" s="1790"/>
      <c r="C89" s="379" t="s">
        <v>1436</v>
      </c>
      <c r="D89" s="2472"/>
      <c r="E89" s="2214"/>
      <c r="F89" s="2393"/>
      <c r="G89" s="410"/>
      <c r="H89" s="1510"/>
      <c r="I89" s="661"/>
      <c r="J89" s="581"/>
      <c r="K89" s="1510"/>
      <c r="L89" s="224"/>
      <c r="M89" s="2180"/>
      <c r="N89" s="344"/>
      <c r="O89" s="1634"/>
      <c r="P89" s="1634"/>
      <c r="AH89" s="1641">
        <v>0</v>
      </c>
    </row>
    <row s="1645" customFormat="1" customHeight="1" ht="45" hidden="1">
      <c r="A90" s="1790" t="s">
        <v>184</v>
      </c>
      <c r="B90" s="1790" t="s">
        <v>185</v>
      </c>
      <c r="C90" s="379"/>
      <c r="D90" s="2472"/>
      <c r="E90" s="2214"/>
      <c r="F90" s="2393" t="str">
        <f>INDEX(PT_DIFFERENTIATION_VTAR,MATCH(A90,PT_DIFFERENTIATION_VTAR_ID,0))</f>
        <v/>
      </c>
      <c r="G90" s="2437" t="str">
        <f>INDEX(PT_DIFFERENTIATION_NTAR,MATCH(B90,PT_DIFFERENTIATION_NTAR_ID,0))</f>
        <v/>
      </c>
      <c r="H90" s="1872"/>
      <c r="I90" s="1749"/>
      <c r="J90" s="1783"/>
      <c r="K90" s="1788"/>
      <c r="L90" s="1872" t="s">
        <v>328</v>
      </c>
      <c r="M90" s="2181"/>
      <c r="N90" s="344"/>
      <c r="O90" s="1634"/>
      <c r="P90" s="1634"/>
      <c r="AH90" s="1641">
        <v>0</v>
      </c>
    </row>
    <row s="1645" customFormat="1" customHeight="1" ht="18.75" hidden="1">
      <c r="A91" s="1790"/>
      <c r="B91" s="1790"/>
      <c r="C91" s="379" t="s">
        <v>1429</v>
      </c>
      <c r="D91" s="2472"/>
      <c r="E91" s="2214"/>
      <c r="F91" s="2393"/>
      <c r="G91" s="2437"/>
      <c r="H91" s="1510"/>
      <c r="I91" s="661" t="s">
        <v>1428</v>
      </c>
      <c r="J91" s="581"/>
      <c r="K91" s="1510"/>
      <c r="L91" s="224"/>
      <c r="M91" s="1871"/>
      <c r="N91" s="344"/>
      <c r="O91" s="1634"/>
      <c r="P91" s="1634"/>
      <c r="AH91" s="1641">
        <v>0</v>
      </c>
    </row>
    <row s="1645" customFormat="1" customHeight="1" ht="0.75" hidden="1">
      <c r="A92" s="1790"/>
      <c r="B92" s="1790"/>
      <c r="C92" s="379" t="s">
        <v>1436</v>
      </c>
      <c r="D92" s="2472"/>
      <c r="E92" s="2214"/>
      <c r="F92" s="2393"/>
      <c r="G92" s="410"/>
      <c r="H92" s="1510"/>
      <c r="I92" s="661"/>
      <c r="J92" s="581"/>
      <c r="K92" s="1510"/>
      <c r="L92" s="224"/>
      <c r="M92" s="351"/>
      <c r="N92" s="344"/>
      <c r="O92" s="1634"/>
      <c r="P92" s="1634"/>
      <c r="AH92" s="1641">
        <v>0</v>
      </c>
    </row>
    <row s="1645" customFormat="1" customHeight="1" ht="45" hidden="1">
      <c r="A93" s="1790" t="s">
        <v>191</v>
      </c>
      <c r="B93" s="1790" t="s">
        <v>192</v>
      </c>
      <c r="C93" s="379"/>
      <c r="D93" s="2472"/>
      <c r="E93" s="2214"/>
      <c r="F93" s="239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7" t="str">
        <f>INDEX(PT_DIFFERENTIATION_NTAR,MATCH(B93,PT_DIFFERENTIATION_NTAR_ID,0))</f>
        <v/>
      </c>
      <c r="H93" s="1872"/>
      <c r="I93" s="1749"/>
      <c r="J93" s="1783"/>
      <c r="K93" s="1788"/>
      <c r="L93" s="1872" t="s">
        <v>328</v>
      </c>
      <c r="M93" s="351"/>
      <c r="N93" s="344"/>
      <c r="O93" s="1634"/>
      <c r="P93" s="1634"/>
      <c r="AH93" s="1641">
        <v>0</v>
      </c>
    </row>
    <row s="1645" customFormat="1" customHeight="1" ht="18.75" hidden="1">
      <c r="A94" s="1790"/>
      <c r="B94" s="1790"/>
      <c r="C94" s="379" t="s">
        <v>1429</v>
      </c>
      <c r="D94" s="2472"/>
      <c r="E94" s="2214"/>
      <c r="F94" s="2393"/>
      <c r="G94" s="2437"/>
      <c r="H94" s="1510"/>
      <c r="I94" s="661" t="s">
        <v>1428</v>
      </c>
      <c r="J94" s="581"/>
      <c r="K94" s="1510"/>
      <c r="L94" s="224"/>
      <c r="M94" s="351"/>
      <c r="N94" s="344"/>
      <c r="O94" s="1634"/>
      <c r="P94" s="1634"/>
      <c r="AH94" s="1641">
        <v>0</v>
      </c>
    </row>
    <row s="1645" customFormat="1" customHeight="1" ht="0.75" hidden="1">
      <c r="A95" s="1790"/>
      <c r="B95" s="1790"/>
      <c r="C95" s="379" t="s">
        <v>1436</v>
      </c>
      <c r="D95" s="2472"/>
      <c r="E95" s="2214"/>
      <c r="F95" s="2393"/>
      <c r="G95" s="410"/>
      <c r="H95" s="1510"/>
      <c r="I95" s="661"/>
      <c r="J95" s="581"/>
      <c r="K95" s="1510"/>
      <c r="L95" s="224"/>
      <c r="M95" s="351"/>
      <c r="N95" s="344"/>
      <c r="O95" s="1634"/>
      <c r="P95" s="1634"/>
      <c r="AH95" s="1641">
        <v>0</v>
      </c>
    </row>
    <row s="1645" customFormat="1" customHeight="1" ht="45" hidden="1">
      <c r="A96" s="1790" t="s">
        <v>197</v>
      </c>
      <c r="B96" s="1790" t="s">
        <v>198</v>
      </c>
      <c r="C96" s="379"/>
      <c r="D96" s="2472"/>
      <c r="E96" s="2214"/>
      <c r="F96" s="239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7" t="str">
        <f>INDEX(PT_DIFFERENTIATION_NTAR,MATCH(B96,PT_DIFFERENTIATION_NTAR_ID,0))</f>
        <v/>
      </c>
      <c r="H96" s="1872"/>
      <c r="I96" s="1749"/>
      <c r="J96" s="1783"/>
      <c r="K96" s="1788"/>
      <c r="L96" s="1872" t="s">
        <v>328</v>
      </c>
      <c r="M96" s="351"/>
      <c r="N96" s="344"/>
      <c r="O96" s="1634"/>
      <c r="P96" s="1634"/>
      <c r="AH96" s="1641">
        <v>0</v>
      </c>
    </row>
    <row s="1645" customFormat="1" customHeight="1" ht="18.75" hidden="1">
      <c r="A97" s="1790"/>
      <c r="B97" s="1790"/>
      <c r="C97" s="379" t="s">
        <v>1429</v>
      </c>
      <c r="D97" s="2472"/>
      <c r="E97" s="2214"/>
      <c r="F97" s="2393"/>
      <c r="G97" s="2437"/>
      <c r="H97" s="1510"/>
      <c r="I97" s="661" t="s">
        <v>1428</v>
      </c>
      <c r="J97" s="581"/>
      <c r="K97" s="1510"/>
      <c r="L97" s="224"/>
      <c r="M97" s="351"/>
      <c r="N97" s="344"/>
      <c r="O97" s="1634"/>
      <c r="P97" s="1634"/>
      <c r="AH97" s="1641">
        <v>0</v>
      </c>
    </row>
    <row s="1645" customFormat="1" customHeight="1" ht="0.75" hidden="1">
      <c r="A98" s="1790"/>
      <c r="B98" s="1790"/>
      <c r="C98" s="379" t="s">
        <v>1436</v>
      </c>
      <c r="D98" s="2472"/>
      <c r="E98" s="2214"/>
      <c r="F98" s="2393"/>
      <c r="G98" s="410"/>
      <c r="H98" s="1510"/>
      <c r="I98" s="661"/>
      <c r="J98" s="581"/>
      <c r="K98" s="1510"/>
      <c r="L98" s="224"/>
      <c r="M98" s="351"/>
      <c r="N98" s="344"/>
      <c r="O98" s="1634"/>
      <c r="P98" s="1634"/>
      <c r="AH98" s="1641">
        <v>0</v>
      </c>
    </row>
    <row s="1645" customFormat="1" customHeight="1" ht="18.75" hidden="1">
      <c r="A99" s="1790" t="s">
        <v>203</v>
      </c>
      <c r="B99" s="1790" t="s">
        <v>204</v>
      </c>
      <c r="C99" s="379"/>
      <c r="D99" s="2472"/>
      <c r="E99" s="2214"/>
      <c r="F99" s="2393" t="str">
        <f>INDEX(PT_DIFFERENTIATION_VTAR,MATCH(A99,PT_DIFFERENTIATION_VTAR_ID,0))</f>
        <v>Тарифы на услуги по передаче тепловой энергии</v>
      </c>
      <c r="G99" s="2437" t="str">
        <f>INDEX(PT_DIFFERENTIATION_NTAR,MATCH(B99,PT_DIFFERENTIATION_NTAR_ID,0))</f>
        <v/>
      </c>
      <c r="H99" s="1872"/>
      <c r="I99" s="1749"/>
      <c r="J99" s="1783"/>
      <c r="K99" s="1788"/>
      <c r="L99" s="1872" t="s">
        <v>328</v>
      </c>
      <c r="M99" s="351"/>
      <c r="N99" s="344"/>
      <c r="O99" s="1634"/>
      <c r="P99" s="1634"/>
      <c r="AH99" s="1641">
        <v>0</v>
      </c>
    </row>
    <row s="1645" customFormat="1" customHeight="1" ht="18.75" hidden="1">
      <c r="A100" s="1790"/>
      <c r="B100" s="1790"/>
      <c r="C100" s="379" t="s">
        <v>1429</v>
      </c>
      <c r="D100" s="2472"/>
      <c r="E100" s="2214"/>
      <c r="F100" s="2393"/>
      <c r="G100" s="2437"/>
      <c r="H100" s="1510"/>
      <c r="I100" s="661" t="s">
        <v>1428</v>
      </c>
      <c r="J100" s="581"/>
      <c r="K100" s="1510"/>
      <c r="L100" s="224"/>
      <c r="M100" s="351"/>
      <c r="N100" s="344"/>
      <c r="O100" s="1634"/>
      <c r="P100" s="1634"/>
      <c r="AH100" s="1641">
        <v>0</v>
      </c>
    </row>
    <row s="1645" customFormat="1" customHeight="1" ht="0.75" hidden="1">
      <c r="A101" s="1790"/>
      <c r="B101" s="1790"/>
      <c r="C101" s="379" t="s">
        <v>1436</v>
      </c>
      <c r="D101" s="2472"/>
      <c r="E101" s="2214"/>
      <c r="F101" s="2393"/>
      <c r="G101" s="410"/>
      <c r="H101" s="1510"/>
      <c r="I101" s="661"/>
      <c r="J101" s="581"/>
      <c r="K101" s="1510"/>
      <c r="L101" s="224"/>
      <c r="M101" s="351"/>
      <c r="N101" s="344"/>
      <c r="O101" s="1634"/>
      <c r="P101" s="1634"/>
      <c r="AH101" s="1641">
        <v>0</v>
      </c>
    </row>
    <row s="1645" customFormat="1" customHeight="1" ht="18.75" hidden="1">
      <c r="A102" s="1790" t="s">
        <v>209</v>
      </c>
      <c r="B102" s="1790" t="s">
        <v>210</v>
      </c>
      <c r="C102" s="379"/>
      <c r="D102" s="2472"/>
      <c r="E102" s="2214"/>
      <c r="F102" s="2393" t="str">
        <f>INDEX(PT_DIFFERENTIATION_VTAR,MATCH(A102,PT_DIFFERENTIATION_VTAR_ID,0))</f>
        <v>Тарифы на услуги по передаче теплоносителя</v>
      </c>
      <c r="G102" s="2437" t="str">
        <f>INDEX(PT_DIFFERENTIATION_NTAR,MATCH(B102,PT_DIFFERENTIATION_NTAR_ID,0))</f>
        <v/>
      </c>
      <c r="H102" s="1872"/>
      <c r="I102" s="1749"/>
      <c r="J102" s="1783"/>
      <c r="K102" s="1788"/>
      <c r="L102" s="1872" t="s">
        <v>328</v>
      </c>
      <c r="M102" s="351"/>
      <c r="N102" s="344"/>
      <c r="O102" s="1634"/>
      <c r="P102" s="1634"/>
      <c r="AH102" s="1641">
        <v>0</v>
      </c>
    </row>
    <row s="1645" customFormat="1" customHeight="1" ht="18.75" hidden="1">
      <c r="A103" s="1790"/>
      <c r="B103" s="1790"/>
      <c r="C103" s="379" t="s">
        <v>1429</v>
      </c>
      <c r="D103" s="2472"/>
      <c r="E103" s="2214"/>
      <c r="F103" s="2393"/>
      <c r="G103" s="2437"/>
      <c r="H103" s="1510"/>
      <c r="I103" s="661" t="s">
        <v>1428</v>
      </c>
      <c r="J103" s="581"/>
      <c r="K103" s="1510"/>
      <c r="L103" s="224"/>
      <c r="M103" s="351"/>
      <c r="N103" s="344"/>
      <c r="O103" s="1634"/>
      <c r="P103" s="1634"/>
      <c r="AH103" s="1641">
        <v>0</v>
      </c>
    </row>
    <row s="1645" customFormat="1" customHeight="1" ht="0.75" hidden="1">
      <c r="A104" s="1790"/>
      <c r="B104" s="1790"/>
      <c r="C104" s="379" t="s">
        <v>1436</v>
      </c>
      <c r="D104" s="2472"/>
      <c r="E104" s="2214"/>
      <c r="F104" s="2393"/>
      <c r="G104" s="410"/>
      <c r="H104" s="1510"/>
      <c r="I104" s="661"/>
      <c r="J104" s="581"/>
      <c r="K104" s="1510"/>
      <c r="L104" s="224"/>
      <c r="M104" s="351"/>
      <c r="N104" s="344"/>
      <c r="O104" s="1634"/>
      <c r="P104" s="1634"/>
      <c r="AH104" s="1641">
        <v>0</v>
      </c>
    </row>
    <row s="1645" customFormat="1" customHeight="1" ht="18.75" hidden="1">
      <c r="A105" s="1790" t="s">
        <v>215</v>
      </c>
      <c r="B105" s="1790" t="s">
        <v>216</v>
      </c>
      <c r="C105" s="379"/>
      <c r="D105" s="2472"/>
      <c r="E105" s="2214"/>
      <c r="F105" s="239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7" t="str">
        <f>INDEX(PT_DIFFERENTIATION_NTAR,MATCH(B105,PT_DIFFERENTIATION_NTAR_ID,0))</f>
        <v/>
      </c>
      <c r="H105" s="1872"/>
      <c r="I105" s="1749"/>
      <c r="J105" s="1783"/>
      <c r="K105" s="1788"/>
      <c r="L105" s="1872" t="s">
        <v>328</v>
      </c>
      <c r="M105" s="351"/>
      <c r="N105" s="344"/>
      <c r="O105" s="1634"/>
      <c r="P105" s="1634"/>
      <c r="AH105" s="1641">
        <v>0</v>
      </c>
    </row>
    <row s="1645" customFormat="1" customHeight="1" ht="18.75" hidden="1">
      <c r="A106" s="1790"/>
      <c r="B106" s="1790"/>
      <c r="C106" s="379" t="s">
        <v>1429</v>
      </c>
      <c r="D106" s="2472"/>
      <c r="E106" s="2214"/>
      <c r="F106" s="2393"/>
      <c r="G106" s="2437"/>
      <c r="H106" s="1510"/>
      <c r="I106" s="661" t="s">
        <v>1428</v>
      </c>
      <c r="J106" s="581"/>
      <c r="K106" s="1510"/>
      <c r="L106" s="224"/>
      <c r="M106" s="351"/>
      <c r="N106" s="344"/>
      <c r="O106" s="1634"/>
      <c r="P106" s="1634"/>
      <c r="AH106" s="1641">
        <v>0</v>
      </c>
    </row>
    <row s="1645" customFormat="1" customHeight="1" ht="0.75" hidden="1">
      <c r="A107" s="1790"/>
      <c r="B107" s="1790"/>
      <c r="C107" s="379" t="s">
        <v>1436</v>
      </c>
      <c r="D107" s="2472"/>
      <c r="E107" s="2214"/>
      <c r="F107" s="2393"/>
      <c r="G107" s="410"/>
      <c r="H107" s="1510"/>
      <c r="I107" s="661"/>
      <c r="J107" s="581"/>
      <c r="K107" s="1510"/>
      <c r="L107" s="224"/>
      <c r="M107" s="351"/>
      <c r="N107" s="344"/>
      <c r="O107" s="1634"/>
      <c r="P107" s="1634"/>
      <c r="AH107" s="1641">
        <v>0</v>
      </c>
    </row>
    <row s="1645" customFormat="1" customHeight="1" ht="18.75" hidden="1">
      <c r="A108" s="1790" t="s">
        <v>221</v>
      </c>
      <c r="B108" s="1790" t="s">
        <v>222</v>
      </c>
      <c r="C108" s="379"/>
      <c r="D108" s="2472"/>
      <c r="E108" s="2214"/>
      <c r="F108" s="2393" t="str">
        <f>INDEX(PT_DIFFERENTIATION_VTAR,MATCH(A108,PT_DIFFERENTIATION_VTAR_ID,0))</f>
        <v>Плата за подключение (технологическое присоединение) к системе теплоснабжения</v>
      </c>
      <c r="G108" s="2437" t="str">
        <f>INDEX(PT_DIFFERENTIATION_NTAR,MATCH(B108,PT_DIFFERENTIATION_NTAR_ID,0))</f>
        <v/>
      </c>
      <c r="H108" s="1872"/>
      <c r="I108" s="1749"/>
      <c r="J108" s="1783"/>
      <c r="K108" s="1788"/>
      <c r="L108" s="1872" t="s">
        <v>328</v>
      </c>
      <c r="M108" s="351"/>
      <c r="N108" s="344"/>
      <c r="O108" s="1634"/>
      <c r="P108" s="1634"/>
      <c r="AH108" s="1641">
        <v>0</v>
      </c>
    </row>
    <row s="1645" customFormat="1" customHeight="1" ht="18.75" hidden="1">
      <c r="A109" s="1790"/>
      <c r="B109" s="1790"/>
      <c r="C109" s="379" t="s">
        <v>1429</v>
      </c>
      <c r="D109" s="2472"/>
      <c r="E109" s="2214"/>
      <c r="F109" s="2393"/>
      <c r="G109" s="2437"/>
      <c r="H109" s="1510"/>
      <c r="I109" s="661" t="s">
        <v>1428</v>
      </c>
      <c r="J109" s="581"/>
      <c r="K109" s="1510"/>
      <c r="L109" s="224"/>
      <c r="M109" s="351"/>
      <c r="N109" s="344"/>
      <c r="O109" s="1634"/>
      <c r="P109" s="1634"/>
      <c r="AH109" s="1641">
        <v>0</v>
      </c>
    </row>
    <row s="1645" customFormat="1" customHeight="1" ht="0.75" hidden="1">
      <c r="A110" s="1790"/>
      <c r="B110" s="1790"/>
      <c r="C110" s="379" t="s">
        <v>1436</v>
      </c>
      <c r="D110" s="2472"/>
      <c r="E110" s="2214"/>
      <c r="F110" s="2393"/>
      <c r="G110" s="410"/>
      <c r="H110" s="1510"/>
      <c r="I110" s="661"/>
      <c r="J110" s="581"/>
      <c r="K110" s="1510"/>
      <c r="L110" s="224"/>
      <c r="M110" s="351"/>
      <c r="N110" s="344"/>
      <c r="O110" s="1634"/>
      <c r="P110" s="1634"/>
      <c r="AH110" s="1641">
        <v>0</v>
      </c>
    </row>
    <row s="1645" customFormat="1" customHeight="1" ht="18.75" hidden="1">
      <c r="A111" s="1790" t="s">
        <v>227</v>
      </c>
      <c r="B111" s="1790" t="s">
        <v>228</v>
      </c>
      <c r="C111" s="379"/>
      <c r="D111" s="2472"/>
      <c r="E111" s="2214"/>
      <c r="F111" s="2393" t="str">
        <f>INDEX(PT_DIFFERENTIATION_VTAR,MATCH(A111,PT_DIFFERENTIATION_VTAR_ID,0))</f>
        <v>Плата за подключение (технологическое присоединение) к системе теплоснабжения (индивидуальная)</v>
      </c>
      <c r="G111" s="2437" t="str">
        <f>INDEX(PT_DIFFERENTIATION_NTAR,MATCH(B111,PT_DIFFERENTIATION_NTAR_ID,0))</f>
        <v/>
      </c>
      <c r="H111" s="1999"/>
      <c r="I111" s="1749"/>
      <c r="J111" s="1783"/>
      <c r="K111" s="1788"/>
      <c r="L111" s="1999" t="s">
        <v>328</v>
      </c>
      <c r="M111" s="351"/>
      <c r="N111" s="344"/>
      <c r="O111" s="1634"/>
      <c r="P111" s="1634"/>
      <c r="AH111" s="1641">
        <v>0</v>
      </c>
    </row>
    <row s="1645" customFormat="1" customHeight="1" ht="18.75" hidden="1">
      <c r="A112" s="1790"/>
      <c r="B112" s="1790"/>
      <c r="C112" s="379" t="s">
        <v>1429</v>
      </c>
      <c r="D112" s="2472"/>
      <c r="E112" s="2214"/>
      <c r="F112" s="2393"/>
      <c r="G112" s="2437"/>
      <c r="H112" s="1510"/>
      <c r="I112" s="661" t="s">
        <v>1428</v>
      </c>
      <c r="J112" s="581"/>
      <c r="K112" s="1510"/>
      <c r="L112" s="224"/>
      <c r="M112" s="351"/>
      <c r="N112" s="344"/>
      <c r="O112" s="1634"/>
      <c r="P112" s="1634"/>
      <c r="AH112" s="1641">
        <v>0</v>
      </c>
    </row>
    <row s="1645" customFormat="1" customHeight="1" ht="0.75" hidden="1">
      <c r="A113" s="1790"/>
      <c r="B113" s="1790"/>
      <c r="C113" s="379" t="s">
        <v>1436</v>
      </c>
      <c r="D113" s="2472"/>
      <c r="E113" s="2214"/>
      <c r="F113" s="2393"/>
      <c r="G113" s="410"/>
      <c r="H113" s="1510"/>
      <c r="I113" s="661"/>
      <c r="J113" s="581"/>
      <c r="K113" s="1510"/>
      <c r="L113" s="224"/>
      <c r="M113" s="351"/>
      <c r="N113" s="344"/>
      <c r="O113" s="1634"/>
      <c r="P113" s="1634"/>
      <c r="AH113" s="1641">
        <v>0</v>
      </c>
    </row>
    <row s="1645" customFormat="1" customHeight="1" ht="18.75" hidden="1">
      <c r="A114" s="1790" t="s">
        <v>247</v>
      </c>
      <c r="B114" s="1790" t="s">
        <v>248</v>
      </c>
      <c r="C114" s="379"/>
      <c r="D114" s="2472"/>
      <c r="E114" s="2214"/>
      <c r="F114" s="2393" t="str">
        <f>INDEX(PT_DIFFERENTIATION_VTAR,MATCH(A114,PT_DIFFERENTIATION_VTAR_ID,0))</f>
        <v>Тариф на питьевую воду (питьевое водоснабжение)</v>
      </c>
      <c r="G114" s="2437" t="str">
        <f>INDEX(PT_DIFFERENTIATION_NTAR,MATCH(B114,PT_DIFFERENTIATION_NTAR_ID,0))</f>
        <v/>
      </c>
      <c r="H114" s="1872"/>
      <c r="I114" s="1749"/>
      <c r="J114" s="1783"/>
      <c r="K114" s="1788"/>
      <c r="L114" s="1872" t="s">
        <v>328</v>
      </c>
      <c r="M114" s="351"/>
      <c r="N114" s="344"/>
      <c r="O114" s="1634"/>
      <c r="P114" s="1634"/>
      <c r="AH114" s="1641">
        <v>0</v>
      </c>
    </row>
    <row s="1645" customFormat="1" customHeight="1" ht="18.75" hidden="1">
      <c r="A115" s="1790"/>
      <c r="B115" s="1790"/>
      <c r="C115" s="379" t="s">
        <v>1429</v>
      </c>
      <c r="D115" s="2472"/>
      <c r="E115" s="2214"/>
      <c r="F115" s="2393"/>
      <c r="G115" s="2437"/>
      <c r="H115" s="1510"/>
      <c r="I115" s="661" t="s">
        <v>1428</v>
      </c>
      <c r="J115" s="581"/>
      <c r="K115" s="1510"/>
      <c r="L115" s="224"/>
      <c r="M115" s="351"/>
      <c r="N115" s="344"/>
      <c r="O115" s="1634"/>
      <c r="P115" s="1634"/>
      <c r="AH115" s="1641">
        <v>0</v>
      </c>
    </row>
    <row s="1645" customFormat="1" customHeight="1" ht="0.75" hidden="1">
      <c r="A116" s="1790"/>
      <c r="B116" s="1790"/>
      <c r="C116" s="379" t="s">
        <v>1436</v>
      </c>
      <c r="D116" s="2472"/>
      <c r="E116" s="2214"/>
      <c r="F116" s="2393"/>
      <c r="G116" s="410"/>
      <c r="H116" s="1510"/>
      <c r="I116" s="661"/>
      <c r="J116" s="581"/>
      <c r="K116" s="1510"/>
      <c r="L116" s="224"/>
      <c r="M116" s="351"/>
      <c r="N116" s="344"/>
      <c r="O116" s="1634"/>
      <c r="P116" s="1634"/>
      <c r="AH116" s="1641">
        <v>0</v>
      </c>
    </row>
    <row s="1645" customFormat="1" customHeight="1" ht="18.75" hidden="1">
      <c r="A117" s="1790" t="s">
        <v>252</v>
      </c>
      <c r="B117" s="1790" t="s">
        <v>253</v>
      </c>
      <c r="C117" s="379"/>
      <c r="D117" s="2472"/>
      <c r="E117" s="2214"/>
      <c r="F117" s="2393" t="str">
        <f>INDEX(PT_DIFFERENTIATION_VTAR,MATCH(A117,PT_DIFFERENTIATION_VTAR_ID,0))</f>
        <v>Тариф на техническую воду</v>
      </c>
      <c r="G117" s="2437" t="str">
        <f>INDEX(PT_DIFFERENTIATION_NTAR,MATCH(B117,PT_DIFFERENTIATION_NTAR_ID,0))</f>
        <v/>
      </c>
      <c r="H117" s="1872"/>
      <c r="I117" s="1749"/>
      <c r="J117" s="1783"/>
      <c r="K117" s="1788"/>
      <c r="L117" s="1872" t="s">
        <v>328</v>
      </c>
      <c r="M117" s="351"/>
      <c r="N117" s="344"/>
      <c r="O117" s="1634"/>
      <c r="P117" s="1634"/>
      <c r="AH117" s="1641">
        <v>0</v>
      </c>
    </row>
    <row s="1645" customFormat="1" customHeight="1" ht="18.75" hidden="1">
      <c r="A118" s="1790"/>
      <c r="B118" s="1790"/>
      <c r="C118" s="379" t="s">
        <v>1429</v>
      </c>
      <c r="D118" s="2472"/>
      <c r="E118" s="2214"/>
      <c r="F118" s="2393"/>
      <c r="G118" s="2437"/>
      <c r="H118" s="1510"/>
      <c r="I118" s="661" t="s">
        <v>1428</v>
      </c>
      <c r="J118" s="581"/>
      <c r="K118" s="1510"/>
      <c r="L118" s="224"/>
      <c r="M118" s="351"/>
      <c r="N118" s="344"/>
      <c r="O118" s="1634"/>
      <c r="P118" s="1634"/>
      <c r="AH118" s="1641">
        <v>0</v>
      </c>
    </row>
    <row s="1645" customFormat="1" customHeight="1" ht="0.75" hidden="1">
      <c r="A119" s="1790"/>
      <c r="B119" s="1790"/>
      <c r="C119" s="379" t="s">
        <v>1436</v>
      </c>
      <c r="D119" s="2472"/>
      <c r="E119" s="2214"/>
      <c r="F119" s="2393"/>
      <c r="G119" s="410"/>
      <c r="H119" s="1510"/>
      <c r="I119" s="661"/>
      <c r="J119" s="581"/>
      <c r="K119" s="1510"/>
      <c r="L119" s="224"/>
      <c r="M119" s="351"/>
      <c r="N119" s="344"/>
      <c r="O119" s="1634"/>
      <c r="P119" s="1634"/>
      <c r="AH119" s="1641">
        <v>0</v>
      </c>
    </row>
    <row s="1645" customFormat="1" customHeight="1" ht="18.75" hidden="1">
      <c r="A120" s="1790" t="s">
        <v>257</v>
      </c>
      <c r="B120" s="1790" t="s">
        <v>258</v>
      </c>
      <c r="C120" s="379"/>
      <c r="D120" s="2472"/>
      <c r="E120" s="2214"/>
      <c r="F120" s="2393" t="str">
        <f>INDEX(PT_DIFFERENTIATION_VTAR,MATCH(A120,PT_DIFFERENTIATION_VTAR_ID,0))</f>
        <v>Тариф на транспортировку воды</v>
      </c>
      <c r="G120" s="2437" t="str">
        <f>INDEX(PT_DIFFERENTIATION_NTAR,MATCH(B120,PT_DIFFERENTIATION_NTAR_ID,0))</f>
        <v/>
      </c>
      <c r="H120" s="1872"/>
      <c r="I120" s="1749"/>
      <c r="J120" s="1783"/>
      <c r="K120" s="1788"/>
      <c r="L120" s="1872" t="s">
        <v>328</v>
      </c>
      <c r="M120" s="351"/>
      <c r="N120" s="344"/>
      <c r="O120" s="1634"/>
      <c r="P120" s="1634"/>
      <c r="AH120" s="1641">
        <v>0</v>
      </c>
    </row>
    <row s="1645" customFormat="1" customHeight="1" ht="18.75" hidden="1">
      <c r="A121" s="1790"/>
      <c r="B121" s="1790"/>
      <c r="C121" s="379" t="s">
        <v>1429</v>
      </c>
      <c r="D121" s="2472"/>
      <c r="E121" s="2214"/>
      <c r="F121" s="2393"/>
      <c r="G121" s="2437"/>
      <c r="H121" s="1510"/>
      <c r="I121" s="661" t="s">
        <v>1428</v>
      </c>
      <c r="J121" s="581"/>
      <c r="K121" s="1510"/>
      <c r="L121" s="224"/>
      <c r="M121" s="351"/>
      <c r="N121" s="344"/>
      <c r="O121" s="1634"/>
      <c r="P121" s="1634"/>
      <c r="AH121" s="1641">
        <v>0</v>
      </c>
    </row>
    <row s="1645" customFormat="1" customHeight="1" ht="0.75" hidden="1">
      <c r="A122" s="1790"/>
      <c r="B122" s="1790"/>
      <c r="C122" s="379" t="s">
        <v>1436</v>
      </c>
      <c r="D122" s="2472"/>
      <c r="E122" s="2214"/>
      <c r="F122" s="2393"/>
      <c r="G122" s="410"/>
      <c r="H122" s="1510"/>
      <c r="I122" s="661"/>
      <c r="J122" s="581"/>
      <c r="K122" s="1510"/>
      <c r="L122" s="224"/>
      <c r="M122" s="351"/>
      <c r="N122" s="344"/>
      <c r="O122" s="1634"/>
      <c r="P122" s="1634"/>
      <c r="AH122" s="1641">
        <v>0</v>
      </c>
    </row>
    <row s="1645" customFormat="1" customHeight="1" ht="18.75" hidden="1">
      <c r="A123" s="1790" t="s">
        <v>262</v>
      </c>
      <c r="B123" s="1790" t="s">
        <v>263</v>
      </c>
      <c r="C123" s="379"/>
      <c r="D123" s="2472"/>
      <c r="E123" s="2214"/>
      <c r="F123" s="2393" t="str">
        <f>INDEX(PT_DIFFERENTIATION_VTAR,MATCH(A123,PT_DIFFERENTIATION_VTAR_ID,0))</f>
        <v>Тариф на подвоз воды</v>
      </c>
      <c r="G123" s="2437" t="str">
        <f>INDEX(PT_DIFFERENTIATION_NTAR,MATCH(B123,PT_DIFFERENTIATION_NTAR_ID,0))</f>
        <v/>
      </c>
      <c r="H123" s="1872"/>
      <c r="I123" s="1749"/>
      <c r="J123" s="1783"/>
      <c r="K123" s="1788"/>
      <c r="L123" s="1872" t="s">
        <v>328</v>
      </c>
      <c r="M123" s="351"/>
      <c r="N123" s="344"/>
      <c r="O123" s="1634"/>
      <c r="P123" s="1634"/>
      <c r="AH123" s="1641">
        <v>0</v>
      </c>
    </row>
    <row s="1645" customFormat="1" customHeight="1" ht="18.75" hidden="1">
      <c r="A124" s="1790"/>
      <c r="B124" s="1790"/>
      <c r="C124" s="379" t="s">
        <v>1429</v>
      </c>
      <c r="D124" s="2472"/>
      <c r="E124" s="2214"/>
      <c r="F124" s="2393"/>
      <c r="G124" s="2437"/>
      <c r="H124" s="1510"/>
      <c r="I124" s="661" t="s">
        <v>1428</v>
      </c>
      <c r="J124" s="581"/>
      <c r="K124" s="1510"/>
      <c r="L124" s="224"/>
      <c r="M124" s="351"/>
      <c r="N124" s="344"/>
      <c r="O124" s="1634"/>
      <c r="P124" s="1634"/>
      <c r="AH124" s="1641">
        <v>0</v>
      </c>
    </row>
    <row s="1645" customFormat="1" customHeight="1" ht="0.75" hidden="1">
      <c r="A125" s="1790"/>
      <c r="B125" s="1790"/>
      <c r="C125" s="379" t="s">
        <v>1436</v>
      </c>
      <c r="D125" s="2472"/>
      <c r="E125" s="2214"/>
      <c r="F125" s="2393"/>
      <c r="G125" s="410"/>
      <c r="H125" s="1510"/>
      <c r="I125" s="661"/>
      <c r="J125" s="581"/>
      <c r="K125" s="1510"/>
      <c r="L125" s="224"/>
      <c r="M125" s="351"/>
      <c r="N125" s="344"/>
      <c r="O125" s="1634"/>
      <c r="P125" s="1634"/>
      <c r="AH125" s="1641">
        <v>0</v>
      </c>
    </row>
    <row s="1645" customFormat="1" customHeight="1" ht="18.75" hidden="1">
      <c r="A126" s="1790" t="s">
        <v>267</v>
      </c>
      <c r="B126" s="1790" t="s">
        <v>268</v>
      </c>
      <c r="C126" s="379"/>
      <c r="D126" s="2472"/>
      <c r="E126" s="2214"/>
      <c r="F126" s="239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7" t="str">
        <f>INDEX(PT_DIFFERENTIATION_NTAR,MATCH(B126,PT_DIFFERENTIATION_NTAR_ID,0))</f>
        <v/>
      </c>
      <c r="H126" s="1872"/>
      <c r="I126" s="1749"/>
      <c r="J126" s="1783"/>
      <c r="K126" s="1788"/>
      <c r="L126" s="1872" t="s">
        <v>328</v>
      </c>
      <c r="M126" s="351"/>
      <c r="N126" s="344"/>
      <c r="O126" s="1634"/>
      <c r="P126" s="1634"/>
      <c r="AH126" s="1641">
        <v>0</v>
      </c>
    </row>
    <row s="1645" customFormat="1" customHeight="1" ht="18.75" hidden="1">
      <c r="A127" s="1790"/>
      <c r="B127" s="1790"/>
      <c r="C127" s="379" t="s">
        <v>1429</v>
      </c>
      <c r="D127" s="2472"/>
      <c r="E127" s="2214"/>
      <c r="F127" s="2393"/>
      <c r="G127" s="2437"/>
      <c r="H127" s="1510"/>
      <c r="I127" s="661" t="s">
        <v>1428</v>
      </c>
      <c r="J127" s="581"/>
      <c r="K127" s="1510"/>
      <c r="L127" s="224"/>
      <c r="M127" s="351"/>
      <c r="N127" s="344"/>
      <c r="O127" s="1634"/>
      <c r="P127" s="1634"/>
      <c r="AH127" s="1641">
        <v>0</v>
      </c>
    </row>
    <row s="1645" customFormat="1" customHeight="1" ht="0.75" hidden="1">
      <c r="A128" s="1790"/>
      <c r="B128" s="1790"/>
      <c r="C128" s="379" t="s">
        <v>1436</v>
      </c>
      <c r="D128" s="2472"/>
      <c r="E128" s="2214"/>
      <c r="F128" s="2393"/>
      <c r="G128" s="410"/>
      <c r="H128" s="1510"/>
      <c r="I128" s="661"/>
      <c r="J128" s="581"/>
      <c r="K128" s="1510"/>
      <c r="L128" s="224"/>
      <c r="M128" s="351"/>
      <c r="N128" s="344"/>
      <c r="O128" s="1634"/>
      <c r="P128" s="1634"/>
      <c r="AH128" s="1641">
        <v>0</v>
      </c>
    </row>
    <row s="1645" customFormat="1" customHeight="1" ht="18.75" hidden="1">
      <c r="A129" s="1790" t="s">
        <v>272</v>
      </c>
      <c r="B129" s="1790" t="s">
        <v>273</v>
      </c>
      <c r="C129" s="379"/>
      <c r="D129" s="2472"/>
      <c r="E129" s="2214"/>
      <c r="F129" s="2393" t="str">
        <f>INDEX(PT_DIFFERENTIATION_VTAR,MATCH(A129,PT_DIFFERENTIATION_VTAR_ID,0))</f>
        <v>Тариф на горячую воду (горячее водоснабжение)</v>
      </c>
      <c r="G129" s="2437" t="str">
        <f>INDEX(PT_DIFFERENTIATION_NTAR,MATCH(B129,PT_DIFFERENTIATION_NTAR_ID,0))</f>
        <v/>
      </c>
      <c r="H129" s="1872"/>
      <c r="I129" s="1749"/>
      <c r="J129" s="1783"/>
      <c r="K129" s="1788"/>
      <c r="L129" s="1872" t="s">
        <v>328</v>
      </c>
      <c r="M129" s="351"/>
      <c r="N129" s="344"/>
      <c r="O129" s="1634"/>
      <c r="P129" s="1634"/>
      <c r="AH129" s="1641">
        <v>0</v>
      </c>
    </row>
    <row s="1645" customFormat="1" customHeight="1" ht="18.75" hidden="1">
      <c r="A130" s="1790"/>
      <c r="B130" s="1790"/>
      <c r="C130" s="379" t="s">
        <v>1429</v>
      </c>
      <c r="D130" s="2472"/>
      <c r="E130" s="2214"/>
      <c r="F130" s="2393"/>
      <c r="G130" s="2437"/>
      <c r="H130" s="1510"/>
      <c r="I130" s="661" t="s">
        <v>1428</v>
      </c>
      <c r="J130" s="581"/>
      <c r="K130" s="1510"/>
      <c r="L130" s="224"/>
      <c r="M130" s="351"/>
      <c r="N130" s="344"/>
      <c r="O130" s="1634"/>
      <c r="P130" s="1634"/>
      <c r="AH130" s="1641">
        <v>0</v>
      </c>
    </row>
    <row s="1645" customFormat="1" customHeight="1" ht="0.75" hidden="1">
      <c r="A131" s="1790"/>
      <c r="B131" s="1790"/>
      <c r="C131" s="379" t="s">
        <v>1436</v>
      </c>
      <c r="D131" s="2472"/>
      <c r="E131" s="2214"/>
      <c r="F131" s="2393"/>
      <c r="G131" s="410"/>
      <c r="H131" s="1510"/>
      <c r="I131" s="661"/>
      <c r="J131" s="581"/>
      <c r="K131" s="1510"/>
      <c r="L131" s="224"/>
      <c r="M131" s="351"/>
      <c r="N131" s="344"/>
      <c r="O131" s="1634"/>
      <c r="P131" s="1634"/>
      <c r="AH131" s="1641">
        <v>0</v>
      </c>
    </row>
    <row s="1645" customFormat="1" customHeight="1" ht="18.75" hidden="1">
      <c r="A132" s="1790" t="s">
        <v>277</v>
      </c>
      <c r="B132" s="1790" t="s">
        <v>278</v>
      </c>
      <c r="C132" s="379"/>
      <c r="D132" s="2472"/>
      <c r="E132" s="2214"/>
      <c r="F132" s="2393" t="str">
        <f>INDEX(PT_DIFFERENTIATION_VTAR,MATCH(A132,PT_DIFFERENTIATION_VTAR_ID,0))</f>
        <v>Тариф на транспортировку горячей воды</v>
      </c>
      <c r="G132" s="2437" t="str">
        <f>INDEX(PT_DIFFERENTIATION_NTAR,MATCH(B132,PT_DIFFERENTIATION_NTAR_ID,0))</f>
        <v/>
      </c>
      <c r="H132" s="1872"/>
      <c r="I132" s="1749"/>
      <c r="J132" s="1783"/>
      <c r="K132" s="1788"/>
      <c r="L132" s="1872" t="s">
        <v>328</v>
      </c>
      <c r="M132" s="351"/>
      <c r="N132" s="344"/>
      <c r="O132" s="1634"/>
      <c r="P132" s="1634"/>
      <c r="AH132" s="1641">
        <v>0</v>
      </c>
    </row>
    <row s="1645" customFormat="1" customHeight="1" ht="18.75" hidden="1">
      <c r="A133" s="1790"/>
      <c r="B133" s="1790"/>
      <c r="C133" s="379" t="s">
        <v>1429</v>
      </c>
      <c r="D133" s="2472"/>
      <c r="E133" s="2214"/>
      <c r="F133" s="2393"/>
      <c r="G133" s="2437"/>
      <c r="H133" s="1510"/>
      <c r="I133" s="661" t="s">
        <v>1428</v>
      </c>
      <c r="J133" s="581"/>
      <c r="K133" s="1510"/>
      <c r="L133" s="224"/>
      <c r="M133" s="351"/>
      <c r="N133" s="344"/>
      <c r="O133" s="1634"/>
      <c r="P133" s="1634"/>
      <c r="AH133" s="1641">
        <v>0</v>
      </c>
    </row>
    <row s="1645" customFormat="1" customHeight="1" ht="0.75" hidden="1">
      <c r="A134" s="1790"/>
      <c r="B134" s="1790"/>
      <c r="C134" s="379" t="s">
        <v>1436</v>
      </c>
      <c r="D134" s="2472"/>
      <c r="E134" s="2214"/>
      <c r="F134" s="2393"/>
      <c r="G134" s="410"/>
      <c r="H134" s="1510"/>
      <c r="I134" s="661"/>
      <c r="J134" s="581"/>
      <c r="K134" s="1510"/>
      <c r="L134" s="224"/>
      <c r="M134" s="351"/>
      <c r="N134" s="344"/>
      <c r="O134" s="1634"/>
      <c r="P134" s="1634"/>
      <c r="AH134" s="1641">
        <v>0</v>
      </c>
    </row>
    <row s="1645" customFormat="1" customHeight="1" ht="18.75" hidden="1">
      <c r="A135" s="1790" t="s">
        <v>282</v>
      </c>
      <c r="B135" s="1790" t="s">
        <v>283</v>
      </c>
      <c r="C135" s="379"/>
      <c r="D135" s="2472"/>
      <c r="E135" s="2214"/>
      <c r="F135" s="2393"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7" t="str">
        <f>INDEX(PT_DIFFERENTIATION_NTAR,MATCH(B135,PT_DIFFERENTIATION_NTAR_ID,0))</f>
        <v/>
      </c>
      <c r="H135" s="1872"/>
      <c r="I135" s="1749"/>
      <c r="J135" s="1783"/>
      <c r="K135" s="1788"/>
      <c r="L135" s="1872" t="s">
        <v>328</v>
      </c>
      <c r="M135" s="351"/>
      <c r="N135" s="344"/>
      <c r="O135" s="1634"/>
      <c r="P135" s="1634"/>
      <c r="AH135" s="1641">
        <v>0</v>
      </c>
    </row>
    <row s="1645" customFormat="1" customHeight="1" ht="18.75" hidden="1">
      <c r="A136" s="1790"/>
      <c r="B136" s="1790"/>
      <c r="C136" s="379" t="s">
        <v>1429</v>
      </c>
      <c r="D136" s="2472"/>
      <c r="E136" s="2214"/>
      <c r="F136" s="2393"/>
      <c r="G136" s="2437"/>
      <c r="H136" s="1510"/>
      <c r="I136" s="661" t="s">
        <v>1428</v>
      </c>
      <c r="J136" s="581"/>
      <c r="K136" s="1510"/>
      <c r="L136" s="224"/>
      <c r="M136" s="351"/>
      <c r="N136" s="344"/>
      <c r="O136" s="1634"/>
      <c r="P136" s="1634"/>
      <c r="AH136" s="1641">
        <v>0</v>
      </c>
    </row>
    <row s="1645" customFormat="1" customHeight="1" ht="0.75" hidden="1">
      <c r="A137" s="1790"/>
      <c r="B137" s="1790"/>
      <c r="C137" s="379" t="s">
        <v>1436</v>
      </c>
      <c r="D137" s="2472"/>
      <c r="E137" s="2214"/>
      <c r="F137" s="2393"/>
      <c r="G137" s="410"/>
      <c r="H137" s="1510"/>
      <c r="I137" s="661"/>
      <c r="J137" s="581"/>
      <c r="K137" s="1510"/>
      <c r="L137" s="224"/>
      <c r="M137" s="351"/>
      <c r="N137" s="344"/>
      <c r="O137" s="1634"/>
      <c r="P137" s="1634"/>
      <c r="AH137" s="1641">
        <v>0</v>
      </c>
    </row>
    <row s="1645" customFormat="1" customHeight="1" ht="18.75" hidden="1">
      <c r="A138" s="1790" t="s">
        <v>287</v>
      </c>
      <c r="B138" s="1790" t="s">
        <v>288</v>
      </c>
      <c r="C138" s="379"/>
      <c r="D138" s="2472"/>
      <c r="E138" s="2214"/>
      <c r="F138" s="2393" t="str">
        <f>INDEX(PT_DIFFERENTIATION_VTAR,MATCH(A138,PT_DIFFERENTIATION_VTAR_ID,0))</f>
        <v>Тариф на водоотведение</v>
      </c>
      <c r="G138" s="2437" t="str">
        <f>INDEX(PT_DIFFERENTIATION_NTAR,MATCH(B138,PT_DIFFERENTIATION_NTAR_ID,0))</f>
        <v/>
      </c>
      <c r="H138" s="1872"/>
      <c r="I138" s="1749"/>
      <c r="J138" s="1783"/>
      <c r="K138" s="1788"/>
      <c r="L138" s="1872" t="s">
        <v>328</v>
      </c>
      <c r="M138" s="351"/>
      <c r="N138" s="344"/>
      <c r="O138" s="1634"/>
      <c r="P138" s="1634"/>
      <c r="AH138" s="1641">
        <v>0</v>
      </c>
    </row>
    <row s="1645" customFormat="1" customHeight="1" ht="18.75" hidden="1">
      <c r="A139" s="1790"/>
      <c r="B139" s="1790"/>
      <c r="C139" s="379" t="s">
        <v>1429</v>
      </c>
      <c r="D139" s="2472"/>
      <c r="E139" s="2214"/>
      <c r="F139" s="2393"/>
      <c r="G139" s="2437"/>
      <c r="H139" s="1510"/>
      <c r="I139" s="661" t="s">
        <v>1428</v>
      </c>
      <c r="J139" s="581"/>
      <c r="K139" s="1510"/>
      <c r="L139" s="224"/>
      <c r="M139" s="351"/>
      <c r="N139" s="344"/>
      <c r="O139" s="1634"/>
      <c r="P139" s="1634"/>
      <c r="AH139" s="1641">
        <v>0</v>
      </c>
    </row>
    <row s="1645" customFormat="1" customHeight="1" ht="0.75" hidden="1">
      <c r="A140" s="1790"/>
      <c r="B140" s="1790"/>
      <c r="C140" s="379" t="s">
        <v>1436</v>
      </c>
      <c r="D140" s="2472"/>
      <c r="E140" s="2214"/>
      <c r="F140" s="2393"/>
      <c r="G140" s="410"/>
      <c r="H140" s="1510"/>
      <c r="I140" s="661"/>
      <c r="J140" s="581"/>
      <c r="K140" s="1510"/>
      <c r="L140" s="224"/>
      <c r="M140" s="351"/>
      <c r="N140" s="344"/>
      <c r="O140" s="1634"/>
      <c r="P140" s="1634"/>
      <c r="AH140" s="1641">
        <v>0</v>
      </c>
    </row>
    <row s="1645" customFormat="1" customHeight="1" ht="18.75" hidden="1">
      <c r="A141" s="1790" t="s">
        <v>292</v>
      </c>
      <c r="B141" s="1790" t="s">
        <v>293</v>
      </c>
      <c r="C141" s="379"/>
      <c r="D141" s="2472"/>
      <c r="E141" s="2214"/>
      <c r="F141" s="2393" t="str">
        <f>INDEX(PT_DIFFERENTIATION_VTAR,MATCH(A141,PT_DIFFERENTIATION_VTAR_ID,0))</f>
        <v>Тариф на транспортировку сточных вод</v>
      </c>
      <c r="G141" s="2437" t="str">
        <f>INDEX(PT_DIFFERENTIATION_NTAR,MATCH(B141,PT_DIFFERENTIATION_NTAR_ID,0))</f>
        <v/>
      </c>
      <c r="H141" s="1872"/>
      <c r="I141" s="1749"/>
      <c r="J141" s="1783"/>
      <c r="K141" s="1788"/>
      <c r="L141" s="1872" t="s">
        <v>328</v>
      </c>
      <c r="M141" s="351"/>
      <c r="N141" s="344"/>
      <c r="O141" s="1634"/>
      <c r="P141" s="1634"/>
      <c r="AH141" s="1641">
        <v>0</v>
      </c>
    </row>
    <row s="1645" customFormat="1" customHeight="1" ht="18.75" hidden="1">
      <c r="A142" s="1790"/>
      <c r="B142" s="1790"/>
      <c r="C142" s="379" t="s">
        <v>1429</v>
      </c>
      <c r="D142" s="2472"/>
      <c r="E142" s="2214"/>
      <c r="F142" s="2393"/>
      <c r="G142" s="2437"/>
      <c r="H142" s="1510"/>
      <c r="I142" s="661" t="s">
        <v>1428</v>
      </c>
      <c r="J142" s="581"/>
      <c r="K142" s="1510"/>
      <c r="L142" s="224"/>
      <c r="M142" s="351"/>
      <c r="N142" s="344"/>
      <c r="O142" s="1634"/>
      <c r="P142" s="1634"/>
      <c r="AH142" s="1641">
        <v>0</v>
      </c>
    </row>
    <row s="1645" customFormat="1" customHeight="1" ht="0.75" hidden="1">
      <c r="A143" s="1790"/>
      <c r="B143" s="1790"/>
      <c r="C143" s="379" t="s">
        <v>1436</v>
      </c>
      <c r="D143" s="2472"/>
      <c r="E143" s="2214"/>
      <c r="F143" s="2393"/>
      <c r="G143" s="410"/>
      <c r="H143" s="1510"/>
      <c r="I143" s="661"/>
      <c r="J143" s="581"/>
      <c r="K143" s="1510"/>
      <c r="L143" s="224"/>
      <c r="M143" s="351"/>
      <c r="N143" s="344"/>
      <c r="O143" s="1634"/>
      <c r="P143" s="1634"/>
      <c r="AH143" s="1641">
        <v>0</v>
      </c>
    </row>
    <row s="1645" customFormat="1" customHeight="1" ht="18.75" hidden="1">
      <c r="A144" s="1790" t="s">
        <v>297</v>
      </c>
      <c r="B144" s="1790" t="s">
        <v>298</v>
      </c>
      <c r="C144" s="379"/>
      <c r="D144" s="2472"/>
      <c r="E144" s="2214"/>
      <c r="F144" s="2393" t="str">
        <f>INDEX(PT_DIFFERENTIATION_VTAR,MATCH(A144,PT_DIFFERENTIATION_VTAR_ID,0))</f>
        <v>Тариф на подключение (технологическое присоединение) к централизованной системе водоотведения</v>
      </c>
      <c r="G144" s="2437" t="str">
        <f>INDEX(PT_DIFFERENTIATION_NTAR,MATCH(B144,PT_DIFFERENTIATION_NTAR_ID,0))</f>
        <v/>
      </c>
      <c r="H144" s="1872"/>
      <c r="I144" s="1749"/>
      <c r="J144" s="1783"/>
      <c r="K144" s="1788"/>
      <c r="L144" s="1872" t="s">
        <v>328</v>
      </c>
      <c r="M144" s="351"/>
      <c r="N144" s="344"/>
      <c r="O144" s="1634"/>
      <c r="P144" s="1634"/>
      <c r="AH144" s="1641">
        <v>0</v>
      </c>
    </row>
    <row s="1645" customFormat="1" customHeight="1" ht="18.75" hidden="1">
      <c r="A145" s="1790"/>
      <c r="B145" s="1790"/>
      <c r="C145" s="379" t="s">
        <v>1429</v>
      </c>
      <c r="D145" s="2472"/>
      <c r="E145" s="2214"/>
      <c r="F145" s="2393"/>
      <c r="G145" s="2437"/>
      <c r="H145" s="1510"/>
      <c r="I145" s="661" t="s">
        <v>1428</v>
      </c>
      <c r="J145" s="581"/>
      <c r="K145" s="1510"/>
      <c r="L145" s="224"/>
      <c r="M145" s="351"/>
      <c r="N145" s="344"/>
      <c r="O145" s="1634"/>
      <c r="P145" s="1634"/>
      <c r="AH145" s="1641">
        <v>0</v>
      </c>
    </row>
    <row s="1645" customFormat="1" customHeight="1" ht="1.05">
      <c r="A146" s="1790"/>
      <c r="B146" s="1790"/>
      <c r="C146" s="379" t="s">
        <v>1436</v>
      </c>
      <c r="D146" s="2472"/>
      <c r="E146" s="2214"/>
      <c r="F146" s="2393"/>
      <c r="G146" s="410"/>
      <c r="H146" s="1510"/>
      <c r="I146" s="661"/>
      <c r="J146" s="581"/>
      <c r="K146" s="1510"/>
      <c r="L146" s="224"/>
      <c r="M146" s="351"/>
      <c r="N146" s="344"/>
      <c r="O146" s="1634"/>
      <c r="P146" s="1634"/>
      <c r="AH146" s="1641">
        <v>1</v>
      </c>
    </row>
    <row customHeight="1" ht="19.95">
      <c r="A147" s="1790"/>
      <c r="B147" s="1790"/>
      <c r="D147" s="386"/>
      <c r="E147" s="157" t="s">
        <v>91</v>
      </c>
      <c r="F147" s="247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70"/>
      <c r="H147" s="2470"/>
      <c r="I147" s="2470"/>
      <c r="J147" s="2470"/>
      <c r="K147" s="2470"/>
      <c r="L147" s="2470"/>
      <c r="M147" s="307"/>
      <c r="N147" s="344"/>
      <c r="AH147" s="384">
        <v>19</v>
      </c>
    </row>
    <row s="1645" customFormat="1" customHeight="1" ht="60.75" hidden="1">
      <c r="A148" s="1790" t="s">
        <v>179</v>
      </c>
      <c r="B148" s="1790" t="s">
        <v>180</v>
      </c>
      <c r="C148" s="379"/>
      <c r="D148" s="2472"/>
      <c r="E148" s="2214"/>
      <c r="F148" s="239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7" t="str">
        <f>INDEX(PT_DIFFERENTIATION_NTAR,MATCH(B148,PT_DIFFERENTIATION_NTAR_ID,0))</f>
        <v/>
      </c>
      <c r="H148" s="1872"/>
      <c r="I148" s="1749"/>
      <c r="J148" s="1783"/>
      <c r="K148" s="1788"/>
      <c r="L148" s="1872" t="s">
        <v>328</v>
      </c>
      <c r="M148" s="217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44"/>
      <c r="O148" s="1634"/>
      <c r="P148" s="1634"/>
      <c r="AH148" s="1641">
        <v>0</v>
      </c>
    </row>
    <row s="1645" customFormat="1" customHeight="1" ht="18.75" hidden="1">
      <c r="A149" s="1790"/>
      <c r="B149" s="1790"/>
      <c r="C149" s="379" t="s">
        <v>1429</v>
      </c>
      <c r="D149" s="2472"/>
      <c r="E149" s="2214"/>
      <c r="F149" s="2393"/>
      <c r="G149" s="2437"/>
      <c r="H149" s="1510"/>
      <c r="I149" s="661" t="s">
        <v>1428</v>
      </c>
      <c r="J149" s="581"/>
      <c r="K149" s="1510"/>
      <c r="L149" s="224"/>
      <c r="M149" s="2180"/>
      <c r="N149" s="344"/>
      <c r="O149" s="1634"/>
      <c r="P149" s="1634"/>
      <c r="AH149" s="1641">
        <v>0</v>
      </c>
    </row>
    <row s="1645" customFormat="1" customHeight="1" ht="0.75" hidden="1">
      <c r="A150" s="1790"/>
      <c r="B150" s="1790"/>
      <c r="C150" s="379" t="s">
        <v>1436</v>
      </c>
      <c r="D150" s="2472"/>
      <c r="E150" s="2214"/>
      <c r="F150" s="2393"/>
      <c r="G150" s="410"/>
      <c r="H150" s="1510"/>
      <c r="I150" s="661"/>
      <c r="J150" s="581"/>
      <c r="K150" s="1510"/>
      <c r="L150" s="224"/>
      <c r="M150" s="2180"/>
      <c r="N150" s="344"/>
      <c r="O150" s="1634"/>
      <c r="P150" s="1634"/>
      <c r="AH150" s="1641">
        <v>0</v>
      </c>
    </row>
    <row s="1645" customFormat="1" customHeight="1" ht="45" hidden="1">
      <c r="A151" s="1790" t="s">
        <v>184</v>
      </c>
      <c r="B151" s="1790" t="s">
        <v>185</v>
      </c>
      <c r="C151" s="379"/>
      <c r="D151" s="2472"/>
      <c r="E151" s="2214"/>
      <c r="F151" s="2393" t="str">
        <f>INDEX(PT_DIFFERENTIATION_VTAR,MATCH(A151,PT_DIFFERENTIATION_VTAR_ID,0))</f>
        <v/>
      </c>
      <c r="G151" s="2437" t="str">
        <f>INDEX(PT_DIFFERENTIATION_NTAR,MATCH(B151,PT_DIFFERENTIATION_NTAR_ID,0))</f>
        <v/>
      </c>
      <c r="H151" s="1872"/>
      <c r="I151" s="1749"/>
      <c r="J151" s="1783"/>
      <c r="K151" s="1788"/>
      <c r="L151" s="1872" t="s">
        <v>328</v>
      </c>
      <c r="M151" s="2181"/>
      <c r="N151" s="344"/>
      <c r="O151" s="1634"/>
      <c r="P151" s="1634"/>
      <c r="AH151" s="1641">
        <v>0</v>
      </c>
    </row>
    <row s="1645" customFormat="1" customHeight="1" ht="18.75" hidden="1">
      <c r="A152" s="1790"/>
      <c r="B152" s="1790"/>
      <c r="C152" s="379" t="s">
        <v>1429</v>
      </c>
      <c r="D152" s="2472"/>
      <c r="E152" s="2214"/>
      <c r="F152" s="2393"/>
      <c r="G152" s="2437"/>
      <c r="H152" s="1510"/>
      <c r="I152" s="661" t="s">
        <v>1428</v>
      </c>
      <c r="J152" s="581"/>
      <c r="K152" s="1510"/>
      <c r="L152" s="224"/>
      <c r="M152" s="1871"/>
      <c r="N152" s="344"/>
      <c r="O152" s="1634"/>
      <c r="P152" s="1634"/>
      <c r="AH152" s="1641">
        <v>0</v>
      </c>
    </row>
    <row s="1645" customFormat="1" customHeight="1" ht="0.75" hidden="1">
      <c r="A153" s="1790"/>
      <c r="B153" s="1790"/>
      <c r="C153" s="379" t="s">
        <v>1436</v>
      </c>
      <c r="D153" s="2472"/>
      <c r="E153" s="2214"/>
      <c r="F153" s="2393"/>
      <c r="G153" s="410"/>
      <c r="H153" s="1510"/>
      <c r="I153" s="661"/>
      <c r="J153" s="581"/>
      <c r="K153" s="1510"/>
      <c r="L153" s="224"/>
      <c r="M153" s="351"/>
      <c r="N153" s="344"/>
      <c r="O153" s="1634"/>
      <c r="P153" s="1634"/>
      <c r="AH153" s="1641">
        <v>0</v>
      </c>
    </row>
    <row s="1645" customFormat="1" customHeight="1" ht="45" hidden="1">
      <c r="A154" s="1790" t="s">
        <v>191</v>
      </c>
      <c r="B154" s="1790" t="s">
        <v>192</v>
      </c>
      <c r="C154" s="379"/>
      <c r="D154" s="2472"/>
      <c r="E154" s="2214"/>
      <c r="F154" s="239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7" t="str">
        <f>INDEX(PT_DIFFERENTIATION_NTAR,MATCH(B154,PT_DIFFERENTIATION_NTAR_ID,0))</f>
        <v/>
      </c>
      <c r="H154" s="1872"/>
      <c r="I154" s="1749"/>
      <c r="J154" s="1783"/>
      <c r="K154" s="1788"/>
      <c r="L154" s="1872" t="s">
        <v>328</v>
      </c>
      <c r="M154" s="351"/>
      <c r="N154" s="344"/>
      <c r="O154" s="1634"/>
      <c r="P154" s="1634"/>
      <c r="AH154" s="1641">
        <v>0</v>
      </c>
    </row>
    <row s="1645" customFormat="1" customHeight="1" ht="18.75" hidden="1">
      <c r="A155" s="1790"/>
      <c r="B155" s="1790"/>
      <c r="C155" s="379" t="s">
        <v>1429</v>
      </c>
      <c r="D155" s="2472"/>
      <c r="E155" s="2214"/>
      <c r="F155" s="2393"/>
      <c r="G155" s="2437"/>
      <c r="H155" s="1510"/>
      <c r="I155" s="661" t="s">
        <v>1428</v>
      </c>
      <c r="J155" s="581"/>
      <c r="K155" s="1510"/>
      <c r="L155" s="224"/>
      <c r="M155" s="351"/>
      <c r="N155" s="344"/>
      <c r="O155" s="1634"/>
      <c r="P155" s="1634"/>
      <c r="AH155" s="1641">
        <v>0</v>
      </c>
    </row>
    <row s="1645" customFormat="1" customHeight="1" ht="0.75" hidden="1">
      <c r="A156" s="1790"/>
      <c r="B156" s="1790"/>
      <c r="C156" s="379" t="s">
        <v>1436</v>
      </c>
      <c r="D156" s="2472"/>
      <c r="E156" s="2214"/>
      <c r="F156" s="2393"/>
      <c r="G156" s="410"/>
      <c r="H156" s="1510"/>
      <c r="I156" s="661"/>
      <c r="J156" s="581"/>
      <c r="K156" s="1510"/>
      <c r="L156" s="224"/>
      <c r="M156" s="351"/>
      <c r="N156" s="344"/>
      <c r="O156" s="1634"/>
      <c r="P156" s="1634"/>
      <c r="AH156" s="1641">
        <v>0</v>
      </c>
    </row>
    <row s="1645" customFormat="1" customHeight="1" ht="45" hidden="1">
      <c r="A157" s="1790" t="s">
        <v>197</v>
      </c>
      <c r="B157" s="1790" t="s">
        <v>198</v>
      </c>
      <c r="C157" s="379"/>
      <c r="D157" s="2472"/>
      <c r="E157" s="2214"/>
      <c r="F157" s="239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7" t="str">
        <f>INDEX(PT_DIFFERENTIATION_NTAR,MATCH(B157,PT_DIFFERENTIATION_NTAR_ID,0))</f>
        <v/>
      </c>
      <c r="H157" s="1872"/>
      <c r="I157" s="1749"/>
      <c r="J157" s="1783"/>
      <c r="K157" s="1788"/>
      <c r="L157" s="1872" t="s">
        <v>328</v>
      </c>
      <c r="M157" s="351"/>
      <c r="N157" s="344"/>
      <c r="O157" s="1634"/>
      <c r="P157" s="1634"/>
      <c r="AH157" s="1641">
        <v>0</v>
      </c>
    </row>
    <row s="1645" customFormat="1" customHeight="1" ht="18.75" hidden="1">
      <c r="A158" s="1790"/>
      <c r="B158" s="1790"/>
      <c r="C158" s="379" t="s">
        <v>1429</v>
      </c>
      <c r="D158" s="2472"/>
      <c r="E158" s="2214"/>
      <c r="F158" s="2393"/>
      <c r="G158" s="2437"/>
      <c r="H158" s="1510"/>
      <c r="I158" s="661" t="s">
        <v>1428</v>
      </c>
      <c r="J158" s="581"/>
      <c r="K158" s="1510"/>
      <c r="L158" s="224"/>
      <c r="M158" s="351"/>
      <c r="N158" s="344"/>
      <c r="O158" s="1634"/>
      <c r="P158" s="1634"/>
      <c r="AH158" s="1641">
        <v>0</v>
      </c>
    </row>
    <row s="1645" customFormat="1" customHeight="1" ht="0.75" hidden="1">
      <c r="A159" s="1790"/>
      <c r="B159" s="1790"/>
      <c r="C159" s="379" t="s">
        <v>1436</v>
      </c>
      <c r="D159" s="2472"/>
      <c r="E159" s="2214"/>
      <c r="F159" s="2393"/>
      <c r="G159" s="410"/>
      <c r="H159" s="1510"/>
      <c r="I159" s="661"/>
      <c r="J159" s="581"/>
      <c r="K159" s="1510"/>
      <c r="L159" s="224"/>
      <c r="M159" s="351"/>
      <c r="N159" s="344"/>
      <c r="O159" s="1634"/>
      <c r="P159" s="1634"/>
      <c r="AH159" s="1641">
        <v>0</v>
      </c>
    </row>
    <row s="1645" customFormat="1" customHeight="1" ht="18.75" hidden="1">
      <c r="A160" s="1790" t="s">
        <v>203</v>
      </c>
      <c r="B160" s="1790" t="s">
        <v>204</v>
      </c>
      <c r="C160" s="379"/>
      <c r="D160" s="2472"/>
      <c r="E160" s="2214"/>
      <c r="F160" s="2393" t="str">
        <f>INDEX(PT_DIFFERENTIATION_VTAR,MATCH(A160,PT_DIFFERENTIATION_VTAR_ID,0))</f>
        <v>Тарифы на услуги по передаче тепловой энергии</v>
      </c>
      <c r="G160" s="2437" t="str">
        <f>INDEX(PT_DIFFERENTIATION_NTAR,MATCH(B160,PT_DIFFERENTIATION_NTAR_ID,0))</f>
        <v/>
      </c>
      <c r="H160" s="1872"/>
      <c r="I160" s="1749"/>
      <c r="J160" s="1783"/>
      <c r="K160" s="1788"/>
      <c r="L160" s="1872" t="s">
        <v>328</v>
      </c>
      <c r="M160" s="351"/>
      <c r="N160" s="344"/>
      <c r="O160" s="1634"/>
      <c r="P160" s="1634"/>
      <c r="AH160" s="1641">
        <v>0</v>
      </c>
    </row>
    <row s="1645" customFormat="1" customHeight="1" ht="18.75" hidden="1">
      <c r="A161" s="1790"/>
      <c r="B161" s="1790"/>
      <c r="C161" s="379" t="s">
        <v>1429</v>
      </c>
      <c r="D161" s="2472"/>
      <c r="E161" s="2214"/>
      <c r="F161" s="2393"/>
      <c r="G161" s="2437"/>
      <c r="H161" s="1510"/>
      <c r="I161" s="661" t="s">
        <v>1428</v>
      </c>
      <c r="J161" s="581"/>
      <c r="K161" s="1510"/>
      <c r="L161" s="224"/>
      <c r="M161" s="351"/>
      <c r="N161" s="344"/>
      <c r="O161" s="1634"/>
      <c r="P161" s="1634"/>
      <c r="AH161" s="1641">
        <v>0</v>
      </c>
    </row>
    <row s="1645" customFormat="1" customHeight="1" ht="0.75" hidden="1">
      <c r="A162" s="1790"/>
      <c r="B162" s="1790"/>
      <c r="C162" s="379" t="s">
        <v>1436</v>
      </c>
      <c r="D162" s="2472"/>
      <c r="E162" s="2214"/>
      <c r="F162" s="2393"/>
      <c r="G162" s="410"/>
      <c r="H162" s="1510"/>
      <c r="I162" s="661"/>
      <c r="J162" s="581"/>
      <c r="K162" s="1510"/>
      <c r="L162" s="224"/>
      <c r="M162" s="351"/>
      <c r="N162" s="344"/>
      <c r="O162" s="1634"/>
      <c r="P162" s="1634"/>
      <c r="AH162" s="1641">
        <v>0</v>
      </c>
    </row>
    <row s="1645" customFormat="1" customHeight="1" ht="18.75" hidden="1">
      <c r="A163" s="1790" t="s">
        <v>209</v>
      </c>
      <c r="B163" s="1790" t="s">
        <v>210</v>
      </c>
      <c r="C163" s="379"/>
      <c r="D163" s="2472"/>
      <c r="E163" s="2214"/>
      <c r="F163" s="2393" t="str">
        <f>INDEX(PT_DIFFERENTIATION_VTAR,MATCH(A163,PT_DIFFERENTIATION_VTAR_ID,0))</f>
        <v>Тарифы на услуги по передаче теплоносителя</v>
      </c>
      <c r="G163" s="2437" t="str">
        <f>INDEX(PT_DIFFERENTIATION_NTAR,MATCH(B163,PT_DIFFERENTIATION_NTAR_ID,0))</f>
        <v/>
      </c>
      <c r="H163" s="1872"/>
      <c r="I163" s="1749"/>
      <c r="J163" s="1783"/>
      <c r="K163" s="1788"/>
      <c r="L163" s="1872" t="s">
        <v>328</v>
      </c>
      <c r="M163" s="351"/>
      <c r="N163" s="344"/>
      <c r="O163" s="1634"/>
      <c r="P163" s="1634"/>
      <c r="AH163" s="1641">
        <v>0</v>
      </c>
    </row>
    <row s="1645" customFormat="1" customHeight="1" ht="18.75" hidden="1">
      <c r="A164" s="1790"/>
      <c r="B164" s="1790"/>
      <c r="C164" s="379" t="s">
        <v>1429</v>
      </c>
      <c r="D164" s="2472"/>
      <c r="E164" s="2214"/>
      <c r="F164" s="2393"/>
      <c r="G164" s="2437"/>
      <c r="H164" s="1510"/>
      <c r="I164" s="661" t="s">
        <v>1428</v>
      </c>
      <c r="J164" s="581"/>
      <c r="K164" s="1510"/>
      <c r="L164" s="224"/>
      <c r="M164" s="351"/>
      <c r="N164" s="344"/>
      <c r="O164" s="1634"/>
      <c r="P164" s="1634"/>
      <c r="AH164" s="1641">
        <v>0</v>
      </c>
    </row>
    <row s="1645" customFormat="1" customHeight="1" ht="0.75" hidden="1">
      <c r="A165" s="1790"/>
      <c r="B165" s="1790"/>
      <c r="C165" s="379" t="s">
        <v>1436</v>
      </c>
      <c r="D165" s="2472"/>
      <c r="E165" s="2214"/>
      <c r="F165" s="2393"/>
      <c r="G165" s="410"/>
      <c r="H165" s="1510"/>
      <c r="I165" s="661"/>
      <c r="J165" s="581"/>
      <c r="K165" s="1510"/>
      <c r="L165" s="224"/>
      <c r="M165" s="351"/>
      <c r="N165" s="344"/>
      <c r="O165" s="1634"/>
      <c r="P165" s="1634"/>
      <c r="AH165" s="1641">
        <v>0</v>
      </c>
    </row>
    <row s="1645" customFormat="1" customHeight="1" ht="18.75" hidden="1">
      <c r="A166" s="1790" t="s">
        <v>215</v>
      </c>
      <c r="B166" s="1790" t="s">
        <v>216</v>
      </c>
      <c r="C166" s="379"/>
      <c r="D166" s="2472"/>
      <c r="E166" s="2214"/>
      <c r="F166" s="239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7" t="str">
        <f>INDEX(PT_DIFFERENTIATION_NTAR,MATCH(B166,PT_DIFFERENTIATION_NTAR_ID,0))</f>
        <v/>
      </c>
      <c r="H166" s="1872"/>
      <c r="I166" s="1749"/>
      <c r="J166" s="1783"/>
      <c r="K166" s="1788"/>
      <c r="L166" s="1872" t="s">
        <v>328</v>
      </c>
      <c r="M166" s="351"/>
      <c r="N166" s="344"/>
      <c r="O166" s="1634"/>
      <c r="P166" s="1634"/>
      <c r="AH166" s="1641">
        <v>0</v>
      </c>
    </row>
    <row s="1645" customFormat="1" customHeight="1" ht="18.75" hidden="1">
      <c r="A167" s="1790"/>
      <c r="B167" s="1790"/>
      <c r="C167" s="379" t="s">
        <v>1429</v>
      </c>
      <c r="D167" s="2472"/>
      <c r="E167" s="2214"/>
      <c r="F167" s="2393"/>
      <c r="G167" s="2437"/>
      <c r="H167" s="1510"/>
      <c r="I167" s="661" t="s">
        <v>1428</v>
      </c>
      <c r="J167" s="581"/>
      <c r="K167" s="1510"/>
      <c r="L167" s="224"/>
      <c r="M167" s="351"/>
      <c r="N167" s="344"/>
      <c r="O167" s="1634"/>
      <c r="P167" s="1634"/>
      <c r="AH167" s="1641">
        <v>0</v>
      </c>
    </row>
    <row s="1645" customFormat="1" customHeight="1" ht="0.75" hidden="1">
      <c r="A168" s="1790"/>
      <c r="B168" s="1790"/>
      <c r="C168" s="379" t="s">
        <v>1436</v>
      </c>
      <c r="D168" s="2472"/>
      <c r="E168" s="2214"/>
      <c r="F168" s="2393"/>
      <c r="G168" s="410"/>
      <c r="H168" s="1510"/>
      <c r="I168" s="661"/>
      <c r="J168" s="581"/>
      <c r="K168" s="1510"/>
      <c r="L168" s="224"/>
      <c r="M168" s="351"/>
      <c r="N168" s="344"/>
      <c r="O168" s="1634"/>
      <c r="P168" s="1634"/>
      <c r="AH168" s="1641">
        <v>0</v>
      </c>
    </row>
    <row s="1645" customFormat="1" customHeight="1" ht="18.75" hidden="1">
      <c r="A169" s="1790" t="s">
        <v>221</v>
      </c>
      <c r="B169" s="1790" t="s">
        <v>222</v>
      </c>
      <c r="C169" s="379"/>
      <c r="D169" s="2472"/>
      <c r="E169" s="2214"/>
      <c r="F169" s="2393" t="str">
        <f>INDEX(PT_DIFFERENTIATION_VTAR,MATCH(A169,PT_DIFFERENTIATION_VTAR_ID,0))</f>
        <v>Плата за подключение (технологическое присоединение) к системе теплоснабжения</v>
      </c>
      <c r="G169" s="2437" t="str">
        <f>INDEX(PT_DIFFERENTIATION_NTAR,MATCH(B169,PT_DIFFERENTIATION_NTAR_ID,0))</f>
        <v/>
      </c>
      <c r="H169" s="1872"/>
      <c r="I169" s="1749"/>
      <c r="J169" s="1783"/>
      <c r="K169" s="1788"/>
      <c r="L169" s="1872" t="s">
        <v>328</v>
      </c>
      <c r="M169" s="351"/>
      <c r="N169" s="344"/>
      <c r="O169" s="1634"/>
      <c r="P169" s="1634"/>
      <c r="AH169" s="1641">
        <v>0</v>
      </c>
    </row>
    <row s="1645" customFormat="1" customHeight="1" ht="18.75" hidden="1">
      <c r="A170" s="1790"/>
      <c r="B170" s="1790"/>
      <c r="C170" s="379" t="s">
        <v>1429</v>
      </c>
      <c r="D170" s="2472"/>
      <c r="E170" s="2214"/>
      <c r="F170" s="2393"/>
      <c r="G170" s="2437"/>
      <c r="H170" s="1510"/>
      <c r="I170" s="661" t="s">
        <v>1428</v>
      </c>
      <c r="J170" s="581"/>
      <c r="K170" s="1510"/>
      <c r="L170" s="224"/>
      <c r="M170" s="351"/>
      <c r="N170" s="344"/>
      <c r="O170" s="1634"/>
      <c r="P170" s="1634"/>
      <c r="AH170" s="1641">
        <v>0</v>
      </c>
    </row>
    <row s="1645" customFormat="1" customHeight="1" ht="0.75" hidden="1">
      <c r="A171" s="1790"/>
      <c r="B171" s="1790"/>
      <c r="C171" s="379" t="s">
        <v>1436</v>
      </c>
      <c r="D171" s="2472"/>
      <c r="E171" s="2214"/>
      <c r="F171" s="2393"/>
      <c r="G171" s="410"/>
      <c r="H171" s="1510"/>
      <c r="I171" s="661"/>
      <c r="J171" s="581"/>
      <c r="K171" s="1510"/>
      <c r="L171" s="224"/>
      <c r="M171" s="351"/>
      <c r="N171" s="344"/>
      <c r="O171" s="1634"/>
      <c r="P171" s="1634"/>
      <c r="AH171" s="1641">
        <v>0</v>
      </c>
    </row>
    <row s="1645" customFormat="1" customHeight="1" ht="18.75" hidden="1">
      <c r="A172" s="1790" t="s">
        <v>227</v>
      </c>
      <c r="B172" s="1790" t="s">
        <v>228</v>
      </c>
      <c r="C172" s="379"/>
      <c r="D172" s="2472"/>
      <c r="E172" s="2214"/>
      <c r="F172" s="2393" t="str">
        <f>INDEX(PT_DIFFERENTIATION_VTAR,MATCH(A172,PT_DIFFERENTIATION_VTAR_ID,0))</f>
        <v>Плата за подключение (технологическое присоединение) к системе теплоснабжения (индивидуальная)</v>
      </c>
      <c r="G172" s="2437" t="str">
        <f>INDEX(PT_DIFFERENTIATION_NTAR,MATCH(B172,PT_DIFFERENTIATION_NTAR_ID,0))</f>
        <v/>
      </c>
      <c r="H172" s="1999"/>
      <c r="I172" s="1749"/>
      <c r="J172" s="1783"/>
      <c r="K172" s="1788"/>
      <c r="L172" s="1999" t="s">
        <v>328</v>
      </c>
      <c r="M172" s="351"/>
      <c r="N172" s="344"/>
      <c r="O172" s="1634"/>
      <c r="P172" s="1634"/>
      <c r="AH172" s="1641">
        <v>0</v>
      </c>
    </row>
    <row s="1645" customFormat="1" customHeight="1" ht="18.75" hidden="1">
      <c r="A173" s="1790"/>
      <c r="B173" s="1790"/>
      <c r="C173" s="379" t="s">
        <v>1429</v>
      </c>
      <c r="D173" s="2472"/>
      <c r="E173" s="2214"/>
      <c r="F173" s="2393"/>
      <c r="G173" s="2437"/>
      <c r="H173" s="1510"/>
      <c r="I173" s="661" t="s">
        <v>1428</v>
      </c>
      <c r="J173" s="581"/>
      <c r="K173" s="1510"/>
      <c r="L173" s="224"/>
      <c r="M173" s="351"/>
      <c r="N173" s="344"/>
      <c r="O173" s="1634"/>
      <c r="P173" s="1634"/>
      <c r="AH173" s="1641">
        <v>0</v>
      </c>
    </row>
    <row s="1645" customFormat="1" customHeight="1" ht="0.75" hidden="1">
      <c r="A174" s="1790"/>
      <c r="B174" s="1790"/>
      <c r="C174" s="379" t="s">
        <v>1436</v>
      </c>
      <c r="D174" s="2472"/>
      <c r="E174" s="2214"/>
      <c r="F174" s="2393"/>
      <c r="G174" s="410"/>
      <c r="H174" s="1510"/>
      <c r="I174" s="661"/>
      <c r="J174" s="581"/>
      <c r="K174" s="1510"/>
      <c r="L174" s="224"/>
      <c r="M174" s="351"/>
      <c r="N174" s="344"/>
      <c r="O174" s="1634"/>
      <c r="P174" s="1634"/>
      <c r="AH174" s="1641">
        <v>0</v>
      </c>
    </row>
    <row s="1645" customFormat="1" customHeight="1" ht="18.75" hidden="1">
      <c r="A175" s="1790" t="s">
        <v>247</v>
      </c>
      <c r="B175" s="1790" t="s">
        <v>248</v>
      </c>
      <c r="C175" s="379"/>
      <c r="D175" s="2472"/>
      <c r="E175" s="2214"/>
      <c r="F175" s="2393" t="str">
        <f>INDEX(PT_DIFFERENTIATION_VTAR,MATCH(A175,PT_DIFFERENTIATION_VTAR_ID,0))</f>
        <v>Тариф на питьевую воду (питьевое водоснабжение)</v>
      </c>
      <c r="G175" s="2437" t="str">
        <f>INDEX(PT_DIFFERENTIATION_NTAR,MATCH(B175,PT_DIFFERENTIATION_NTAR_ID,0))</f>
        <v/>
      </c>
      <c r="H175" s="1872"/>
      <c r="I175" s="1749"/>
      <c r="J175" s="1783"/>
      <c r="K175" s="1788"/>
      <c r="L175" s="1872" t="s">
        <v>328</v>
      </c>
      <c r="M175" s="351"/>
      <c r="N175" s="344"/>
      <c r="O175" s="1634"/>
      <c r="P175" s="1634"/>
      <c r="AH175" s="1641">
        <v>0</v>
      </c>
    </row>
    <row s="1645" customFormat="1" customHeight="1" ht="18.75" hidden="1">
      <c r="A176" s="1790"/>
      <c r="B176" s="1790"/>
      <c r="C176" s="379" t="s">
        <v>1429</v>
      </c>
      <c r="D176" s="2472"/>
      <c r="E176" s="2214"/>
      <c r="F176" s="2393"/>
      <c r="G176" s="2437"/>
      <c r="H176" s="1510"/>
      <c r="I176" s="661" t="s">
        <v>1428</v>
      </c>
      <c r="J176" s="581"/>
      <c r="K176" s="1510"/>
      <c r="L176" s="224"/>
      <c r="M176" s="351"/>
      <c r="N176" s="344"/>
      <c r="O176" s="1634"/>
      <c r="P176" s="1634"/>
      <c r="AH176" s="1641">
        <v>0</v>
      </c>
    </row>
    <row s="1645" customFormat="1" customHeight="1" ht="0.75" hidden="1">
      <c r="A177" s="1790"/>
      <c r="B177" s="1790"/>
      <c r="C177" s="379" t="s">
        <v>1436</v>
      </c>
      <c r="D177" s="2472"/>
      <c r="E177" s="2214"/>
      <c r="F177" s="2393"/>
      <c r="G177" s="410"/>
      <c r="H177" s="1510"/>
      <c r="I177" s="661"/>
      <c r="J177" s="581"/>
      <c r="K177" s="1510"/>
      <c r="L177" s="224"/>
      <c r="M177" s="351"/>
      <c r="N177" s="344"/>
      <c r="O177" s="1634"/>
      <c r="P177" s="1634"/>
      <c r="AH177" s="1641">
        <v>0</v>
      </c>
    </row>
    <row s="1645" customFormat="1" customHeight="1" ht="18.75" hidden="1">
      <c r="A178" s="1790" t="s">
        <v>252</v>
      </c>
      <c r="B178" s="1790" t="s">
        <v>253</v>
      </c>
      <c r="C178" s="379"/>
      <c r="D178" s="2472"/>
      <c r="E178" s="2214"/>
      <c r="F178" s="2393" t="str">
        <f>INDEX(PT_DIFFERENTIATION_VTAR,MATCH(A178,PT_DIFFERENTIATION_VTAR_ID,0))</f>
        <v>Тариф на техническую воду</v>
      </c>
      <c r="G178" s="2437" t="str">
        <f>INDEX(PT_DIFFERENTIATION_NTAR,MATCH(B178,PT_DIFFERENTIATION_NTAR_ID,0))</f>
        <v/>
      </c>
      <c r="H178" s="1872"/>
      <c r="I178" s="1749"/>
      <c r="J178" s="1783"/>
      <c r="K178" s="1788"/>
      <c r="L178" s="1872" t="s">
        <v>328</v>
      </c>
      <c r="M178" s="351"/>
      <c r="N178" s="344"/>
      <c r="O178" s="1634"/>
      <c r="P178" s="1634"/>
      <c r="AH178" s="1641">
        <v>0</v>
      </c>
    </row>
    <row s="1645" customFormat="1" customHeight="1" ht="18.75" hidden="1">
      <c r="A179" s="1790"/>
      <c r="B179" s="1790"/>
      <c r="C179" s="379" t="s">
        <v>1429</v>
      </c>
      <c r="D179" s="2472"/>
      <c r="E179" s="2214"/>
      <c r="F179" s="2393"/>
      <c r="G179" s="2437"/>
      <c r="H179" s="1510"/>
      <c r="I179" s="661" t="s">
        <v>1428</v>
      </c>
      <c r="J179" s="581"/>
      <c r="K179" s="1510"/>
      <c r="L179" s="224"/>
      <c r="M179" s="351"/>
      <c r="N179" s="344"/>
      <c r="O179" s="1634"/>
      <c r="P179" s="1634"/>
      <c r="AH179" s="1641">
        <v>0</v>
      </c>
    </row>
    <row s="1645" customFormat="1" customHeight="1" ht="0.75" hidden="1">
      <c r="A180" s="1790"/>
      <c r="B180" s="1790"/>
      <c r="C180" s="379" t="s">
        <v>1436</v>
      </c>
      <c r="D180" s="2472"/>
      <c r="E180" s="2214"/>
      <c r="F180" s="2393"/>
      <c r="G180" s="410"/>
      <c r="H180" s="1510"/>
      <c r="I180" s="661"/>
      <c r="J180" s="581"/>
      <c r="K180" s="1510"/>
      <c r="L180" s="224"/>
      <c r="M180" s="351"/>
      <c r="N180" s="344"/>
      <c r="O180" s="1634"/>
      <c r="P180" s="1634"/>
      <c r="AH180" s="1641">
        <v>0</v>
      </c>
    </row>
    <row s="1645" customFormat="1" customHeight="1" ht="18.75" hidden="1">
      <c r="A181" s="1790" t="s">
        <v>257</v>
      </c>
      <c r="B181" s="1790" t="s">
        <v>258</v>
      </c>
      <c r="C181" s="379"/>
      <c r="D181" s="2472"/>
      <c r="E181" s="2214"/>
      <c r="F181" s="2393" t="str">
        <f>INDEX(PT_DIFFERENTIATION_VTAR,MATCH(A181,PT_DIFFERENTIATION_VTAR_ID,0))</f>
        <v>Тариф на транспортировку воды</v>
      </c>
      <c r="G181" s="2437" t="str">
        <f>INDEX(PT_DIFFERENTIATION_NTAR,MATCH(B181,PT_DIFFERENTIATION_NTAR_ID,0))</f>
        <v/>
      </c>
      <c r="H181" s="1872"/>
      <c r="I181" s="1749"/>
      <c r="J181" s="1783"/>
      <c r="K181" s="1788"/>
      <c r="L181" s="1872" t="s">
        <v>328</v>
      </c>
      <c r="M181" s="351"/>
      <c r="N181" s="344"/>
      <c r="O181" s="1634"/>
      <c r="P181" s="1634"/>
      <c r="AH181" s="1641">
        <v>0</v>
      </c>
    </row>
    <row s="1645" customFormat="1" customHeight="1" ht="18.75" hidden="1">
      <c r="A182" s="1790"/>
      <c r="B182" s="1790"/>
      <c r="C182" s="379" t="s">
        <v>1429</v>
      </c>
      <c r="D182" s="2472"/>
      <c r="E182" s="2214"/>
      <c r="F182" s="2393"/>
      <c r="G182" s="2437"/>
      <c r="H182" s="1510"/>
      <c r="I182" s="661" t="s">
        <v>1428</v>
      </c>
      <c r="J182" s="581"/>
      <c r="K182" s="1510"/>
      <c r="L182" s="224"/>
      <c r="M182" s="351"/>
      <c r="N182" s="344"/>
      <c r="O182" s="1634"/>
      <c r="P182" s="1634"/>
      <c r="AH182" s="1641">
        <v>0</v>
      </c>
    </row>
    <row s="1645" customFormat="1" customHeight="1" ht="0.75" hidden="1">
      <c r="A183" s="1790"/>
      <c r="B183" s="1790"/>
      <c r="C183" s="379" t="s">
        <v>1436</v>
      </c>
      <c r="D183" s="2472"/>
      <c r="E183" s="2214"/>
      <c r="F183" s="2393"/>
      <c r="G183" s="410"/>
      <c r="H183" s="1510"/>
      <c r="I183" s="661"/>
      <c r="J183" s="581"/>
      <c r="K183" s="1510"/>
      <c r="L183" s="224"/>
      <c r="M183" s="351"/>
      <c r="N183" s="344"/>
      <c r="O183" s="1634"/>
      <c r="P183" s="1634"/>
      <c r="AH183" s="1641">
        <v>0</v>
      </c>
    </row>
    <row s="1645" customFormat="1" customHeight="1" ht="18.75" hidden="1">
      <c r="A184" s="1790" t="s">
        <v>262</v>
      </c>
      <c r="B184" s="1790" t="s">
        <v>263</v>
      </c>
      <c r="C184" s="379"/>
      <c r="D184" s="2472"/>
      <c r="E184" s="2214"/>
      <c r="F184" s="2393" t="str">
        <f>INDEX(PT_DIFFERENTIATION_VTAR,MATCH(A184,PT_DIFFERENTIATION_VTAR_ID,0))</f>
        <v>Тариф на подвоз воды</v>
      </c>
      <c r="G184" s="2437" t="str">
        <f>INDEX(PT_DIFFERENTIATION_NTAR,MATCH(B184,PT_DIFFERENTIATION_NTAR_ID,0))</f>
        <v/>
      </c>
      <c r="H184" s="1872"/>
      <c r="I184" s="1749"/>
      <c r="J184" s="1783"/>
      <c r="K184" s="1788"/>
      <c r="L184" s="1872" t="s">
        <v>328</v>
      </c>
      <c r="M184" s="351"/>
      <c r="N184" s="344"/>
      <c r="O184" s="1634"/>
      <c r="P184" s="1634"/>
      <c r="AH184" s="1641">
        <v>0</v>
      </c>
    </row>
    <row s="1645" customFormat="1" customHeight="1" ht="18.75" hidden="1">
      <c r="A185" s="1790"/>
      <c r="B185" s="1790"/>
      <c r="C185" s="379" t="s">
        <v>1429</v>
      </c>
      <c r="D185" s="2472"/>
      <c r="E185" s="2214"/>
      <c r="F185" s="2393"/>
      <c r="G185" s="2437"/>
      <c r="H185" s="1510"/>
      <c r="I185" s="661" t="s">
        <v>1428</v>
      </c>
      <c r="J185" s="581"/>
      <c r="K185" s="1510"/>
      <c r="L185" s="224"/>
      <c r="M185" s="351"/>
      <c r="N185" s="344"/>
      <c r="O185" s="1634"/>
      <c r="P185" s="1634"/>
      <c r="AH185" s="1641">
        <v>0</v>
      </c>
    </row>
    <row s="1645" customFormat="1" customHeight="1" ht="0.75" hidden="1">
      <c r="A186" s="1790"/>
      <c r="B186" s="1790"/>
      <c r="C186" s="379" t="s">
        <v>1436</v>
      </c>
      <c r="D186" s="2472"/>
      <c r="E186" s="2214"/>
      <c r="F186" s="2393"/>
      <c r="G186" s="410"/>
      <c r="H186" s="1510"/>
      <c r="I186" s="661"/>
      <c r="J186" s="581"/>
      <c r="K186" s="1510"/>
      <c r="L186" s="224"/>
      <c r="M186" s="351"/>
      <c r="N186" s="344"/>
      <c r="O186" s="1634"/>
      <c r="P186" s="1634"/>
      <c r="AH186" s="1641">
        <v>0</v>
      </c>
    </row>
    <row s="1645" customFormat="1" customHeight="1" ht="18.75" hidden="1">
      <c r="A187" s="1790" t="s">
        <v>267</v>
      </c>
      <c r="B187" s="1790" t="s">
        <v>268</v>
      </c>
      <c r="C187" s="379"/>
      <c r="D187" s="2472"/>
      <c r="E187" s="2214"/>
      <c r="F187" s="239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7" t="str">
        <f>INDEX(PT_DIFFERENTIATION_NTAR,MATCH(B187,PT_DIFFERENTIATION_NTAR_ID,0))</f>
        <v/>
      </c>
      <c r="H187" s="1872"/>
      <c r="I187" s="1749"/>
      <c r="J187" s="1783"/>
      <c r="K187" s="1788"/>
      <c r="L187" s="1872" t="s">
        <v>328</v>
      </c>
      <c r="M187" s="351"/>
      <c r="N187" s="344"/>
      <c r="O187" s="1634"/>
      <c r="P187" s="1634"/>
      <c r="AH187" s="1641">
        <v>0</v>
      </c>
    </row>
    <row s="1645" customFormat="1" customHeight="1" ht="18.75" hidden="1">
      <c r="A188" s="1790"/>
      <c r="B188" s="1790"/>
      <c r="C188" s="379" t="s">
        <v>1429</v>
      </c>
      <c r="D188" s="2472"/>
      <c r="E188" s="2214"/>
      <c r="F188" s="2393"/>
      <c r="G188" s="2437"/>
      <c r="H188" s="1510"/>
      <c r="I188" s="661" t="s">
        <v>1428</v>
      </c>
      <c r="J188" s="581"/>
      <c r="K188" s="1510"/>
      <c r="L188" s="224"/>
      <c r="M188" s="351"/>
      <c r="N188" s="344"/>
      <c r="O188" s="1634"/>
      <c r="P188" s="1634"/>
      <c r="AH188" s="1641">
        <v>0</v>
      </c>
    </row>
    <row s="1645" customFormat="1" customHeight="1" ht="0.75" hidden="1">
      <c r="A189" s="1790"/>
      <c r="B189" s="1790"/>
      <c r="C189" s="379" t="s">
        <v>1436</v>
      </c>
      <c r="D189" s="2472"/>
      <c r="E189" s="2214"/>
      <c r="F189" s="2393"/>
      <c r="G189" s="410"/>
      <c r="H189" s="1510"/>
      <c r="I189" s="661"/>
      <c r="J189" s="581"/>
      <c r="K189" s="1510"/>
      <c r="L189" s="224"/>
      <c r="M189" s="351"/>
      <c r="N189" s="344"/>
      <c r="O189" s="1634"/>
      <c r="P189" s="1634"/>
      <c r="AH189" s="1641">
        <v>0</v>
      </c>
    </row>
    <row s="1645" customFormat="1" customHeight="1" ht="18.75" hidden="1">
      <c r="A190" s="1790" t="s">
        <v>272</v>
      </c>
      <c r="B190" s="1790" t="s">
        <v>273</v>
      </c>
      <c r="C190" s="379"/>
      <c r="D190" s="2472"/>
      <c r="E190" s="2214"/>
      <c r="F190" s="2393" t="str">
        <f>INDEX(PT_DIFFERENTIATION_VTAR,MATCH(A190,PT_DIFFERENTIATION_VTAR_ID,0))</f>
        <v>Тариф на горячую воду (горячее водоснабжение)</v>
      </c>
      <c r="G190" s="2437" t="str">
        <f>INDEX(PT_DIFFERENTIATION_NTAR,MATCH(B190,PT_DIFFERENTIATION_NTAR_ID,0))</f>
        <v/>
      </c>
      <c r="H190" s="1872"/>
      <c r="I190" s="1749"/>
      <c r="J190" s="1783"/>
      <c r="K190" s="1788"/>
      <c r="L190" s="1872" t="s">
        <v>328</v>
      </c>
      <c r="M190" s="351"/>
      <c r="N190" s="344"/>
      <c r="O190" s="1634"/>
      <c r="P190" s="1634"/>
      <c r="AH190" s="1641">
        <v>0</v>
      </c>
    </row>
    <row s="1645" customFormat="1" customHeight="1" ht="18.75" hidden="1">
      <c r="A191" s="1790"/>
      <c r="B191" s="1790"/>
      <c r="C191" s="379" t="s">
        <v>1429</v>
      </c>
      <c r="D191" s="2472"/>
      <c r="E191" s="2214"/>
      <c r="F191" s="2393"/>
      <c r="G191" s="2437"/>
      <c r="H191" s="1510"/>
      <c r="I191" s="661" t="s">
        <v>1428</v>
      </c>
      <c r="J191" s="581"/>
      <c r="K191" s="1510"/>
      <c r="L191" s="224"/>
      <c r="M191" s="351"/>
      <c r="N191" s="344"/>
      <c r="O191" s="1634"/>
      <c r="P191" s="1634"/>
      <c r="AH191" s="1641">
        <v>0</v>
      </c>
    </row>
    <row s="1645" customFormat="1" customHeight="1" ht="0.75" hidden="1">
      <c r="A192" s="1790"/>
      <c r="B192" s="1790"/>
      <c r="C192" s="379" t="s">
        <v>1436</v>
      </c>
      <c r="D192" s="2472"/>
      <c r="E192" s="2214"/>
      <c r="F192" s="2393"/>
      <c r="G192" s="410"/>
      <c r="H192" s="1510"/>
      <c r="I192" s="661"/>
      <c r="J192" s="581"/>
      <c r="K192" s="1510"/>
      <c r="L192" s="224"/>
      <c r="M192" s="351"/>
      <c r="N192" s="344"/>
      <c r="O192" s="1634"/>
      <c r="P192" s="1634"/>
      <c r="AH192" s="1641">
        <v>0</v>
      </c>
    </row>
    <row s="1645" customFormat="1" customHeight="1" ht="18.75" hidden="1">
      <c r="A193" s="1790" t="s">
        <v>277</v>
      </c>
      <c r="B193" s="1790" t="s">
        <v>278</v>
      </c>
      <c r="C193" s="379"/>
      <c r="D193" s="2472"/>
      <c r="E193" s="2214"/>
      <c r="F193" s="2393" t="str">
        <f>INDEX(PT_DIFFERENTIATION_VTAR,MATCH(A193,PT_DIFFERENTIATION_VTAR_ID,0))</f>
        <v>Тариф на транспортировку горячей воды</v>
      </c>
      <c r="G193" s="2437" t="str">
        <f>INDEX(PT_DIFFERENTIATION_NTAR,MATCH(B193,PT_DIFFERENTIATION_NTAR_ID,0))</f>
        <v/>
      </c>
      <c r="H193" s="1872"/>
      <c r="I193" s="1749"/>
      <c r="J193" s="1783"/>
      <c r="K193" s="1788"/>
      <c r="L193" s="1872" t="s">
        <v>328</v>
      </c>
      <c r="M193" s="351"/>
      <c r="N193" s="344"/>
      <c r="O193" s="1634"/>
      <c r="P193" s="1634"/>
      <c r="AH193" s="1641">
        <v>0</v>
      </c>
    </row>
    <row s="1645" customFormat="1" customHeight="1" ht="18.75" hidden="1">
      <c r="A194" s="1790"/>
      <c r="B194" s="1790"/>
      <c r="C194" s="379" t="s">
        <v>1429</v>
      </c>
      <c r="D194" s="2472"/>
      <c r="E194" s="2214"/>
      <c r="F194" s="2393"/>
      <c r="G194" s="2437"/>
      <c r="H194" s="1510"/>
      <c r="I194" s="661" t="s">
        <v>1428</v>
      </c>
      <c r="J194" s="581"/>
      <c r="K194" s="1510"/>
      <c r="L194" s="224"/>
      <c r="M194" s="351"/>
      <c r="N194" s="344"/>
      <c r="O194" s="1634"/>
      <c r="P194" s="1634"/>
      <c r="AH194" s="1641">
        <v>0</v>
      </c>
    </row>
    <row s="1645" customFormat="1" customHeight="1" ht="0.75" hidden="1">
      <c r="A195" s="1790"/>
      <c r="B195" s="1790"/>
      <c r="C195" s="379" t="s">
        <v>1436</v>
      </c>
      <c r="D195" s="2472"/>
      <c r="E195" s="2214"/>
      <c r="F195" s="2393"/>
      <c r="G195" s="410"/>
      <c r="H195" s="1510"/>
      <c r="I195" s="661"/>
      <c r="J195" s="581"/>
      <c r="K195" s="1510"/>
      <c r="L195" s="224"/>
      <c r="M195" s="351"/>
      <c r="N195" s="344"/>
      <c r="O195" s="1634"/>
      <c r="P195" s="1634"/>
      <c r="AH195" s="1641">
        <v>0</v>
      </c>
    </row>
    <row s="1645" customFormat="1" customHeight="1" ht="18.75" hidden="1">
      <c r="A196" s="1790" t="s">
        <v>282</v>
      </c>
      <c r="B196" s="1790" t="s">
        <v>283</v>
      </c>
      <c r="C196" s="379"/>
      <c r="D196" s="2472"/>
      <c r="E196" s="2214"/>
      <c r="F196" s="2393"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7" t="str">
        <f>INDEX(PT_DIFFERENTIATION_NTAR,MATCH(B196,PT_DIFFERENTIATION_NTAR_ID,0))</f>
        <v/>
      </c>
      <c r="H196" s="1872"/>
      <c r="I196" s="1749"/>
      <c r="J196" s="1783"/>
      <c r="K196" s="1788"/>
      <c r="L196" s="1872" t="s">
        <v>328</v>
      </c>
      <c r="M196" s="351"/>
      <c r="N196" s="344"/>
      <c r="O196" s="1634"/>
      <c r="P196" s="1634"/>
      <c r="AH196" s="1641">
        <v>0</v>
      </c>
    </row>
    <row s="1645" customFormat="1" customHeight="1" ht="18.75" hidden="1">
      <c r="A197" s="1790"/>
      <c r="B197" s="1790"/>
      <c r="C197" s="379" t="s">
        <v>1429</v>
      </c>
      <c r="D197" s="2472"/>
      <c r="E197" s="2214"/>
      <c r="F197" s="2393"/>
      <c r="G197" s="2437"/>
      <c r="H197" s="1510"/>
      <c r="I197" s="661" t="s">
        <v>1428</v>
      </c>
      <c r="J197" s="581"/>
      <c r="K197" s="1510"/>
      <c r="L197" s="224"/>
      <c r="M197" s="351"/>
      <c r="N197" s="344"/>
      <c r="O197" s="1634"/>
      <c r="P197" s="1634"/>
      <c r="AH197" s="1641">
        <v>0</v>
      </c>
    </row>
    <row s="1645" customFormat="1" customHeight="1" ht="0.75" hidden="1">
      <c r="A198" s="1790"/>
      <c r="B198" s="1790"/>
      <c r="C198" s="379" t="s">
        <v>1436</v>
      </c>
      <c r="D198" s="2472"/>
      <c r="E198" s="2214"/>
      <c r="F198" s="2393"/>
      <c r="G198" s="410"/>
      <c r="H198" s="1510"/>
      <c r="I198" s="661"/>
      <c r="J198" s="581"/>
      <c r="K198" s="1510"/>
      <c r="L198" s="224"/>
      <c r="M198" s="351"/>
      <c r="N198" s="344"/>
      <c r="O198" s="1634"/>
      <c r="P198" s="1634"/>
      <c r="AH198" s="1641">
        <v>0</v>
      </c>
    </row>
    <row s="1645" customFormat="1" customHeight="1" ht="18.75" hidden="1">
      <c r="A199" s="1790" t="s">
        <v>287</v>
      </c>
      <c r="B199" s="1790" t="s">
        <v>288</v>
      </c>
      <c r="C199" s="379"/>
      <c r="D199" s="2472"/>
      <c r="E199" s="2214"/>
      <c r="F199" s="2393" t="str">
        <f>INDEX(PT_DIFFERENTIATION_VTAR,MATCH(A199,PT_DIFFERENTIATION_VTAR_ID,0))</f>
        <v>Тариф на водоотведение</v>
      </c>
      <c r="G199" s="2437" t="str">
        <f>INDEX(PT_DIFFERENTIATION_NTAR,MATCH(B199,PT_DIFFERENTIATION_NTAR_ID,0))</f>
        <v/>
      </c>
      <c r="H199" s="1872"/>
      <c r="I199" s="1749"/>
      <c r="J199" s="1783"/>
      <c r="K199" s="1788"/>
      <c r="L199" s="1872" t="s">
        <v>328</v>
      </c>
      <c r="M199" s="351"/>
      <c r="N199" s="344"/>
      <c r="O199" s="1634"/>
      <c r="P199" s="1634"/>
      <c r="AH199" s="1641">
        <v>0</v>
      </c>
    </row>
    <row s="1645" customFormat="1" customHeight="1" ht="18.75" hidden="1">
      <c r="A200" s="1790"/>
      <c r="B200" s="1790"/>
      <c r="C200" s="379" t="s">
        <v>1429</v>
      </c>
      <c r="D200" s="2472"/>
      <c r="E200" s="2214"/>
      <c r="F200" s="2393"/>
      <c r="G200" s="2437"/>
      <c r="H200" s="1510"/>
      <c r="I200" s="661" t="s">
        <v>1428</v>
      </c>
      <c r="J200" s="581"/>
      <c r="K200" s="1510"/>
      <c r="L200" s="224"/>
      <c r="M200" s="351"/>
      <c r="N200" s="344"/>
      <c r="O200" s="1634"/>
      <c r="P200" s="1634"/>
      <c r="AH200" s="1641">
        <v>0</v>
      </c>
    </row>
    <row s="1645" customFormat="1" customHeight="1" ht="0.75" hidden="1">
      <c r="A201" s="1790"/>
      <c r="B201" s="1790"/>
      <c r="C201" s="379" t="s">
        <v>1436</v>
      </c>
      <c r="D201" s="2472"/>
      <c r="E201" s="2214"/>
      <c r="F201" s="2393"/>
      <c r="G201" s="410"/>
      <c r="H201" s="1510"/>
      <c r="I201" s="661"/>
      <c r="J201" s="581"/>
      <c r="K201" s="1510"/>
      <c r="L201" s="224"/>
      <c r="M201" s="351"/>
      <c r="N201" s="344"/>
      <c r="O201" s="1634"/>
      <c r="P201" s="1634"/>
      <c r="AH201" s="1641">
        <v>0</v>
      </c>
    </row>
    <row s="1645" customFormat="1" customHeight="1" ht="18.75" hidden="1">
      <c r="A202" s="1790" t="s">
        <v>292</v>
      </c>
      <c r="B202" s="1790" t="s">
        <v>293</v>
      </c>
      <c r="C202" s="379"/>
      <c r="D202" s="2472"/>
      <c r="E202" s="2214"/>
      <c r="F202" s="2393" t="str">
        <f>INDEX(PT_DIFFERENTIATION_VTAR,MATCH(A202,PT_DIFFERENTIATION_VTAR_ID,0))</f>
        <v>Тариф на транспортировку сточных вод</v>
      </c>
      <c r="G202" s="2437" t="str">
        <f>INDEX(PT_DIFFERENTIATION_NTAR,MATCH(B202,PT_DIFFERENTIATION_NTAR_ID,0))</f>
        <v/>
      </c>
      <c r="H202" s="1872"/>
      <c r="I202" s="1749"/>
      <c r="J202" s="1783"/>
      <c r="K202" s="1788"/>
      <c r="L202" s="1872" t="s">
        <v>328</v>
      </c>
      <c r="M202" s="351"/>
      <c r="N202" s="344"/>
      <c r="O202" s="1634"/>
      <c r="P202" s="1634"/>
      <c r="AH202" s="1641">
        <v>0</v>
      </c>
    </row>
    <row s="1645" customFormat="1" customHeight="1" ht="18.75" hidden="1">
      <c r="A203" s="1790"/>
      <c r="B203" s="1790"/>
      <c r="C203" s="379" t="s">
        <v>1429</v>
      </c>
      <c r="D203" s="2472"/>
      <c r="E203" s="2214"/>
      <c r="F203" s="2393"/>
      <c r="G203" s="2437"/>
      <c r="H203" s="1510"/>
      <c r="I203" s="661" t="s">
        <v>1428</v>
      </c>
      <c r="J203" s="581"/>
      <c r="K203" s="1510"/>
      <c r="L203" s="224"/>
      <c r="M203" s="351"/>
      <c r="N203" s="344"/>
      <c r="O203" s="1634"/>
      <c r="P203" s="1634"/>
      <c r="AH203" s="1641">
        <v>0</v>
      </c>
    </row>
    <row s="1645" customFormat="1" customHeight="1" ht="0.75" hidden="1">
      <c r="A204" s="1790"/>
      <c r="B204" s="1790"/>
      <c r="C204" s="379" t="s">
        <v>1436</v>
      </c>
      <c r="D204" s="2472"/>
      <c r="E204" s="2214"/>
      <c r="F204" s="2393"/>
      <c r="G204" s="410"/>
      <c r="H204" s="1510"/>
      <c r="I204" s="661"/>
      <c r="J204" s="581"/>
      <c r="K204" s="1510"/>
      <c r="L204" s="224"/>
      <c r="M204" s="351"/>
      <c r="N204" s="344"/>
      <c r="O204" s="1634"/>
      <c r="P204" s="1634"/>
      <c r="AH204" s="1641">
        <v>0</v>
      </c>
    </row>
    <row s="1645" customFormat="1" customHeight="1" ht="18.75" hidden="1">
      <c r="A205" s="1790" t="s">
        <v>297</v>
      </c>
      <c r="B205" s="1790" t="s">
        <v>298</v>
      </c>
      <c r="C205" s="379"/>
      <c r="D205" s="2472"/>
      <c r="E205" s="2214"/>
      <c r="F205" s="2393" t="str">
        <f>INDEX(PT_DIFFERENTIATION_VTAR,MATCH(A205,PT_DIFFERENTIATION_VTAR_ID,0))</f>
        <v>Тариф на подключение (технологическое присоединение) к централизованной системе водоотведения</v>
      </c>
      <c r="G205" s="2437" t="str">
        <f>INDEX(PT_DIFFERENTIATION_NTAR,MATCH(B205,PT_DIFFERENTIATION_NTAR_ID,0))</f>
        <v/>
      </c>
      <c r="H205" s="1872"/>
      <c r="I205" s="1749"/>
      <c r="J205" s="1783"/>
      <c r="K205" s="1788"/>
      <c r="L205" s="1872" t="s">
        <v>328</v>
      </c>
      <c r="M205" s="351"/>
      <c r="N205" s="344"/>
      <c r="O205" s="1634"/>
      <c r="P205" s="1634"/>
      <c r="AH205" s="1641">
        <v>0</v>
      </c>
    </row>
    <row s="1645" customFormat="1" customHeight="1" ht="18.75" hidden="1">
      <c r="A206" s="1790"/>
      <c r="B206" s="1790"/>
      <c r="C206" s="379" t="s">
        <v>1429</v>
      </c>
      <c r="D206" s="2472"/>
      <c r="E206" s="2214"/>
      <c r="F206" s="2393"/>
      <c r="G206" s="2437"/>
      <c r="H206" s="1510"/>
      <c r="I206" s="661" t="s">
        <v>1428</v>
      </c>
      <c r="J206" s="581"/>
      <c r="K206" s="1510"/>
      <c r="L206" s="224"/>
      <c r="M206" s="351"/>
      <c r="N206" s="344"/>
      <c r="O206" s="1634"/>
      <c r="P206" s="1634"/>
      <c r="AH206" s="1641">
        <v>0</v>
      </c>
    </row>
    <row s="1645" customFormat="1" customHeight="1" ht="1.05">
      <c r="A207" s="1790"/>
      <c r="B207" s="1790"/>
      <c r="C207" s="379" t="s">
        <v>1436</v>
      </c>
      <c r="D207" s="2472"/>
      <c r="E207" s="2214"/>
      <c r="F207" s="2393"/>
      <c r="G207" s="410"/>
      <c r="H207" s="1510"/>
      <c r="I207" s="661"/>
      <c r="J207" s="581"/>
      <c r="K207" s="1510"/>
      <c r="L207" s="224"/>
      <c r="M207" s="351"/>
      <c r="N207" s="344"/>
      <c r="O207" s="1634"/>
      <c r="P207" s="1634"/>
      <c r="AH207" s="1641">
        <v>1</v>
      </c>
    </row>
    <row customHeight="1" ht="27.299999999999997">
      <c r="A208" s="1790"/>
      <c r="B208" s="1790"/>
      <c r="D208" s="386"/>
      <c r="E208" s="157" t="s">
        <v>125</v>
      </c>
      <c r="F208" s="247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70"/>
      <c r="H208" s="2470"/>
      <c r="I208" s="2470"/>
      <c r="J208" s="2470"/>
      <c r="K208" s="2470"/>
      <c r="L208" s="2470"/>
      <c r="M208" s="307"/>
      <c r="N208" s="344"/>
      <c r="AH208" s="384">
        <v>26</v>
      </c>
    </row>
    <row s="1645" customFormat="1" customHeight="1" ht="60.75" hidden="1">
      <c r="A209" s="1790" t="s">
        <v>179</v>
      </c>
      <c r="B209" s="1790" t="s">
        <v>180</v>
      </c>
      <c r="C209" s="379"/>
      <c r="D209" s="2472"/>
      <c r="E209" s="2214"/>
      <c r="F209" s="239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7" t="str">
        <f>INDEX(PT_DIFFERENTIATION_NTAR,MATCH(B209,PT_DIFFERENTIATION_NTAR_ID,0))</f>
        <v/>
      </c>
      <c r="H209" s="1872"/>
      <c r="I209" s="1749"/>
      <c r="J209" s="1783"/>
      <c r="K209" s="1788"/>
      <c r="L209" s="1872" t="s">
        <v>328</v>
      </c>
      <c r="M209" s="217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44"/>
      <c r="O209" s="1634"/>
      <c r="P209" s="1634"/>
      <c r="AH209" s="1641">
        <v>0</v>
      </c>
    </row>
    <row s="1645" customFormat="1" customHeight="1" ht="18.75" hidden="1">
      <c r="A210" s="1790"/>
      <c r="B210" s="1790"/>
      <c r="C210" s="379" t="s">
        <v>1429</v>
      </c>
      <c r="D210" s="2472"/>
      <c r="E210" s="2214"/>
      <c r="F210" s="2393"/>
      <c r="G210" s="2437"/>
      <c r="H210" s="1510"/>
      <c r="I210" s="661" t="s">
        <v>1428</v>
      </c>
      <c r="J210" s="581"/>
      <c r="K210" s="1510"/>
      <c r="L210" s="224"/>
      <c r="M210" s="2180"/>
      <c r="N210" s="344"/>
      <c r="O210" s="1634"/>
      <c r="P210" s="1634"/>
      <c r="AH210" s="1641">
        <v>0</v>
      </c>
    </row>
    <row s="1645" customFormat="1" customHeight="1" ht="0.75" hidden="1">
      <c r="A211" s="1790"/>
      <c r="B211" s="1790"/>
      <c r="C211" s="379" t="s">
        <v>1436</v>
      </c>
      <c r="D211" s="2472"/>
      <c r="E211" s="2214"/>
      <c r="F211" s="2393"/>
      <c r="G211" s="410"/>
      <c r="H211" s="1510"/>
      <c r="I211" s="661"/>
      <c r="J211" s="581"/>
      <c r="K211" s="1510"/>
      <c r="L211" s="224"/>
      <c r="M211" s="2180"/>
      <c r="N211" s="344"/>
      <c r="O211" s="1634"/>
      <c r="P211" s="1634"/>
      <c r="AH211" s="1641">
        <v>0</v>
      </c>
    </row>
    <row s="1645" customFormat="1" customHeight="1" ht="45" hidden="1">
      <c r="A212" s="1790" t="s">
        <v>184</v>
      </c>
      <c r="B212" s="1790" t="s">
        <v>185</v>
      </c>
      <c r="C212" s="379"/>
      <c r="D212" s="2472"/>
      <c r="E212" s="2214"/>
      <c r="F212" s="2393" t="str">
        <f>INDEX(PT_DIFFERENTIATION_VTAR,MATCH(A212,PT_DIFFERENTIATION_VTAR_ID,0))</f>
        <v/>
      </c>
      <c r="G212" s="2437" t="str">
        <f>INDEX(PT_DIFFERENTIATION_NTAR,MATCH(B212,PT_DIFFERENTIATION_NTAR_ID,0))</f>
        <v/>
      </c>
      <c r="H212" s="1872"/>
      <c r="I212" s="1749"/>
      <c r="J212" s="1783"/>
      <c r="K212" s="1788"/>
      <c r="L212" s="1872" t="s">
        <v>328</v>
      </c>
      <c r="M212" s="2181"/>
      <c r="N212" s="344"/>
      <c r="O212" s="1634"/>
      <c r="P212" s="1634"/>
      <c r="AH212" s="1641">
        <v>0</v>
      </c>
    </row>
    <row s="1645" customFormat="1" customHeight="1" ht="18.75" hidden="1">
      <c r="A213" s="1790"/>
      <c r="B213" s="1790"/>
      <c r="C213" s="379" t="s">
        <v>1429</v>
      </c>
      <c r="D213" s="2472"/>
      <c r="E213" s="2214"/>
      <c r="F213" s="2393"/>
      <c r="G213" s="2437"/>
      <c r="H213" s="1510"/>
      <c r="I213" s="661" t="s">
        <v>1428</v>
      </c>
      <c r="J213" s="581"/>
      <c r="K213" s="1510"/>
      <c r="L213" s="224"/>
      <c r="M213" s="1871"/>
      <c r="N213" s="344"/>
      <c r="O213" s="1634"/>
      <c r="P213" s="1634"/>
      <c r="AH213" s="1641">
        <v>0</v>
      </c>
    </row>
    <row s="1645" customFormat="1" customHeight="1" ht="0.75" hidden="1">
      <c r="A214" s="1790"/>
      <c r="B214" s="1790"/>
      <c r="C214" s="379" t="s">
        <v>1436</v>
      </c>
      <c r="D214" s="2472"/>
      <c r="E214" s="2214"/>
      <c r="F214" s="2393"/>
      <c r="G214" s="410"/>
      <c r="H214" s="1510"/>
      <c r="I214" s="661"/>
      <c r="J214" s="581"/>
      <c r="K214" s="1510"/>
      <c r="L214" s="224"/>
      <c r="M214" s="351"/>
      <c r="N214" s="344"/>
      <c r="O214" s="1634"/>
      <c r="P214" s="1634"/>
      <c r="AH214" s="1641">
        <v>0</v>
      </c>
    </row>
    <row s="1645" customFormat="1" customHeight="1" ht="45" hidden="1">
      <c r="A215" s="1790" t="s">
        <v>191</v>
      </c>
      <c r="B215" s="1790" t="s">
        <v>192</v>
      </c>
      <c r="C215" s="379"/>
      <c r="D215" s="2472"/>
      <c r="E215" s="2214"/>
      <c r="F215" s="239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7" t="str">
        <f>INDEX(PT_DIFFERENTIATION_NTAR,MATCH(B215,PT_DIFFERENTIATION_NTAR_ID,0))</f>
        <v/>
      </c>
      <c r="H215" s="1872"/>
      <c r="I215" s="1749"/>
      <c r="J215" s="1783"/>
      <c r="K215" s="1788"/>
      <c r="L215" s="1872" t="s">
        <v>328</v>
      </c>
      <c r="M215" s="351"/>
      <c r="N215" s="344"/>
      <c r="O215" s="1634"/>
      <c r="P215" s="1634"/>
      <c r="AH215" s="1641">
        <v>0</v>
      </c>
    </row>
    <row s="1645" customFormat="1" customHeight="1" ht="18.75" hidden="1">
      <c r="A216" s="1790"/>
      <c r="B216" s="1790"/>
      <c r="C216" s="379" t="s">
        <v>1429</v>
      </c>
      <c r="D216" s="2472"/>
      <c r="E216" s="2214"/>
      <c r="F216" s="2393"/>
      <c r="G216" s="2437"/>
      <c r="H216" s="1510"/>
      <c r="I216" s="661" t="s">
        <v>1428</v>
      </c>
      <c r="J216" s="581"/>
      <c r="K216" s="1510"/>
      <c r="L216" s="224"/>
      <c r="M216" s="351"/>
      <c r="N216" s="344"/>
      <c r="O216" s="1634"/>
      <c r="P216" s="1634"/>
      <c r="AH216" s="1641">
        <v>0</v>
      </c>
    </row>
    <row s="1645" customFormat="1" customHeight="1" ht="0.75" hidden="1">
      <c r="A217" s="1790"/>
      <c r="B217" s="1790"/>
      <c r="C217" s="379" t="s">
        <v>1436</v>
      </c>
      <c r="D217" s="2472"/>
      <c r="E217" s="2214"/>
      <c r="F217" s="2393"/>
      <c r="G217" s="410"/>
      <c r="H217" s="1510"/>
      <c r="I217" s="661"/>
      <c r="J217" s="581"/>
      <c r="K217" s="1510"/>
      <c r="L217" s="224"/>
      <c r="M217" s="351"/>
      <c r="N217" s="344"/>
      <c r="O217" s="1634"/>
      <c r="P217" s="1634"/>
      <c r="AH217" s="1641">
        <v>0</v>
      </c>
    </row>
    <row s="1645" customFormat="1" customHeight="1" ht="45" hidden="1">
      <c r="A218" s="1790" t="s">
        <v>197</v>
      </c>
      <c r="B218" s="1790" t="s">
        <v>198</v>
      </c>
      <c r="C218" s="379"/>
      <c r="D218" s="2472"/>
      <c r="E218" s="2214"/>
      <c r="F218" s="239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7" t="str">
        <f>INDEX(PT_DIFFERENTIATION_NTAR,MATCH(B218,PT_DIFFERENTIATION_NTAR_ID,0))</f>
        <v/>
      </c>
      <c r="H218" s="1872"/>
      <c r="I218" s="1749"/>
      <c r="J218" s="1783"/>
      <c r="K218" s="1788"/>
      <c r="L218" s="1872" t="s">
        <v>328</v>
      </c>
      <c r="M218" s="351"/>
      <c r="N218" s="344"/>
      <c r="O218" s="1634"/>
      <c r="P218" s="1634"/>
      <c r="AH218" s="1641">
        <v>0</v>
      </c>
    </row>
    <row s="1645" customFormat="1" customHeight="1" ht="18.75" hidden="1">
      <c r="A219" s="1790"/>
      <c r="B219" s="1790"/>
      <c r="C219" s="379" t="s">
        <v>1429</v>
      </c>
      <c r="D219" s="2472"/>
      <c r="E219" s="2214"/>
      <c r="F219" s="2393"/>
      <c r="G219" s="2437"/>
      <c r="H219" s="1510"/>
      <c r="I219" s="661" t="s">
        <v>1428</v>
      </c>
      <c r="J219" s="581"/>
      <c r="K219" s="1510"/>
      <c r="L219" s="224"/>
      <c r="M219" s="351"/>
      <c r="N219" s="344"/>
      <c r="O219" s="1634"/>
      <c r="P219" s="1634"/>
      <c r="AH219" s="1641">
        <v>0</v>
      </c>
    </row>
    <row s="1645" customFormat="1" customHeight="1" ht="0.75" hidden="1">
      <c r="A220" s="1790"/>
      <c r="B220" s="1790"/>
      <c r="C220" s="379" t="s">
        <v>1436</v>
      </c>
      <c r="D220" s="2472"/>
      <c r="E220" s="2214"/>
      <c r="F220" s="2393"/>
      <c r="G220" s="410"/>
      <c r="H220" s="1510"/>
      <c r="I220" s="661"/>
      <c r="J220" s="581"/>
      <c r="K220" s="1510"/>
      <c r="L220" s="224"/>
      <c r="M220" s="351"/>
      <c r="N220" s="344"/>
      <c r="O220" s="1634"/>
      <c r="P220" s="1634"/>
      <c r="AH220" s="1641">
        <v>0</v>
      </c>
    </row>
    <row s="1645" customFormat="1" customHeight="1" ht="18.75" hidden="1">
      <c r="A221" s="1790" t="s">
        <v>203</v>
      </c>
      <c r="B221" s="1790" t="s">
        <v>204</v>
      </c>
      <c r="C221" s="379"/>
      <c r="D221" s="2472"/>
      <c r="E221" s="2214"/>
      <c r="F221" s="2393" t="str">
        <f>INDEX(PT_DIFFERENTIATION_VTAR,MATCH(A221,PT_DIFFERENTIATION_VTAR_ID,0))</f>
        <v>Тарифы на услуги по передаче тепловой энергии</v>
      </c>
      <c r="G221" s="2437" t="str">
        <f>INDEX(PT_DIFFERENTIATION_NTAR,MATCH(B221,PT_DIFFERENTIATION_NTAR_ID,0))</f>
        <v/>
      </c>
      <c r="H221" s="1872"/>
      <c r="I221" s="1749"/>
      <c r="J221" s="1783"/>
      <c r="K221" s="1788"/>
      <c r="L221" s="1872" t="s">
        <v>328</v>
      </c>
      <c r="M221" s="351"/>
      <c r="N221" s="344"/>
      <c r="O221" s="1634"/>
      <c r="P221" s="1634"/>
      <c r="AH221" s="1641">
        <v>0</v>
      </c>
    </row>
    <row s="1645" customFormat="1" customHeight="1" ht="18.75" hidden="1">
      <c r="A222" s="1790"/>
      <c r="B222" s="1790"/>
      <c r="C222" s="379" t="s">
        <v>1429</v>
      </c>
      <c r="D222" s="2472"/>
      <c r="E222" s="2214"/>
      <c r="F222" s="2393"/>
      <c r="G222" s="2437"/>
      <c r="H222" s="1510"/>
      <c r="I222" s="661" t="s">
        <v>1428</v>
      </c>
      <c r="J222" s="581"/>
      <c r="K222" s="1510"/>
      <c r="L222" s="224"/>
      <c r="M222" s="351"/>
      <c r="N222" s="344"/>
      <c r="O222" s="1634"/>
      <c r="P222" s="1634"/>
      <c r="AH222" s="1641">
        <v>0</v>
      </c>
    </row>
    <row s="1645" customFormat="1" customHeight="1" ht="0.75" hidden="1">
      <c r="A223" s="1790"/>
      <c r="B223" s="1790"/>
      <c r="C223" s="379" t="s">
        <v>1436</v>
      </c>
      <c r="D223" s="2472"/>
      <c r="E223" s="2214"/>
      <c r="F223" s="2393"/>
      <c r="G223" s="410"/>
      <c r="H223" s="1510"/>
      <c r="I223" s="661"/>
      <c r="J223" s="581"/>
      <c r="K223" s="1510"/>
      <c r="L223" s="224"/>
      <c r="M223" s="351"/>
      <c r="N223" s="344"/>
      <c r="O223" s="1634"/>
      <c r="P223" s="1634"/>
      <c r="AH223" s="1641">
        <v>0</v>
      </c>
    </row>
    <row s="1645" customFormat="1" customHeight="1" ht="18.75" hidden="1">
      <c r="A224" s="1790" t="s">
        <v>209</v>
      </c>
      <c r="B224" s="1790" t="s">
        <v>210</v>
      </c>
      <c r="C224" s="379"/>
      <c r="D224" s="2472"/>
      <c r="E224" s="2214"/>
      <c r="F224" s="2393" t="str">
        <f>INDEX(PT_DIFFERENTIATION_VTAR,MATCH(A224,PT_DIFFERENTIATION_VTAR_ID,0))</f>
        <v>Тарифы на услуги по передаче теплоносителя</v>
      </c>
      <c r="G224" s="2437" t="str">
        <f>INDEX(PT_DIFFERENTIATION_NTAR,MATCH(B224,PT_DIFFERENTIATION_NTAR_ID,0))</f>
        <v/>
      </c>
      <c r="H224" s="1872"/>
      <c r="I224" s="1749"/>
      <c r="J224" s="1783"/>
      <c r="K224" s="1788"/>
      <c r="L224" s="1872" t="s">
        <v>328</v>
      </c>
      <c r="M224" s="351"/>
      <c r="N224" s="344"/>
      <c r="O224" s="1634"/>
      <c r="P224" s="1634"/>
      <c r="AH224" s="1641">
        <v>0</v>
      </c>
    </row>
    <row s="1645" customFormat="1" customHeight="1" ht="18.75" hidden="1">
      <c r="A225" s="1790"/>
      <c r="B225" s="1790"/>
      <c r="C225" s="379" t="s">
        <v>1429</v>
      </c>
      <c r="D225" s="2472"/>
      <c r="E225" s="2214"/>
      <c r="F225" s="2393"/>
      <c r="G225" s="2437"/>
      <c r="H225" s="1510"/>
      <c r="I225" s="661" t="s">
        <v>1428</v>
      </c>
      <c r="J225" s="581"/>
      <c r="K225" s="1510"/>
      <c r="L225" s="224"/>
      <c r="M225" s="351"/>
      <c r="N225" s="344"/>
      <c r="O225" s="1634"/>
      <c r="P225" s="1634"/>
      <c r="AH225" s="1641">
        <v>0</v>
      </c>
    </row>
    <row s="1645" customFormat="1" customHeight="1" ht="0.75" hidden="1">
      <c r="A226" s="1790"/>
      <c r="B226" s="1790"/>
      <c r="C226" s="379" t="s">
        <v>1436</v>
      </c>
      <c r="D226" s="2472"/>
      <c r="E226" s="2214"/>
      <c r="F226" s="2393"/>
      <c r="G226" s="410"/>
      <c r="H226" s="1510"/>
      <c r="I226" s="661"/>
      <c r="J226" s="581"/>
      <c r="K226" s="1510"/>
      <c r="L226" s="224"/>
      <c r="M226" s="351"/>
      <c r="N226" s="344"/>
      <c r="O226" s="1634"/>
      <c r="P226" s="1634"/>
      <c r="AH226" s="1641">
        <v>0</v>
      </c>
    </row>
    <row s="1645" customFormat="1" customHeight="1" ht="18.75" hidden="1">
      <c r="A227" s="1790" t="s">
        <v>215</v>
      </c>
      <c r="B227" s="1790" t="s">
        <v>216</v>
      </c>
      <c r="C227" s="379"/>
      <c r="D227" s="2472"/>
      <c r="E227" s="2214"/>
      <c r="F227" s="239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7" t="str">
        <f>INDEX(PT_DIFFERENTIATION_NTAR,MATCH(B227,PT_DIFFERENTIATION_NTAR_ID,0))</f>
        <v/>
      </c>
      <c r="H227" s="1872"/>
      <c r="I227" s="1749"/>
      <c r="J227" s="1783"/>
      <c r="K227" s="1788"/>
      <c r="L227" s="1872" t="s">
        <v>328</v>
      </c>
      <c r="M227" s="351"/>
      <c r="N227" s="344"/>
      <c r="O227" s="1634"/>
      <c r="P227" s="1634"/>
      <c r="AH227" s="1641">
        <v>0</v>
      </c>
    </row>
    <row s="1645" customFormat="1" customHeight="1" ht="18.75" hidden="1">
      <c r="A228" s="1790"/>
      <c r="B228" s="1790"/>
      <c r="C228" s="379" t="s">
        <v>1429</v>
      </c>
      <c r="D228" s="2472"/>
      <c r="E228" s="2214"/>
      <c r="F228" s="2393"/>
      <c r="G228" s="2437"/>
      <c r="H228" s="1510"/>
      <c r="I228" s="661" t="s">
        <v>1428</v>
      </c>
      <c r="J228" s="581"/>
      <c r="K228" s="1510"/>
      <c r="L228" s="224"/>
      <c r="M228" s="351"/>
      <c r="N228" s="344"/>
      <c r="O228" s="1634"/>
      <c r="P228" s="1634"/>
      <c r="AH228" s="1641">
        <v>0</v>
      </c>
    </row>
    <row s="1645" customFormat="1" customHeight="1" ht="0.75" hidden="1">
      <c r="A229" s="1790"/>
      <c r="B229" s="1790"/>
      <c r="C229" s="379" t="s">
        <v>1436</v>
      </c>
      <c r="D229" s="2472"/>
      <c r="E229" s="2214"/>
      <c r="F229" s="2393"/>
      <c r="G229" s="410"/>
      <c r="H229" s="1510"/>
      <c r="I229" s="661"/>
      <c r="J229" s="581"/>
      <c r="K229" s="1510"/>
      <c r="L229" s="224"/>
      <c r="M229" s="351"/>
      <c r="N229" s="344"/>
      <c r="O229" s="1634"/>
      <c r="P229" s="1634"/>
      <c r="AH229" s="1641">
        <v>0</v>
      </c>
    </row>
    <row s="1645" customFormat="1" customHeight="1" ht="18.75" hidden="1">
      <c r="A230" s="1790" t="s">
        <v>221</v>
      </c>
      <c r="B230" s="1790" t="s">
        <v>222</v>
      </c>
      <c r="C230" s="379"/>
      <c r="D230" s="2472"/>
      <c r="E230" s="2214"/>
      <c r="F230" s="2393" t="str">
        <f>INDEX(PT_DIFFERENTIATION_VTAR,MATCH(A230,PT_DIFFERENTIATION_VTAR_ID,0))</f>
        <v>Плата за подключение (технологическое присоединение) к системе теплоснабжения</v>
      </c>
      <c r="G230" s="2437" t="str">
        <f>INDEX(PT_DIFFERENTIATION_NTAR,MATCH(B230,PT_DIFFERENTIATION_NTAR_ID,0))</f>
        <v/>
      </c>
      <c r="H230" s="1872"/>
      <c r="I230" s="1749"/>
      <c r="J230" s="1783"/>
      <c r="K230" s="1788"/>
      <c r="L230" s="1872" t="s">
        <v>328</v>
      </c>
      <c r="M230" s="351"/>
      <c r="N230" s="344"/>
      <c r="O230" s="1634"/>
      <c r="P230" s="1634"/>
      <c r="AH230" s="1641">
        <v>0</v>
      </c>
    </row>
    <row s="1645" customFormat="1" customHeight="1" ht="18.75" hidden="1">
      <c r="A231" s="1790"/>
      <c r="B231" s="1790"/>
      <c r="C231" s="379" t="s">
        <v>1429</v>
      </c>
      <c r="D231" s="2472"/>
      <c r="E231" s="2214"/>
      <c r="F231" s="2393"/>
      <c r="G231" s="2437"/>
      <c r="H231" s="1510"/>
      <c r="I231" s="661" t="s">
        <v>1428</v>
      </c>
      <c r="J231" s="581"/>
      <c r="K231" s="1510"/>
      <c r="L231" s="224"/>
      <c r="M231" s="351"/>
      <c r="N231" s="344"/>
      <c r="O231" s="1634"/>
      <c r="P231" s="1634"/>
      <c r="AH231" s="1641">
        <v>0</v>
      </c>
    </row>
    <row s="1645" customFormat="1" customHeight="1" ht="0.75" hidden="1">
      <c r="A232" s="1790"/>
      <c r="B232" s="1790"/>
      <c r="C232" s="379" t="s">
        <v>1436</v>
      </c>
      <c r="D232" s="2472"/>
      <c r="E232" s="2214"/>
      <c r="F232" s="2393"/>
      <c r="G232" s="410"/>
      <c r="H232" s="1510"/>
      <c r="I232" s="661"/>
      <c r="J232" s="581"/>
      <c r="K232" s="1510"/>
      <c r="L232" s="224"/>
      <c r="M232" s="351"/>
      <c r="N232" s="344"/>
      <c r="O232" s="1634"/>
      <c r="P232" s="1634"/>
      <c r="AH232" s="1641">
        <v>0</v>
      </c>
    </row>
    <row s="1645" customFormat="1" customHeight="1" ht="18.75" hidden="1">
      <c r="A233" s="1790" t="s">
        <v>227</v>
      </c>
      <c r="B233" s="1790" t="s">
        <v>228</v>
      </c>
      <c r="C233" s="379"/>
      <c r="D233" s="2472"/>
      <c r="E233" s="2214"/>
      <c r="F233" s="2393" t="str">
        <f>INDEX(PT_DIFFERENTIATION_VTAR,MATCH(A233,PT_DIFFERENTIATION_VTAR_ID,0))</f>
        <v>Плата за подключение (технологическое присоединение) к системе теплоснабжения (индивидуальная)</v>
      </c>
      <c r="G233" s="2437" t="str">
        <f>INDEX(PT_DIFFERENTIATION_NTAR,MATCH(B233,PT_DIFFERENTIATION_NTAR_ID,0))</f>
        <v/>
      </c>
      <c r="H233" s="1999"/>
      <c r="I233" s="1749"/>
      <c r="J233" s="1783"/>
      <c r="K233" s="1788"/>
      <c r="L233" s="1999" t="s">
        <v>328</v>
      </c>
      <c r="M233" s="351"/>
      <c r="N233" s="344"/>
      <c r="O233" s="1634"/>
      <c r="P233" s="1634"/>
      <c r="AH233" s="1641">
        <v>0</v>
      </c>
    </row>
    <row s="1645" customFormat="1" customHeight="1" ht="18.75" hidden="1">
      <c r="A234" s="1790"/>
      <c r="B234" s="1790"/>
      <c r="C234" s="379" t="s">
        <v>1429</v>
      </c>
      <c r="D234" s="2472"/>
      <c r="E234" s="2214"/>
      <c r="F234" s="2393"/>
      <c r="G234" s="2437"/>
      <c r="H234" s="1510"/>
      <c r="I234" s="661" t="s">
        <v>1428</v>
      </c>
      <c r="J234" s="581"/>
      <c r="K234" s="1510"/>
      <c r="L234" s="224"/>
      <c r="M234" s="351"/>
      <c r="N234" s="344"/>
      <c r="O234" s="1634"/>
      <c r="P234" s="1634"/>
      <c r="AH234" s="1641">
        <v>0</v>
      </c>
    </row>
    <row s="1645" customFormat="1" customHeight="1" ht="0.75" hidden="1">
      <c r="A235" s="1790"/>
      <c r="B235" s="1790"/>
      <c r="C235" s="379" t="s">
        <v>1436</v>
      </c>
      <c r="D235" s="2472"/>
      <c r="E235" s="2214"/>
      <c r="F235" s="2393"/>
      <c r="G235" s="410"/>
      <c r="H235" s="1510"/>
      <c r="I235" s="661"/>
      <c r="J235" s="581"/>
      <c r="K235" s="1510"/>
      <c r="L235" s="224"/>
      <c r="M235" s="351"/>
      <c r="N235" s="344"/>
      <c r="O235" s="1634"/>
      <c r="P235" s="1634"/>
      <c r="AH235" s="1641">
        <v>0</v>
      </c>
    </row>
    <row s="1645" customFormat="1" customHeight="1" ht="18.75" hidden="1">
      <c r="A236" s="1790" t="s">
        <v>247</v>
      </c>
      <c r="B236" s="1790" t="s">
        <v>248</v>
      </c>
      <c r="C236" s="379"/>
      <c r="D236" s="2472"/>
      <c r="E236" s="2214"/>
      <c r="F236" s="2393" t="str">
        <f>INDEX(PT_DIFFERENTIATION_VTAR,MATCH(A236,PT_DIFFERENTIATION_VTAR_ID,0))</f>
        <v>Тариф на питьевую воду (питьевое водоснабжение)</v>
      </c>
      <c r="G236" s="2437" t="str">
        <f>INDEX(PT_DIFFERENTIATION_NTAR,MATCH(B236,PT_DIFFERENTIATION_NTAR_ID,0))</f>
        <v/>
      </c>
      <c r="H236" s="1872"/>
      <c r="I236" s="1749"/>
      <c r="J236" s="1783"/>
      <c r="K236" s="1788"/>
      <c r="L236" s="1872" t="s">
        <v>328</v>
      </c>
      <c r="M236" s="351"/>
      <c r="N236" s="344"/>
      <c r="O236" s="1634"/>
      <c r="P236" s="1634"/>
      <c r="AH236" s="1641">
        <v>0</v>
      </c>
    </row>
    <row s="1645" customFormat="1" customHeight="1" ht="18.75" hidden="1">
      <c r="A237" s="1790"/>
      <c r="B237" s="1790"/>
      <c r="C237" s="379" t="s">
        <v>1429</v>
      </c>
      <c r="D237" s="2472"/>
      <c r="E237" s="2214"/>
      <c r="F237" s="2393"/>
      <c r="G237" s="2437"/>
      <c r="H237" s="1510"/>
      <c r="I237" s="661" t="s">
        <v>1428</v>
      </c>
      <c r="J237" s="581"/>
      <c r="K237" s="1510"/>
      <c r="L237" s="224"/>
      <c r="M237" s="351"/>
      <c r="N237" s="344"/>
      <c r="O237" s="1634"/>
      <c r="P237" s="1634"/>
      <c r="AH237" s="1641">
        <v>0</v>
      </c>
    </row>
    <row s="1645" customFormat="1" customHeight="1" ht="0.75" hidden="1">
      <c r="A238" s="1790"/>
      <c r="B238" s="1790"/>
      <c r="C238" s="379" t="s">
        <v>1436</v>
      </c>
      <c r="D238" s="2472"/>
      <c r="E238" s="2214"/>
      <c r="F238" s="2393"/>
      <c r="G238" s="410"/>
      <c r="H238" s="1510"/>
      <c r="I238" s="661"/>
      <c r="J238" s="581"/>
      <c r="K238" s="1510"/>
      <c r="L238" s="224"/>
      <c r="M238" s="351"/>
      <c r="N238" s="344"/>
      <c r="O238" s="1634"/>
      <c r="P238" s="1634"/>
      <c r="AH238" s="1641">
        <v>0</v>
      </c>
    </row>
    <row s="1645" customFormat="1" customHeight="1" ht="18.75" hidden="1">
      <c r="A239" s="1790" t="s">
        <v>252</v>
      </c>
      <c r="B239" s="1790" t="s">
        <v>253</v>
      </c>
      <c r="C239" s="379"/>
      <c r="D239" s="2472"/>
      <c r="E239" s="2214"/>
      <c r="F239" s="2393" t="str">
        <f>INDEX(PT_DIFFERENTIATION_VTAR,MATCH(A239,PT_DIFFERENTIATION_VTAR_ID,0))</f>
        <v>Тариф на техническую воду</v>
      </c>
      <c r="G239" s="2437" t="str">
        <f>INDEX(PT_DIFFERENTIATION_NTAR,MATCH(B239,PT_DIFFERENTIATION_NTAR_ID,0))</f>
        <v/>
      </c>
      <c r="H239" s="1872"/>
      <c r="I239" s="1749"/>
      <c r="J239" s="1783"/>
      <c r="K239" s="1788"/>
      <c r="L239" s="1872" t="s">
        <v>328</v>
      </c>
      <c r="M239" s="351"/>
      <c r="N239" s="344"/>
      <c r="O239" s="1634"/>
      <c r="P239" s="1634"/>
      <c r="AH239" s="1641">
        <v>0</v>
      </c>
    </row>
    <row s="1645" customFormat="1" customHeight="1" ht="18.75" hidden="1">
      <c r="A240" s="1790"/>
      <c r="B240" s="1790"/>
      <c r="C240" s="379" t="s">
        <v>1429</v>
      </c>
      <c r="D240" s="2472"/>
      <c r="E240" s="2214"/>
      <c r="F240" s="2393"/>
      <c r="G240" s="2437"/>
      <c r="H240" s="1510"/>
      <c r="I240" s="661" t="s">
        <v>1428</v>
      </c>
      <c r="J240" s="581"/>
      <c r="K240" s="1510"/>
      <c r="L240" s="224"/>
      <c r="M240" s="351"/>
      <c r="N240" s="344"/>
      <c r="O240" s="1634"/>
      <c r="P240" s="1634"/>
      <c r="AH240" s="1641">
        <v>0</v>
      </c>
    </row>
    <row s="1645" customFormat="1" customHeight="1" ht="0.75" hidden="1">
      <c r="A241" s="1790"/>
      <c r="B241" s="1790"/>
      <c r="C241" s="379" t="s">
        <v>1436</v>
      </c>
      <c r="D241" s="2472"/>
      <c r="E241" s="2214"/>
      <c r="F241" s="2393"/>
      <c r="G241" s="410"/>
      <c r="H241" s="1510"/>
      <c r="I241" s="661"/>
      <c r="J241" s="581"/>
      <c r="K241" s="1510"/>
      <c r="L241" s="224"/>
      <c r="M241" s="351"/>
      <c r="N241" s="344"/>
      <c r="O241" s="1634"/>
      <c r="P241" s="1634"/>
      <c r="AH241" s="1641">
        <v>0</v>
      </c>
    </row>
    <row s="1645" customFormat="1" customHeight="1" ht="18.75" hidden="1">
      <c r="A242" s="1790" t="s">
        <v>257</v>
      </c>
      <c r="B242" s="1790" t="s">
        <v>258</v>
      </c>
      <c r="C242" s="379"/>
      <c r="D242" s="2472"/>
      <c r="E242" s="2214"/>
      <c r="F242" s="2393" t="str">
        <f>INDEX(PT_DIFFERENTIATION_VTAR,MATCH(A242,PT_DIFFERENTIATION_VTAR_ID,0))</f>
        <v>Тариф на транспортировку воды</v>
      </c>
      <c r="G242" s="2437" t="str">
        <f>INDEX(PT_DIFFERENTIATION_NTAR,MATCH(B242,PT_DIFFERENTIATION_NTAR_ID,0))</f>
        <v/>
      </c>
      <c r="H242" s="1872"/>
      <c r="I242" s="1749"/>
      <c r="J242" s="1783"/>
      <c r="K242" s="1788"/>
      <c r="L242" s="1872" t="s">
        <v>328</v>
      </c>
      <c r="M242" s="351"/>
      <c r="N242" s="344"/>
      <c r="O242" s="1634"/>
      <c r="P242" s="1634"/>
      <c r="AH242" s="1641">
        <v>0</v>
      </c>
    </row>
    <row s="1645" customFormat="1" customHeight="1" ht="18.75" hidden="1">
      <c r="A243" s="1790"/>
      <c r="B243" s="1790"/>
      <c r="C243" s="379" t="s">
        <v>1429</v>
      </c>
      <c r="D243" s="2472"/>
      <c r="E243" s="2214"/>
      <c r="F243" s="2393"/>
      <c r="G243" s="2437"/>
      <c r="H243" s="1510"/>
      <c r="I243" s="661" t="s">
        <v>1428</v>
      </c>
      <c r="J243" s="581"/>
      <c r="K243" s="1510"/>
      <c r="L243" s="224"/>
      <c r="M243" s="351"/>
      <c r="N243" s="344"/>
      <c r="O243" s="1634"/>
      <c r="P243" s="1634"/>
      <c r="AH243" s="1641">
        <v>0</v>
      </c>
    </row>
    <row s="1645" customFormat="1" customHeight="1" ht="0.75" hidden="1">
      <c r="A244" s="1790"/>
      <c r="B244" s="1790"/>
      <c r="C244" s="379" t="s">
        <v>1436</v>
      </c>
      <c r="D244" s="2472"/>
      <c r="E244" s="2214"/>
      <c r="F244" s="2393"/>
      <c r="G244" s="410"/>
      <c r="H244" s="1510"/>
      <c r="I244" s="661"/>
      <c r="J244" s="581"/>
      <c r="K244" s="1510"/>
      <c r="L244" s="224"/>
      <c r="M244" s="351"/>
      <c r="N244" s="344"/>
      <c r="O244" s="1634"/>
      <c r="P244" s="1634"/>
      <c r="AH244" s="1641">
        <v>0</v>
      </c>
    </row>
    <row s="1645" customFormat="1" customHeight="1" ht="18.75" hidden="1">
      <c r="A245" s="1790" t="s">
        <v>262</v>
      </c>
      <c r="B245" s="1790" t="s">
        <v>263</v>
      </c>
      <c r="C245" s="379"/>
      <c r="D245" s="2472"/>
      <c r="E245" s="2214"/>
      <c r="F245" s="2393" t="str">
        <f>INDEX(PT_DIFFERENTIATION_VTAR,MATCH(A245,PT_DIFFERENTIATION_VTAR_ID,0))</f>
        <v>Тариф на подвоз воды</v>
      </c>
      <c r="G245" s="2437" t="str">
        <f>INDEX(PT_DIFFERENTIATION_NTAR,MATCH(B245,PT_DIFFERENTIATION_NTAR_ID,0))</f>
        <v/>
      </c>
      <c r="H245" s="1872"/>
      <c r="I245" s="1749"/>
      <c r="J245" s="1783"/>
      <c r="K245" s="1788"/>
      <c r="L245" s="1872" t="s">
        <v>328</v>
      </c>
      <c r="M245" s="351"/>
      <c r="N245" s="344"/>
      <c r="O245" s="1634"/>
      <c r="P245" s="1634"/>
      <c r="AH245" s="1641">
        <v>0</v>
      </c>
    </row>
    <row s="1645" customFormat="1" customHeight="1" ht="18.75" hidden="1">
      <c r="A246" s="1790"/>
      <c r="B246" s="1790"/>
      <c r="C246" s="379" t="s">
        <v>1429</v>
      </c>
      <c r="D246" s="2472"/>
      <c r="E246" s="2214"/>
      <c r="F246" s="2393"/>
      <c r="G246" s="2437"/>
      <c r="H246" s="1510"/>
      <c r="I246" s="661" t="s">
        <v>1428</v>
      </c>
      <c r="J246" s="581"/>
      <c r="K246" s="1510"/>
      <c r="L246" s="224"/>
      <c r="M246" s="351"/>
      <c r="N246" s="344"/>
      <c r="O246" s="1634"/>
      <c r="P246" s="1634"/>
      <c r="AH246" s="1641">
        <v>0</v>
      </c>
    </row>
    <row s="1645" customFormat="1" customHeight="1" ht="0.75" hidden="1">
      <c r="A247" s="1790"/>
      <c r="B247" s="1790"/>
      <c r="C247" s="379" t="s">
        <v>1436</v>
      </c>
      <c r="D247" s="2472"/>
      <c r="E247" s="2214"/>
      <c r="F247" s="2393"/>
      <c r="G247" s="410"/>
      <c r="H247" s="1510"/>
      <c r="I247" s="661"/>
      <c r="J247" s="581"/>
      <c r="K247" s="1510"/>
      <c r="L247" s="224"/>
      <c r="M247" s="351"/>
      <c r="N247" s="344"/>
      <c r="O247" s="1634"/>
      <c r="P247" s="1634"/>
      <c r="AH247" s="1641">
        <v>0</v>
      </c>
    </row>
    <row s="1645" customFormat="1" customHeight="1" ht="18.75" hidden="1">
      <c r="A248" s="1790" t="s">
        <v>267</v>
      </c>
      <c r="B248" s="1790" t="s">
        <v>268</v>
      </c>
      <c r="C248" s="379"/>
      <c r="D248" s="2472"/>
      <c r="E248" s="2214"/>
      <c r="F248" s="239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7" t="str">
        <f>INDEX(PT_DIFFERENTIATION_NTAR,MATCH(B248,PT_DIFFERENTIATION_NTAR_ID,0))</f>
        <v/>
      </c>
      <c r="H248" s="1872"/>
      <c r="I248" s="1749"/>
      <c r="J248" s="1783"/>
      <c r="K248" s="1788"/>
      <c r="L248" s="1872" t="s">
        <v>328</v>
      </c>
      <c r="M248" s="351"/>
      <c r="N248" s="344"/>
      <c r="O248" s="1634"/>
      <c r="P248" s="1634"/>
      <c r="AH248" s="1641">
        <v>0</v>
      </c>
    </row>
    <row s="1645" customFormat="1" customHeight="1" ht="18.75" hidden="1">
      <c r="A249" s="1790"/>
      <c r="B249" s="1790"/>
      <c r="C249" s="379" t="s">
        <v>1429</v>
      </c>
      <c r="D249" s="2472"/>
      <c r="E249" s="2214"/>
      <c r="F249" s="2393"/>
      <c r="G249" s="2437"/>
      <c r="H249" s="1510"/>
      <c r="I249" s="661" t="s">
        <v>1428</v>
      </c>
      <c r="J249" s="581"/>
      <c r="K249" s="1510"/>
      <c r="L249" s="224"/>
      <c r="M249" s="351"/>
      <c r="N249" s="344"/>
      <c r="O249" s="1634"/>
      <c r="P249" s="1634"/>
      <c r="AH249" s="1641">
        <v>0</v>
      </c>
    </row>
    <row s="1645" customFormat="1" customHeight="1" ht="0.75" hidden="1">
      <c r="A250" s="1790"/>
      <c r="B250" s="1790"/>
      <c r="C250" s="379" t="s">
        <v>1436</v>
      </c>
      <c r="D250" s="2472"/>
      <c r="E250" s="2214"/>
      <c r="F250" s="2393"/>
      <c r="G250" s="410"/>
      <c r="H250" s="1510"/>
      <c r="I250" s="661"/>
      <c r="J250" s="581"/>
      <c r="K250" s="1510"/>
      <c r="L250" s="224"/>
      <c r="M250" s="351"/>
      <c r="N250" s="344"/>
      <c r="O250" s="1634"/>
      <c r="P250" s="1634"/>
      <c r="AH250" s="1641">
        <v>0</v>
      </c>
    </row>
    <row s="1645" customFormat="1" customHeight="1" ht="18.75" hidden="1">
      <c r="A251" s="1790" t="s">
        <v>272</v>
      </c>
      <c r="B251" s="1790" t="s">
        <v>273</v>
      </c>
      <c r="C251" s="379"/>
      <c r="D251" s="2472"/>
      <c r="E251" s="2214"/>
      <c r="F251" s="2393" t="str">
        <f>INDEX(PT_DIFFERENTIATION_VTAR,MATCH(A251,PT_DIFFERENTIATION_VTAR_ID,0))</f>
        <v>Тариф на горячую воду (горячее водоснабжение)</v>
      </c>
      <c r="G251" s="2437" t="str">
        <f>INDEX(PT_DIFFERENTIATION_NTAR,MATCH(B251,PT_DIFFERENTIATION_NTAR_ID,0))</f>
        <v/>
      </c>
      <c r="H251" s="1872"/>
      <c r="I251" s="1749"/>
      <c r="J251" s="1783"/>
      <c r="K251" s="1788"/>
      <c r="L251" s="1872" t="s">
        <v>328</v>
      </c>
      <c r="M251" s="351"/>
      <c r="N251" s="344"/>
      <c r="O251" s="1634"/>
      <c r="P251" s="1634"/>
      <c r="AH251" s="1641">
        <v>0</v>
      </c>
    </row>
    <row s="1645" customFormat="1" customHeight="1" ht="18.75" hidden="1">
      <c r="A252" s="1790"/>
      <c r="B252" s="1790"/>
      <c r="C252" s="379" t="s">
        <v>1429</v>
      </c>
      <c r="D252" s="2472"/>
      <c r="E252" s="2214"/>
      <c r="F252" s="2393"/>
      <c r="G252" s="2437"/>
      <c r="H252" s="1510"/>
      <c r="I252" s="661" t="s">
        <v>1428</v>
      </c>
      <c r="J252" s="581"/>
      <c r="K252" s="1510"/>
      <c r="L252" s="224"/>
      <c r="M252" s="351"/>
      <c r="N252" s="344"/>
      <c r="O252" s="1634"/>
      <c r="P252" s="1634"/>
      <c r="AH252" s="1641">
        <v>0</v>
      </c>
    </row>
    <row s="1645" customFormat="1" customHeight="1" ht="0.75" hidden="1">
      <c r="A253" s="1790"/>
      <c r="B253" s="1790"/>
      <c r="C253" s="379" t="s">
        <v>1436</v>
      </c>
      <c r="D253" s="2472"/>
      <c r="E253" s="2214"/>
      <c r="F253" s="2393"/>
      <c r="G253" s="410"/>
      <c r="H253" s="1510"/>
      <c r="I253" s="661"/>
      <c r="J253" s="581"/>
      <c r="K253" s="1510"/>
      <c r="L253" s="224"/>
      <c r="M253" s="351"/>
      <c r="N253" s="344"/>
      <c r="O253" s="1634"/>
      <c r="P253" s="1634"/>
      <c r="AH253" s="1641">
        <v>0</v>
      </c>
    </row>
    <row s="1645" customFormat="1" customHeight="1" ht="18.75" hidden="1">
      <c r="A254" s="1790" t="s">
        <v>277</v>
      </c>
      <c r="B254" s="1790" t="s">
        <v>278</v>
      </c>
      <c r="C254" s="379"/>
      <c r="D254" s="2472"/>
      <c r="E254" s="2214"/>
      <c r="F254" s="2393" t="str">
        <f>INDEX(PT_DIFFERENTIATION_VTAR,MATCH(A254,PT_DIFFERENTIATION_VTAR_ID,0))</f>
        <v>Тариф на транспортировку горячей воды</v>
      </c>
      <c r="G254" s="2437" t="str">
        <f>INDEX(PT_DIFFERENTIATION_NTAR,MATCH(B254,PT_DIFFERENTIATION_NTAR_ID,0))</f>
        <v/>
      </c>
      <c r="H254" s="1872"/>
      <c r="I254" s="1749"/>
      <c r="J254" s="1783"/>
      <c r="K254" s="1788"/>
      <c r="L254" s="1872" t="s">
        <v>328</v>
      </c>
      <c r="M254" s="351"/>
      <c r="N254" s="344"/>
      <c r="O254" s="1634"/>
      <c r="P254" s="1634"/>
      <c r="AH254" s="1641">
        <v>0</v>
      </c>
    </row>
    <row s="1645" customFormat="1" customHeight="1" ht="18.75" hidden="1">
      <c r="A255" s="1790"/>
      <c r="B255" s="1790"/>
      <c r="C255" s="379" t="s">
        <v>1429</v>
      </c>
      <c r="D255" s="2472"/>
      <c r="E255" s="2214"/>
      <c r="F255" s="2393"/>
      <c r="G255" s="2437"/>
      <c r="H255" s="1510"/>
      <c r="I255" s="661" t="s">
        <v>1428</v>
      </c>
      <c r="J255" s="581"/>
      <c r="K255" s="1510"/>
      <c r="L255" s="224"/>
      <c r="M255" s="351"/>
      <c r="N255" s="344"/>
      <c r="O255" s="1634"/>
      <c r="P255" s="1634"/>
      <c r="AH255" s="1641">
        <v>0</v>
      </c>
    </row>
    <row s="1645" customFormat="1" customHeight="1" ht="0.75" hidden="1">
      <c r="A256" s="1790"/>
      <c r="B256" s="1790"/>
      <c r="C256" s="379" t="s">
        <v>1436</v>
      </c>
      <c r="D256" s="2472"/>
      <c r="E256" s="2214"/>
      <c r="F256" s="2393"/>
      <c r="G256" s="410"/>
      <c r="H256" s="1510"/>
      <c r="I256" s="661"/>
      <c r="J256" s="581"/>
      <c r="K256" s="1510"/>
      <c r="L256" s="224"/>
      <c r="M256" s="351"/>
      <c r="N256" s="344"/>
      <c r="O256" s="1634"/>
      <c r="P256" s="1634"/>
      <c r="AH256" s="1641">
        <v>0</v>
      </c>
    </row>
    <row s="1645" customFormat="1" customHeight="1" ht="18.75" hidden="1">
      <c r="A257" s="1790" t="s">
        <v>282</v>
      </c>
      <c r="B257" s="1790" t="s">
        <v>283</v>
      </c>
      <c r="C257" s="379"/>
      <c r="D257" s="2472"/>
      <c r="E257" s="2214"/>
      <c r="F257" s="2393"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7" t="str">
        <f>INDEX(PT_DIFFERENTIATION_NTAR,MATCH(B257,PT_DIFFERENTIATION_NTAR_ID,0))</f>
        <v/>
      </c>
      <c r="H257" s="1872"/>
      <c r="I257" s="1749"/>
      <c r="J257" s="1783"/>
      <c r="K257" s="1788"/>
      <c r="L257" s="1872" t="s">
        <v>328</v>
      </c>
      <c r="M257" s="351"/>
      <c r="N257" s="344"/>
      <c r="O257" s="1634"/>
      <c r="P257" s="1634"/>
      <c r="AH257" s="1641">
        <v>0</v>
      </c>
    </row>
    <row s="1645" customFormat="1" customHeight="1" ht="18.75" hidden="1">
      <c r="A258" s="1790"/>
      <c r="B258" s="1790"/>
      <c r="C258" s="379" t="s">
        <v>1429</v>
      </c>
      <c r="D258" s="2472"/>
      <c r="E258" s="2214"/>
      <c r="F258" s="2393"/>
      <c r="G258" s="2437"/>
      <c r="H258" s="1510"/>
      <c r="I258" s="661" t="s">
        <v>1428</v>
      </c>
      <c r="J258" s="581"/>
      <c r="K258" s="1510"/>
      <c r="L258" s="224"/>
      <c r="M258" s="351"/>
      <c r="N258" s="344"/>
      <c r="O258" s="1634"/>
      <c r="P258" s="1634"/>
      <c r="AH258" s="1641">
        <v>0</v>
      </c>
    </row>
    <row s="1645" customFormat="1" customHeight="1" ht="0.75" hidden="1">
      <c r="A259" s="1790"/>
      <c r="B259" s="1790"/>
      <c r="C259" s="379" t="s">
        <v>1436</v>
      </c>
      <c r="D259" s="2472"/>
      <c r="E259" s="2214"/>
      <c r="F259" s="2393"/>
      <c r="G259" s="410"/>
      <c r="H259" s="1510"/>
      <c r="I259" s="661"/>
      <c r="J259" s="581"/>
      <c r="K259" s="1510"/>
      <c r="L259" s="224"/>
      <c r="M259" s="351"/>
      <c r="N259" s="344"/>
      <c r="O259" s="1634"/>
      <c r="P259" s="1634"/>
      <c r="AH259" s="1641">
        <v>0</v>
      </c>
    </row>
    <row s="1645" customFormat="1" customHeight="1" ht="18.75" hidden="1">
      <c r="A260" s="1790" t="s">
        <v>287</v>
      </c>
      <c r="B260" s="1790" t="s">
        <v>288</v>
      </c>
      <c r="C260" s="379"/>
      <c r="D260" s="2472"/>
      <c r="E260" s="2214"/>
      <c r="F260" s="2393" t="str">
        <f>INDEX(PT_DIFFERENTIATION_VTAR,MATCH(A260,PT_DIFFERENTIATION_VTAR_ID,0))</f>
        <v>Тариф на водоотведение</v>
      </c>
      <c r="G260" s="2437" t="str">
        <f>INDEX(PT_DIFFERENTIATION_NTAR,MATCH(B260,PT_DIFFERENTIATION_NTAR_ID,0))</f>
        <v/>
      </c>
      <c r="H260" s="1872"/>
      <c r="I260" s="1749"/>
      <c r="J260" s="1783"/>
      <c r="K260" s="1788"/>
      <c r="L260" s="1872" t="s">
        <v>328</v>
      </c>
      <c r="M260" s="351"/>
      <c r="N260" s="344"/>
      <c r="O260" s="1634"/>
      <c r="P260" s="1634"/>
      <c r="AH260" s="1641">
        <v>0</v>
      </c>
    </row>
    <row s="1645" customFormat="1" customHeight="1" ht="18.75" hidden="1">
      <c r="A261" s="1790"/>
      <c r="B261" s="1790"/>
      <c r="C261" s="379" t="s">
        <v>1429</v>
      </c>
      <c r="D261" s="2472"/>
      <c r="E261" s="2214"/>
      <c r="F261" s="2393"/>
      <c r="G261" s="2437"/>
      <c r="H261" s="1510"/>
      <c r="I261" s="661" t="s">
        <v>1428</v>
      </c>
      <c r="J261" s="581"/>
      <c r="K261" s="1510"/>
      <c r="L261" s="224"/>
      <c r="M261" s="351"/>
      <c r="N261" s="344"/>
      <c r="O261" s="1634"/>
      <c r="P261" s="1634"/>
      <c r="AH261" s="1641">
        <v>0</v>
      </c>
    </row>
    <row s="1645" customFormat="1" customHeight="1" ht="0.75" hidden="1">
      <c r="A262" s="1790"/>
      <c r="B262" s="1790"/>
      <c r="C262" s="379" t="s">
        <v>1436</v>
      </c>
      <c r="D262" s="2472"/>
      <c r="E262" s="2214"/>
      <c r="F262" s="2393"/>
      <c r="G262" s="410"/>
      <c r="H262" s="1510"/>
      <c r="I262" s="661"/>
      <c r="J262" s="581"/>
      <c r="K262" s="1510"/>
      <c r="L262" s="224"/>
      <c r="M262" s="351"/>
      <c r="N262" s="344"/>
      <c r="O262" s="1634"/>
      <c r="P262" s="1634"/>
      <c r="AH262" s="1641">
        <v>0</v>
      </c>
    </row>
    <row s="1645" customFormat="1" customHeight="1" ht="18.75" hidden="1">
      <c r="A263" s="1790" t="s">
        <v>292</v>
      </c>
      <c r="B263" s="1790" t="s">
        <v>293</v>
      </c>
      <c r="C263" s="379"/>
      <c r="D263" s="2472"/>
      <c r="E263" s="2214"/>
      <c r="F263" s="2393" t="str">
        <f>INDEX(PT_DIFFERENTIATION_VTAR,MATCH(A263,PT_DIFFERENTIATION_VTAR_ID,0))</f>
        <v>Тариф на транспортировку сточных вод</v>
      </c>
      <c r="G263" s="2437" t="str">
        <f>INDEX(PT_DIFFERENTIATION_NTAR,MATCH(B263,PT_DIFFERENTIATION_NTAR_ID,0))</f>
        <v/>
      </c>
      <c r="H263" s="1872"/>
      <c r="I263" s="1749"/>
      <c r="J263" s="1783"/>
      <c r="K263" s="1788"/>
      <c r="L263" s="1872" t="s">
        <v>328</v>
      </c>
      <c r="M263" s="351"/>
      <c r="N263" s="344"/>
      <c r="O263" s="1634"/>
      <c r="P263" s="1634"/>
      <c r="AH263" s="1641">
        <v>0</v>
      </c>
    </row>
    <row s="1645" customFormat="1" customHeight="1" ht="18.75" hidden="1">
      <c r="A264" s="1790"/>
      <c r="B264" s="1790"/>
      <c r="C264" s="379" t="s">
        <v>1429</v>
      </c>
      <c r="D264" s="2472"/>
      <c r="E264" s="2214"/>
      <c r="F264" s="2393"/>
      <c r="G264" s="2437"/>
      <c r="H264" s="1510"/>
      <c r="I264" s="661" t="s">
        <v>1428</v>
      </c>
      <c r="J264" s="581"/>
      <c r="K264" s="1510"/>
      <c r="L264" s="224"/>
      <c r="M264" s="351"/>
      <c r="N264" s="344"/>
      <c r="O264" s="1634"/>
      <c r="P264" s="1634"/>
      <c r="AH264" s="1641">
        <v>0</v>
      </c>
    </row>
    <row s="1645" customFormat="1" customHeight="1" ht="0.75" hidden="1">
      <c r="A265" s="1790"/>
      <c r="B265" s="1790"/>
      <c r="C265" s="379" t="s">
        <v>1436</v>
      </c>
      <c r="D265" s="2472"/>
      <c r="E265" s="2214"/>
      <c r="F265" s="2393"/>
      <c r="G265" s="410"/>
      <c r="H265" s="1510"/>
      <c r="I265" s="661"/>
      <c r="J265" s="581"/>
      <c r="K265" s="1510"/>
      <c r="L265" s="224"/>
      <c r="M265" s="351"/>
      <c r="N265" s="344"/>
      <c r="O265" s="1634"/>
      <c r="P265" s="1634"/>
      <c r="AH265" s="1641">
        <v>0</v>
      </c>
    </row>
    <row s="1645" customFormat="1" customHeight="1" ht="18.75" hidden="1">
      <c r="A266" s="1790" t="s">
        <v>297</v>
      </c>
      <c r="B266" s="1790" t="s">
        <v>298</v>
      </c>
      <c r="C266" s="379"/>
      <c r="D266" s="2472"/>
      <c r="E266" s="2214"/>
      <c r="F266" s="2393" t="str">
        <f>INDEX(PT_DIFFERENTIATION_VTAR,MATCH(A266,PT_DIFFERENTIATION_VTAR_ID,0))</f>
        <v>Тариф на подключение (технологическое присоединение) к централизованной системе водоотведения</v>
      </c>
      <c r="G266" s="2437" t="str">
        <f>INDEX(PT_DIFFERENTIATION_NTAR,MATCH(B266,PT_DIFFERENTIATION_NTAR_ID,0))</f>
        <v/>
      </c>
      <c r="H266" s="1872"/>
      <c r="I266" s="1749"/>
      <c r="J266" s="1783"/>
      <c r="K266" s="1788"/>
      <c r="L266" s="1872" t="s">
        <v>328</v>
      </c>
      <c r="M266" s="351"/>
      <c r="N266" s="344"/>
      <c r="O266" s="1634"/>
      <c r="P266" s="1634"/>
      <c r="AH266" s="1641">
        <v>0</v>
      </c>
    </row>
    <row s="1645" customFormat="1" customHeight="1" ht="18.75" hidden="1">
      <c r="A267" s="1790"/>
      <c r="B267" s="1790"/>
      <c r="C267" s="379" t="s">
        <v>1429</v>
      </c>
      <c r="D267" s="2472"/>
      <c r="E267" s="2214"/>
      <c r="F267" s="2393"/>
      <c r="G267" s="2437"/>
      <c r="H267" s="1510"/>
      <c r="I267" s="661" t="s">
        <v>1428</v>
      </c>
      <c r="J267" s="581"/>
      <c r="K267" s="1510"/>
      <c r="L267" s="224"/>
      <c r="M267" s="351"/>
      <c r="N267" s="344"/>
      <c r="O267" s="1634"/>
      <c r="P267" s="1634"/>
      <c r="AH267" s="1641">
        <v>0</v>
      </c>
    </row>
    <row s="1645" customFormat="1" customHeight="1" ht="1.05">
      <c r="A268" s="1790"/>
      <c r="B268" s="1790"/>
      <c r="C268" s="379" t="s">
        <v>1436</v>
      </c>
      <c r="D268" s="2472"/>
      <c r="E268" s="2214"/>
      <c r="F268" s="2393"/>
      <c r="G268" s="410"/>
      <c r="H268" s="1510"/>
      <c r="I268" s="661"/>
      <c r="J268" s="581"/>
      <c r="K268" s="1510"/>
      <c r="L268" s="224"/>
      <c r="M268" s="351"/>
      <c r="N268" s="344"/>
      <c r="O268" s="1634"/>
      <c r="P268" s="1634"/>
      <c r="AH268" s="1641">
        <v>1</v>
      </c>
    </row>
    <row customHeight="1" ht="27.299999999999997">
      <c r="A269" s="1790"/>
      <c r="B269" s="1790"/>
      <c r="D269" s="386"/>
      <c r="E269" s="157" t="s">
        <v>92</v>
      </c>
      <c r="F269" s="247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70"/>
      <c r="H269" s="2470"/>
      <c r="I269" s="2470"/>
      <c r="J269" s="2470"/>
      <c r="K269" s="2470"/>
      <c r="L269" s="2470"/>
      <c r="M269" s="307"/>
      <c r="N269" s="344"/>
      <c r="AH269" s="384">
        <v>26</v>
      </c>
    </row>
    <row s="1645" customFormat="1" customHeight="1" ht="60.75" hidden="1">
      <c r="A270" s="1790" t="s">
        <v>179</v>
      </c>
      <c r="B270" s="1790" t="s">
        <v>180</v>
      </c>
      <c r="C270" s="379"/>
      <c r="D270" s="2472"/>
      <c r="E270" s="2214"/>
      <c r="F270" s="239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7" t="str">
        <f>INDEX(PT_DIFFERENTIATION_NTAR,MATCH(B270,PT_DIFFERENTIATION_NTAR_ID,0))</f>
        <v/>
      </c>
      <c r="H270" s="1872"/>
      <c r="I270" s="1749"/>
      <c r="J270" s="1783"/>
      <c r="K270" s="1788"/>
      <c r="L270" s="1872" t="s">
        <v>328</v>
      </c>
      <c r="M270" s="217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44"/>
      <c r="O270" s="1634"/>
      <c r="P270" s="1634"/>
      <c r="AH270" s="1641">
        <v>0</v>
      </c>
    </row>
    <row s="1645" customFormat="1" customHeight="1" ht="18.75" hidden="1">
      <c r="A271" s="1790"/>
      <c r="B271" s="1790"/>
      <c r="C271" s="379" t="s">
        <v>1429</v>
      </c>
      <c r="D271" s="2472"/>
      <c r="E271" s="2214"/>
      <c r="F271" s="2393"/>
      <c r="G271" s="2437"/>
      <c r="H271" s="1510"/>
      <c r="I271" s="661" t="s">
        <v>1428</v>
      </c>
      <c r="J271" s="581"/>
      <c r="K271" s="1510"/>
      <c r="L271" s="224"/>
      <c r="M271" s="2180"/>
      <c r="N271" s="344"/>
      <c r="O271" s="1634"/>
      <c r="P271" s="1634"/>
      <c r="AH271" s="1641">
        <v>0</v>
      </c>
    </row>
    <row s="1645" customFormat="1" customHeight="1" ht="0.75" hidden="1">
      <c r="A272" s="1790"/>
      <c r="B272" s="1790"/>
      <c r="C272" s="379" t="s">
        <v>1436</v>
      </c>
      <c r="D272" s="2472"/>
      <c r="E272" s="2214"/>
      <c r="F272" s="2393"/>
      <c r="G272" s="410"/>
      <c r="H272" s="1510"/>
      <c r="I272" s="661"/>
      <c r="J272" s="581"/>
      <c r="K272" s="1510"/>
      <c r="L272" s="224"/>
      <c r="M272" s="2180"/>
      <c r="N272" s="344"/>
      <c r="O272" s="1634"/>
      <c r="P272" s="1634"/>
      <c r="AH272" s="1641">
        <v>0</v>
      </c>
    </row>
    <row s="1645" customFormat="1" customHeight="1" ht="45" hidden="1">
      <c r="A273" s="1790" t="s">
        <v>184</v>
      </c>
      <c r="B273" s="1790" t="s">
        <v>185</v>
      </c>
      <c r="C273" s="379"/>
      <c r="D273" s="2472"/>
      <c r="E273" s="2214"/>
      <c r="F273" s="2393" t="str">
        <f>INDEX(PT_DIFFERENTIATION_VTAR,MATCH(A273,PT_DIFFERENTIATION_VTAR_ID,0))</f>
        <v/>
      </c>
      <c r="G273" s="2437" t="str">
        <f>INDEX(PT_DIFFERENTIATION_NTAR,MATCH(B273,PT_DIFFERENTIATION_NTAR_ID,0))</f>
        <v/>
      </c>
      <c r="H273" s="1872"/>
      <c r="I273" s="1749"/>
      <c r="J273" s="1783"/>
      <c r="K273" s="1788"/>
      <c r="L273" s="1872" t="s">
        <v>328</v>
      </c>
      <c r="M273" s="2181"/>
      <c r="N273" s="344"/>
      <c r="O273" s="1634"/>
      <c r="P273" s="1634"/>
      <c r="AH273" s="1641">
        <v>0</v>
      </c>
    </row>
    <row s="1645" customFormat="1" customHeight="1" ht="18.75" hidden="1">
      <c r="A274" s="1790"/>
      <c r="B274" s="1790"/>
      <c r="C274" s="379" t="s">
        <v>1429</v>
      </c>
      <c r="D274" s="2472"/>
      <c r="E274" s="2214"/>
      <c r="F274" s="2393"/>
      <c r="G274" s="2437"/>
      <c r="H274" s="1510"/>
      <c r="I274" s="661" t="s">
        <v>1428</v>
      </c>
      <c r="J274" s="581"/>
      <c r="K274" s="1510"/>
      <c r="L274" s="224"/>
      <c r="M274" s="1871"/>
      <c r="N274" s="344"/>
      <c r="O274" s="1634"/>
      <c r="P274" s="1634"/>
      <c r="AH274" s="1641">
        <v>0</v>
      </c>
    </row>
    <row s="1645" customFormat="1" customHeight="1" ht="0.75" hidden="1">
      <c r="A275" s="1790"/>
      <c r="B275" s="1790"/>
      <c r="C275" s="379" t="s">
        <v>1436</v>
      </c>
      <c r="D275" s="2472"/>
      <c r="E275" s="2214"/>
      <c r="F275" s="2393"/>
      <c r="G275" s="410"/>
      <c r="H275" s="1510"/>
      <c r="I275" s="661"/>
      <c r="J275" s="581"/>
      <c r="K275" s="1510"/>
      <c r="L275" s="224"/>
      <c r="M275" s="351"/>
      <c r="N275" s="344"/>
      <c r="O275" s="1634"/>
      <c r="P275" s="1634"/>
      <c r="AH275" s="1641">
        <v>0</v>
      </c>
    </row>
    <row s="1645" customFormat="1" customHeight="1" ht="45" hidden="1">
      <c r="A276" s="1790" t="s">
        <v>191</v>
      </c>
      <c r="B276" s="1790" t="s">
        <v>192</v>
      </c>
      <c r="C276" s="379"/>
      <c r="D276" s="2472"/>
      <c r="E276" s="2214"/>
      <c r="F276" s="239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7" t="str">
        <f>INDEX(PT_DIFFERENTIATION_NTAR,MATCH(B276,PT_DIFFERENTIATION_NTAR_ID,0))</f>
        <v/>
      </c>
      <c r="H276" s="1872"/>
      <c r="I276" s="1749"/>
      <c r="J276" s="1783"/>
      <c r="K276" s="1788"/>
      <c r="L276" s="1872" t="s">
        <v>328</v>
      </c>
      <c r="M276" s="351"/>
      <c r="N276" s="344"/>
      <c r="O276" s="1634"/>
      <c r="P276" s="1634"/>
      <c r="AH276" s="1641">
        <v>0</v>
      </c>
    </row>
    <row s="1645" customFormat="1" customHeight="1" ht="18.75" hidden="1">
      <c r="A277" s="1790"/>
      <c r="B277" s="1790"/>
      <c r="C277" s="379" t="s">
        <v>1429</v>
      </c>
      <c r="D277" s="2472"/>
      <c r="E277" s="2214"/>
      <c r="F277" s="2393"/>
      <c r="G277" s="2437"/>
      <c r="H277" s="1510"/>
      <c r="I277" s="661" t="s">
        <v>1428</v>
      </c>
      <c r="J277" s="581"/>
      <c r="K277" s="1510"/>
      <c r="L277" s="224"/>
      <c r="M277" s="351"/>
      <c r="N277" s="344"/>
      <c r="O277" s="1634"/>
      <c r="P277" s="1634"/>
      <c r="AH277" s="1641">
        <v>0</v>
      </c>
    </row>
    <row s="1645" customFormat="1" customHeight="1" ht="0.75" hidden="1">
      <c r="A278" s="1790"/>
      <c r="B278" s="1790"/>
      <c r="C278" s="379" t="s">
        <v>1436</v>
      </c>
      <c r="D278" s="2472"/>
      <c r="E278" s="2214"/>
      <c r="F278" s="2393"/>
      <c r="G278" s="410"/>
      <c r="H278" s="1510"/>
      <c r="I278" s="661"/>
      <c r="J278" s="581"/>
      <c r="K278" s="1510"/>
      <c r="L278" s="224"/>
      <c r="M278" s="351"/>
      <c r="N278" s="344"/>
      <c r="O278" s="1634"/>
      <c r="P278" s="1634"/>
      <c r="AH278" s="1641">
        <v>0</v>
      </c>
    </row>
    <row s="1645" customFormat="1" customHeight="1" ht="45" hidden="1">
      <c r="A279" s="1790" t="s">
        <v>197</v>
      </c>
      <c r="B279" s="1790" t="s">
        <v>198</v>
      </c>
      <c r="C279" s="379"/>
      <c r="D279" s="2472"/>
      <c r="E279" s="2214"/>
      <c r="F279" s="239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7" t="str">
        <f>INDEX(PT_DIFFERENTIATION_NTAR,MATCH(B279,PT_DIFFERENTIATION_NTAR_ID,0))</f>
        <v/>
      </c>
      <c r="H279" s="1872"/>
      <c r="I279" s="1749"/>
      <c r="J279" s="1783"/>
      <c r="K279" s="1788"/>
      <c r="L279" s="1872" t="s">
        <v>328</v>
      </c>
      <c r="M279" s="351"/>
      <c r="N279" s="344"/>
      <c r="O279" s="1634"/>
      <c r="P279" s="1634"/>
      <c r="AH279" s="1641">
        <v>0</v>
      </c>
    </row>
    <row s="1645" customFormat="1" customHeight="1" ht="18.75" hidden="1">
      <c r="A280" s="1790"/>
      <c r="B280" s="1790"/>
      <c r="C280" s="379" t="s">
        <v>1429</v>
      </c>
      <c r="D280" s="2472"/>
      <c r="E280" s="2214"/>
      <c r="F280" s="2393"/>
      <c r="G280" s="2437"/>
      <c r="H280" s="1510"/>
      <c r="I280" s="661" t="s">
        <v>1428</v>
      </c>
      <c r="J280" s="581"/>
      <c r="K280" s="1510"/>
      <c r="L280" s="224"/>
      <c r="M280" s="351"/>
      <c r="N280" s="344"/>
      <c r="O280" s="1634"/>
      <c r="P280" s="1634"/>
      <c r="AH280" s="1641">
        <v>0</v>
      </c>
    </row>
    <row s="1645" customFormat="1" customHeight="1" ht="0.75" hidden="1">
      <c r="A281" s="1790"/>
      <c r="B281" s="1790"/>
      <c r="C281" s="379" t="s">
        <v>1436</v>
      </c>
      <c r="D281" s="2472"/>
      <c r="E281" s="2214"/>
      <c r="F281" s="2393"/>
      <c r="G281" s="410"/>
      <c r="H281" s="1510"/>
      <c r="I281" s="661"/>
      <c r="J281" s="581"/>
      <c r="K281" s="1510"/>
      <c r="L281" s="224"/>
      <c r="M281" s="351"/>
      <c r="N281" s="344"/>
      <c r="O281" s="1634"/>
      <c r="P281" s="1634"/>
      <c r="AH281" s="1641">
        <v>0</v>
      </c>
    </row>
    <row s="1645" customFormat="1" customHeight="1" ht="18.75" hidden="1">
      <c r="A282" s="1790" t="s">
        <v>203</v>
      </c>
      <c r="B282" s="1790" t="s">
        <v>204</v>
      </c>
      <c r="C282" s="379"/>
      <c r="D282" s="2472"/>
      <c r="E282" s="2214"/>
      <c r="F282" s="2393" t="str">
        <f>INDEX(PT_DIFFERENTIATION_VTAR,MATCH(A282,PT_DIFFERENTIATION_VTAR_ID,0))</f>
        <v>Тарифы на услуги по передаче тепловой энергии</v>
      </c>
      <c r="G282" s="2437" t="str">
        <f>INDEX(PT_DIFFERENTIATION_NTAR,MATCH(B282,PT_DIFFERENTIATION_NTAR_ID,0))</f>
        <v/>
      </c>
      <c r="H282" s="1872"/>
      <c r="I282" s="1749"/>
      <c r="J282" s="1783"/>
      <c r="K282" s="1788"/>
      <c r="L282" s="1872" t="s">
        <v>328</v>
      </c>
      <c r="M282" s="351"/>
      <c r="N282" s="344"/>
      <c r="O282" s="1634"/>
      <c r="P282" s="1634"/>
      <c r="AH282" s="1641">
        <v>0</v>
      </c>
    </row>
    <row s="1645" customFormat="1" customHeight="1" ht="18.75" hidden="1">
      <c r="A283" s="1790"/>
      <c r="B283" s="1790"/>
      <c r="C283" s="379" t="s">
        <v>1429</v>
      </c>
      <c r="D283" s="2472"/>
      <c r="E283" s="2214"/>
      <c r="F283" s="2393"/>
      <c r="G283" s="2437"/>
      <c r="H283" s="1510"/>
      <c r="I283" s="661" t="s">
        <v>1428</v>
      </c>
      <c r="J283" s="581"/>
      <c r="K283" s="1510"/>
      <c r="L283" s="224"/>
      <c r="M283" s="351"/>
      <c r="N283" s="344"/>
      <c r="O283" s="1634"/>
      <c r="P283" s="1634"/>
      <c r="AH283" s="1641">
        <v>0</v>
      </c>
    </row>
    <row s="1645" customFormat="1" customHeight="1" ht="0.75" hidden="1">
      <c r="A284" s="1790"/>
      <c r="B284" s="1790"/>
      <c r="C284" s="379" t="s">
        <v>1436</v>
      </c>
      <c r="D284" s="2472"/>
      <c r="E284" s="2214"/>
      <c r="F284" s="2393"/>
      <c r="G284" s="410"/>
      <c r="H284" s="1510"/>
      <c r="I284" s="661"/>
      <c r="J284" s="581"/>
      <c r="K284" s="1510"/>
      <c r="L284" s="224"/>
      <c r="M284" s="351"/>
      <c r="N284" s="344"/>
      <c r="O284" s="1634"/>
      <c r="P284" s="1634"/>
      <c r="AH284" s="1641">
        <v>0</v>
      </c>
    </row>
    <row s="1645" customFormat="1" customHeight="1" ht="18.75" hidden="1">
      <c r="A285" s="1790" t="s">
        <v>209</v>
      </c>
      <c r="B285" s="1790" t="s">
        <v>210</v>
      </c>
      <c r="C285" s="379"/>
      <c r="D285" s="2472"/>
      <c r="E285" s="2214"/>
      <c r="F285" s="2393" t="str">
        <f>INDEX(PT_DIFFERENTIATION_VTAR,MATCH(A285,PT_DIFFERENTIATION_VTAR_ID,0))</f>
        <v>Тарифы на услуги по передаче теплоносителя</v>
      </c>
      <c r="G285" s="2437" t="str">
        <f>INDEX(PT_DIFFERENTIATION_NTAR,MATCH(B285,PT_DIFFERENTIATION_NTAR_ID,0))</f>
        <v/>
      </c>
      <c r="H285" s="1872"/>
      <c r="I285" s="1749"/>
      <c r="J285" s="1783"/>
      <c r="K285" s="1788"/>
      <c r="L285" s="1872" t="s">
        <v>328</v>
      </c>
      <c r="M285" s="351"/>
      <c r="N285" s="344"/>
      <c r="O285" s="1634"/>
      <c r="P285" s="1634"/>
      <c r="AH285" s="1641">
        <v>0</v>
      </c>
    </row>
    <row s="1645" customFormat="1" customHeight="1" ht="18.75" hidden="1">
      <c r="A286" s="1790"/>
      <c r="B286" s="1790"/>
      <c r="C286" s="379" t="s">
        <v>1429</v>
      </c>
      <c r="D286" s="2472"/>
      <c r="E286" s="2214"/>
      <c r="F286" s="2393"/>
      <c r="G286" s="2437"/>
      <c r="H286" s="1510"/>
      <c r="I286" s="661" t="s">
        <v>1428</v>
      </c>
      <c r="J286" s="581"/>
      <c r="K286" s="1510"/>
      <c r="L286" s="224"/>
      <c r="M286" s="351"/>
      <c r="N286" s="344"/>
      <c r="O286" s="1634"/>
      <c r="P286" s="1634"/>
      <c r="AH286" s="1641">
        <v>0</v>
      </c>
    </row>
    <row s="1645" customFormat="1" customHeight="1" ht="0.75" hidden="1">
      <c r="A287" s="1790"/>
      <c r="B287" s="1790"/>
      <c r="C287" s="379" t="s">
        <v>1436</v>
      </c>
      <c r="D287" s="2472"/>
      <c r="E287" s="2214"/>
      <c r="F287" s="2393"/>
      <c r="G287" s="410"/>
      <c r="H287" s="1510"/>
      <c r="I287" s="661"/>
      <c r="J287" s="581"/>
      <c r="K287" s="1510"/>
      <c r="L287" s="224"/>
      <c r="M287" s="351"/>
      <c r="N287" s="344"/>
      <c r="O287" s="1634"/>
      <c r="P287" s="1634"/>
      <c r="AH287" s="1641">
        <v>0</v>
      </c>
    </row>
    <row s="1645" customFormat="1" customHeight="1" ht="18.75" hidden="1">
      <c r="A288" s="1790" t="s">
        <v>215</v>
      </c>
      <c r="B288" s="1790" t="s">
        <v>216</v>
      </c>
      <c r="C288" s="379"/>
      <c r="D288" s="2472"/>
      <c r="E288" s="2214"/>
      <c r="F288" s="239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7" t="str">
        <f>INDEX(PT_DIFFERENTIATION_NTAR,MATCH(B288,PT_DIFFERENTIATION_NTAR_ID,0))</f>
        <v/>
      </c>
      <c r="H288" s="1872"/>
      <c r="I288" s="1749"/>
      <c r="J288" s="1783"/>
      <c r="K288" s="1788"/>
      <c r="L288" s="1872" t="s">
        <v>328</v>
      </c>
      <c r="M288" s="351"/>
      <c r="N288" s="344"/>
      <c r="O288" s="1634"/>
      <c r="P288" s="1634"/>
      <c r="AH288" s="1641">
        <v>0</v>
      </c>
    </row>
    <row s="1645" customFormat="1" customHeight="1" ht="18.75" hidden="1">
      <c r="A289" s="1790"/>
      <c r="B289" s="1790"/>
      <c r="C289" s="379" t="s">
        <v>1429</v>
      </c>
      <c r="D289" s="2472"/>
      <c r="E289" s="2214"/>
      <c r="F289" s="2393"/>
      <c r="G289" s="2437"/>
      <c r="H289" s="1510"/>
      <c r="I289" s="661" t="s">
        <v>1428</v>
      </c>
      <c r="J289" s="581"/>
      <c r="K289" s="1510"/>
      <c r="L289" s="224"/>
      <c r="M289" s="351"/>
      <c r="N289" s="344"/>
      <c r="O289" s="1634"/>
      <c r="P289" s="1634"/>
      <c r="AH289" s="1641">
        <v>0</v>
      </c>
    </row>
    <row s="1645" customFormat="1" customHeight="1" ht="0.75" hidden="1">
      <c r="A290" s="1790"/>
      <c r="B290" s="1790"/>
      <c r="C290" s="379" t="s">
        <v>1436</v>
      </c>
      <c r="D290" s="2472"/>
      <c r="E290" s="2214"/>
      <c r="F290" s="2393"/>
      <c r="G290" s="410"/>
      <c r="H290" s="1510"/>
      <c r="I290" s="661"/>
      <c r="J290" s="581"/>
      <c r="K290" s="1510"/>
      <c r="L290" s="224"/>
      <c r="M290" s="351"/>
      <c r="N290" s="344"/>
      <c r="O290" s="1634"/>
      <c r="P290" s="1634"/>
      <c r="AH290" s="1641">
        <v>0</v>
      </c>
    </row>
    <row s="1645" customFormat="1" customHeight="1" ht="18.75" hidden="1">
      <c r="A291" s="1790" t="s">
        <v>221</v>
      </c>
      <c r="B291" s="1790" t="s">
        <v>222</v>
      </c>
      <c r="C291" s="379"/>
      <c r="D291" s="2472"/>
      <c r="E291" s="2214"/>
      <c r="F291" s="2393" t="str">
        <f>INDEX(PT_DIFFERENTIATION_VTAR,MATCH(A291,PT_DIFFERENTIATION_VTAR_ID,0))</f>
        <v>Плата за подключение (технологическое присоединение) к системе теплоснабжения</v>
      </c>
      <c r="G291" s="2437" t="str">
        <f>INDEX(PT_DIFFERENTIATION_NTAR,MATCH(B291,PT_DIFFERENTIATION_NTAR_ID,0))</f>
        <v/>
      </c>
      <c r="H291" s="1872"/>
      <c r="I291" s="1749"/>
      <c r="J291" s="1783"/>
      <c r="K291" s="1788"/>
      <c r="L291" s="1872" t="s">
        <v>328</v>
      </c>
      <c r="M291" s="351"/>
      <c r="N291" s="344"/>
      <c r="O291" s="1634"/>
      <c r="P291" s="1634"/>
      <c r="AH291" s="1641">
        <v>0</v>
      </c>
    </row>
    <row s="1645" customFormat="1" customHeight="1" ht="18.75" hidden="1">
      <c r="A292" s="1790"/>
      <c r="B292" s="1790"/>
      <c r="C292" s="379" t="s">
        <v>1429</v>
      </c>
      <c r="D292" s="2472"/>
      <c r="E292" s="2214"/>
      <c r="F292" s="2393"/>
      <c r="G292" s="2437"/>
      <c r="H292" s="1510"/>
      <c r="I292" s="661" t="s">
        <v>1428</v>
      </c>
      <c r="J292" s="581"/>
      <c r="K292" s="1510"/>
      <c r="L292" s="224"/>
      <c r="M292" s="351"/>
      <c r="N292" s="344"/>
      <c r="O292" s="1634"/>
      <c r="P292" s="1634"/>
      <c r="AH292" s="1641">
        <v>0</v>
      </c>
    </row>
    <row s="1645" customFormat="1" customHeight="1" ht="0.75" hidden="1">
      <c r="A293" s="1790"/>
      <c r="B293" s="1790"/>
      <c r="C293" s="379" t="s">
        <v>1436</v>
      </c>
      <c r="D293" s="2472"/>
      <c r="E293" s="2214"/>
      <c r="F293" s="2393"/>
      <c r="G293" s="410"/>
      <c r="H293" s="1510"/>
      <c r="I293" s="661"/>
      <c r="J293" s="581"/>
      <c r="K293" s="1510"/>
      <c r="L293" s="224"/>
      <c r="M293" s="351"/>
      <c r="N293" s="344"/>
      <c r="O293" s="1634"/>
      <c r="P293" s="1634"/>
      <c r="AH293" s="1641">
        <v>0</v>
      </c>
    </row>
    <row s="1645" customFormat="1" customHeight="1" ht="18.75" hidden="1">
      <c r="A294" s="1790" t="s">
        <v>227</v>
      </c>
      <c r="B294" s="1790" t="s">
        <v>228</v>
      </c>
      <c r="C294" s="379"/>
      <c r="D294" s="2472"/>
      <c r="E294" s="2214"/>
      <c r="F294" s="2393" t="str">
        <f>INDEX(PT_DIFFERENTIATION_VTAR,MATCH(A294,PT_DIFFERENTIATION_VTAR_ID,0))</f>
        <v>Плата за подключение (технологическое присоединение) к системе теплоснабжения (индивидуальная)</v>
      </c>
      <c r="G294" s="2437" t="str">
        <f>INDEX(PT_DIFFERENTIATION_NTAR,MATCH(B294,PT_DIFFERENTIATION_NTAR_ID,0))</f>
        <v/>
      </c>
      <c r="H294" s="1999"/>
      <c r="I294" s="1749"/>
      <c r="J294" s="1783"/>
      <c r="K294" s="1788"/>
      <c r="L294" s="1999" t="s">
        <v>328</v>
      </c>
      <c r="M294" s="351"/>
      <c r="N294" s="344"/>
      <c r="O294" s="1634"/>
      <c r="P294" s="1634"/>
      <c r="AH294" s="1641">
        <v>0</v>
      </c>
    </row>
    <row s="1645" customFormat="1" customHeight="1" ht="18.75" hidden="1">
      <c r="A295" s="1790"/>
      <c r="B295" s="1790"/>
      <c r="C295" s="379" t="s">
        <v>1429</v>
      </c>
      <c r="D295" s="2472"/>
      <c r="E295" s="2214"/>
      <c r="F295" s="2393"/>
      <c r="G295" s="2437"/>
      <c r="H295" s="1510"/>
      <c r="I295" s="661" t="s">
        <v>1428</v>
      </c>
      <c r="J295" s="581"/>
      <c r="K295" s="1510"/>
      <c r="L295" s="224"/>
      <c r="M295" s="351"/>
      <c r="N295" s="344"/>
      <c r="O295" s="1634"/>
      <c r="P295" s="1634"/>
      <c r="AH295" s="1641">
        <v>0</v>
      </c>
    </row>
    <row s="1645" customFormat="1" customHeight="1" ht="0.75" hidden="1">
      <c r="A296" s="1790"/>
      <c r="B296" s="1790"/>
      <c r="C296" s="379" t="s">
        <v>1436</v>
      </c>
      <c r="D296" s="2472"/>
      <c r="E296" s="2214"/>
      <c r="F296" s="2393"/>
      <c r="G296" s="410"/>
      <c r="H296" s="1510"/>
      <c r="I296" s="661"/>
      <c r="J296" s="581"/>
      <c r="K296" s="1510"/>
      <c r="L296" s="224"/>
      <c r="M296" s="351"/>
      <c r="N296" s="344"/>
      <c r="O296" s="1634"/>
      <c r="P296" s="1634"/>
      <c r="AH296" s="1641">
        <v>0</v>
      </c>
    </row>
    <row s="1645" customFormat="1" customHeight="1" ht="18.75" hidden="1">
      <c r="A297" s="1790" t="s">
        <v>247</v>
      </c>
      <c r="B297" s="1790" t="s">
        <v>248</v>
      </c>
      <c r="C297" s="379"/>
      <c r="D297" s="2472"/>
      <c r="E297" s="2214"/>
      <c r="F297" s="2393" t="str">
        <f>INDEX(PT_DIFFERENTIATION_VTAR,MATCH(A297,PT_DIFFERENTIATION_VTAR_ID,0))</f>
        <v>Тариф на питьевую воду (питьевое водоснабжение)</v>
      </c>
      <c r="G297" s="2437" t="str">
        <f>INDEX(PT_DIFFERENTIATION_NTAR,MATCH(B297,PT_DIFFERENTIATION_NTAR_ID,0))</f>
        <v/>
      </c>
      <c r="H297" s="1872"/>
      <c r="I297" s="1749"/>
      <c r="J297" s="1783"/>
      <c r="K297" s="1788"/>
      <c r="L297" s="1872" t="s">
        <v>328</v>
      </c>
      <c r="M297" s="351"/>
      <c r="N297" s="344"/>
      <c r="O297" s="1634"/>
      <c r="P297" s="1634"/>
      <c r="AH297" s="1641">
        <v>0</v>
      </c>
    </row>
    <row s="1645" customFormat="1" customHeight="1" ht="18.75" hidden="1">
      <c r="A298" s="1790"/>
      <c r="B298" s="1790"/>
      <c r="C298" s="379" t="s">
        <v>1429</v>
      </c>
      <c r="D298" s="2472"/>
      <c r="E298" s="2214"/>
      <c r="F298" s="2393"/>
      <c r="G298" s="2437"/>
      <c r="H298" s="1510"/>
      <c r="I298" s="661" t="s">
        <v>1428</v>
      </c>
      <c r="J298" s="581"/>
      <c r="K298" s="1510"/>
      <c r="L298" s="224"/>
      <c r="M298" s="351"/>
      <c r="N298" s="344"/>
      <c r="O298" s="1634"/>
      <c r="P298" s="1634"/>
      <c r="AH298" s="1641">
        <v>0</v>
      </c>
    </row>
    <row s="1645" customFormat="1" customHeight="1" ht="0.75" hidden="1">
      <c r="A299" s="1790"/>
      <c r="B299" s="1790"/>
      <c r="C299" s="379" t="s">
        <v>1436</v>
      </c>
      <c r="D299" s="2472"/>
      <c r="E299" s="2214"/>
      <c r="F299" s="2393"/>
      <c r="G299" s="410"/>
      <c r="H299" s="1510"/>
      <c r="I299" s="661"/>
      <c r="J299" s="581"/>
      <c r="K299" s="1510"/>
      <c r="L299" s="224"/>
      <c r="M299" s="351"/>
      <c r="N299" s="344"/>
      <c r="O299" s="1634"/>
      <c r="P299" s="1634"/>
      <c r="AH299" s="1641">
        <v>0</v>
      </c>
    </row>
    <row s="1645" customFormat="1" customHeight="1" ht="18.75" hidden="1">
      <c r="A300" s="1790" t="s">
        <v>252</v>
      </c>
      <c r="B300" s="1790" t="s">
        <v>253</v>
      </c>
      <c r="C300" s="379"/>
      <c r="D300" s="2472"/>
      <c r="E300" s="2214"/>
      <c r="F300" s="2393" t="str">
        <f>INDEX(PT_DIFFERENTIATION_VTAR,MATCH(A300,PT_DIFFERENTIATION_VTAR_ID,0))</f>
        <v>Тариф на техническую воду</v>
      </c>
      <c r="G300" s="2437" t="str">
        <f>INDEX(PT_DIFFERENTIATION_NTAR,MATCH(B300,PT_DIFFERENTIATION_NTAR_ID,0))</f>
        <v/>
      </c>
      <c r="H300" s="1872"/>
      <c r="I300" s="1749"/>
      <c r="J300" s="1783"/>
      <c r="K300" s="1788"/>
      <c r="L300" s="1872" t="s">
        <v>328</v>
      </c>
      <c r="M300" s="351"/>
      <c r="N300" s="344"/>
      <c r="O300" s="1634"/>
      <c r="P300" s="1634"/>
      <c r="AH300" s="1641">
        <v>0</v>
      </c>
    </row>
    <row s="1645" customFormat="1" customHeight="1" ht="18.75" hidden="1">
      <c r="A301" s="1790"/>
      <c r="B301" s="1790"/>
      <c r="C301" s="379" t="s">
        <v>1429</v>
      </c>
      <c r="D301" s="2472"/>
      <c r="E301" s="2214"/>
      <c r="F301" s="2393"/>
      <c r="G301" s="2437"/>
      <c r="H301" s="1510"/>
      <c r="I301" s="661" t="s">
        <v>1428</v>
      </c>
      <c r="J301" s="581"/>
      <c r="K301" s="1510"/>
      <c r="L301" s="224"/>
      <c r="M301" s="351"/>
      <c r="N301" s="344"/>
      <c r="O301" s="1634"/>
      <c r="P301" s="1634"/>
      <c r="AH301" s="1641">
        <v>0</v>
      </c>
    </row>
    <row s="1645" customFormat="1" customHeight="1" ht="0.75" hidden="1">
      <c r="A302" s="1790"/>
      <c r="B302" s="1790"/>
      <c r="C302" s="379" t="s">
        <v>1436</v>
      </c>
      <c r="D302" s="2472"/>
      <c r="E302" s="2214"/>
      <c r="F302" s="2393"/>
      <c r="G302" s="410"/>
      <c r="H302" s="1510"/>
      <c r="I302" s="661"/>
      <c r="J302" s="581"/>
      <c r="K302" s="1510"/>
      <c r="L302" s="224"/>
      <c r="M302" s="351"/>
      <c r="N302" s="344"/>
      <c r="O302" s="1634"/>
      <c r="P302" s="1634"/>
      <c r="AH302" s="1641">
        <v>0</v>
      </c>
    </row>
    <row s="1645" customFormat="1" customHeight="1" ht="18.75" hidden="1">
      <c r="A303" s="1790" t="s">
        <v>257</v>
      </c>
      <c r="B303" s="1790" t="s">
        <v>258</v>
      </c>
      <c r="C303" s="379"/>
      <c r="D303" s="2472"/>
      <c r="E303" s="2214"/>
      <c r="F303" s="2393" t="str">
        <f>INDEX(PT_DIFFERENTIATION_VTAR,MATCH(A303,PT_DIFFERENTIATION_VTAR_ID,0))</f>
        <v>Тариф на транспортировку воды</v>
      </c>
      <c r="G303" s="2437" t="str">
        <f>INDEX(PT_DIFFERENTIATION_NTAR,MATCH(B303,PT_DIFFERENTIATION_NTAR_ID,0))</f>
        <v/>
      </c>
      <c r="H303" s="1872"/>
      <c r="I303" s="1749"/>
      <c r="J303" s="1783"/>
      <c r="K303" s="1788"/>
      <c r="L303" s="1872" t="s">
        <v>328</v>
      </c>
      <c r="M303" s="351"/>
      <c r="N303" s="344"/>
      <c r="O303" s="1634"/>
      <c r="P303" s="1634"/>
      <c r="AH303" s="1641">
        <v>0</v>
      </c>
    </row>
    <row s="1645" customFormat="1" customHeight="1" ht="18.75" hidden="1">
      <c r="A304" s="1790"/>
      <c r="B304" s="1790"/>
      <c r="C304" s="379" t="s">
        <v>1429</v>
      </c>
      <c r="D304" s="2472"/>
      <c r="E304" s="2214"/>
      <c r="F304" s="2393"/>
      <c r="G304" s="2437"/>
      <c r="H304" s="1510"/>
      <c r="I304" s="661" t="s">
        <v>1428</v>
      </c>
      <c r="J304" s="581"/>
      <c r="K304" s="1510"/>
      <c r="L304" s="224"/>
      <c r="M304" s="351"/>
      <c r="N304" s="344"/>
      <c r="O304" s="1634"/>
      <c r="P304" s="1634"/>
      <c r="AH304" s="1641">
        <v>0</v>
      </c>
    </row>
    <row s="1645" customFormat="1" customHeight="1" ht="0.75" hidden="1">
      <c r="A305" s="1790"/>
      <c r="B305" s="1790"/>
      <c r="C305" s="379" t="s">
        <v>1436</v>
      </c>
      <c r="D305" s="2472"/>
      <c r="E305" s="2214"/>
      <c r="F305" s="2393"/>
      <c r="G305" s="410"/>
      <c r="H305" s="1510"/>
      <c r="I305" s="661"/>
      <c r="J305" s="581"/>
      <c r="K305" s="1510"/>
      <c r="L305" s="224"/>
      <c r="M305" s="351"/>
      <c r="N305" s="344"/>
      <c r="O305" s="1634"/>
      <c r="P305" s="1634"/>
      <c r="AH305" s="1641">
        <v>0</v>
      </c>
    </row>
    <row s="1645" customFormat="1" customHeight="1" ht="18.75" hidden="1">
      <c r="A306" s="1790" t="s">
        <v>262</v>
      </c>
      <c r="B306" s="1790" t="s">
        <v>263</v>
      </c>
      <c r="C306" s="379"/>
      <c r="D306" s="2472"/>
      <c r="E306" s="2214"/>
      <c r="F306" s="2393" t="str">
        <f>INDEX(PT_DIFFERENTIATION_VTAR,MATCH(A306,PT_DIFFERENTIATION_VTAR_ID,0))</f>
        <v>Тариф на подвоз воды</v>
      </c>
      <c r="G306" s="2437" t="str">
        <f>INDEX(PT_DIFFERENTIATION_NTAR,MATCH(B306,PT_DIFFERENTIATION_NTAR_ID,0))</f>
        <v/>
      </c>
      <c r="H306" s="1872"/>
      <c r="I306" s="1749"/>
      <c r="J306" s="1783"/>
      <c r="K306" s="1788"/>
      <c r="L306" s="1872" t="s">
        <v>328</v>
      </c>
      <c r="M306" s="351"/>
      <c r="N306" s="344"/>
      <c r="O306" s="1634"/>
      <c r="P306" s="1634"/>
      <c r="AH306" s="1641">
        <v>0</v>
      </c>
    </row>
    <row s="1645" customFormat="1" customHeight="1" ht="18.75" hidden="1">
      <c r="A307" s="1790"/>
      <c r="B307" s="1790"/>
      <c r="C307" s="379" t="s">
        <v>1429</v>
      </c>
      <c r="D307" s="2472"/>
      <c r="E307" s="2214"/>
      <c r="F307" s="2393"/>
      <c r="G307" s="2437"/>
      <c r="H307" s="1510"/>
      <c r="I307" s="661" t="s">
        <v>1428</v>
      </c>
      <c r="J307" s="581"/>
      <c r="K307" s="1510"/>
      <c r="L307" s="224"/>
      <c r="M307" s="351"/>
      <c r="N307" s="344"/>
      <c r="O307" s="1634"/>
      <c r="P307" s="1634"/>
      <c r="AH307" s="1641">
        <v>0</v>
      </c>
    </row>
    <row s="1645" customFormat="1" customHeight="1" ht="0.75" hidden="1">
      <c r="A308" s="1790"/>
      <c r="B308" s="1790"/>
      <c r="C308" s="379" t="s">
        <v>1436</v>
      </c>
      <c r="D308" s="2472"/>
      <c r="E308" s="2214"/>
      <c r="F308" s="2393"/>
      <c r="G308" s="410"/>
      <c r="H308" s="1510"/>
      <c r="I308" s="661"/>
      <c r="J308" s="581"/>
      <c r="K308" s="1510"/>
      <c r="L308" s="224"/>
      <c r="M308" s="351"/>
      <c r="N308" s="344"/>
      <c r="O308" s="1634"/>
      <c r="P308" s="1634"/>
      <c r="AH308" s="1641">
        <v>0</v>
      </c>
    </row>
    <row s="1645" customFormat="1" customHeight="1" ht="18.75" hidden="1">
      <c r="A309" s="1790" t="s">
        <v>267</v>
      </c>
      <c r="B309" s="1790" t="s">
        <v>268</v>
      </c>
      <c r="C309" s="379"/>
      <c r="D309" s="2472"/>
      <c r="E309" s="2214"/>
      <c r="F309" s="239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7" t="str">
        <f>INDEX(PT_DIFFERENTIATION_NTAR,MATCH(B309,PT_DIFFERENTIATION_NTAR_ID,0))</f>
        <v/>
      </c>
      <c r="H309" s="1872"/>
      <c r="I309" s="1749"/>
      <c r="J309" s="1783"/>
      <c r="K309" s="1788"/>
      <c r="L309" s="1872" t="s">
        <v>328</v>
      </c>
      <c r="M309" s="351"/>
      <c r="N309" s="344"/>
      <c r="O309" s="1634"/>
      <c r="P309" s="1634"/>
      <c r="AH309" s="1641">
        <v>0</v>
      </c>
    </row>
    <row s="1645" customFormat="1" customHeight="1" ht="18.75" hidden="1">
      <c r="A310" s="1790"/>
      <c r="B310" s="1790"/>
      <c r="C310" s="379" t="s">
        <v>1429</v>
      </c>
      <c r="D310" s="2472"/>
      <c r="E310" s="2214"/>
      <c r="F310" s="2393"/>
      <c r="G310" s="2437"/>
      <c r="H310" s="1510"/>
      <c r="I310" s="661" t="s">
        <v>1428</v>
      </c>
      <c r="J310" s="581"/>
      <c r="K310" s="1510"/>
      <c r="L310" s="224"/>
      <c r="M310" s="351"/>
      <c r="N310" s="344"/>
      <c r="O310" s="1634"/>
      <c r="P310" s="1634"/>
      <c r="AH310" s="1641">
        <v>0</v>
      </c>
    </row>
    <row s="1645" customFormat="1" customHeight="1" ht="0.75" hidden="1">
      <c r="A311" s="1790"/>
      <c r="B311" s="1790"/>
      <c r="C311" s="379" t="s">
        <v>1436</v>
      </c>
      <c r="D311" s="2472"/>
      <c r="E311" s="2214"/>
      <c r="F311" s="2393"/>
      <c r="G311" s="410"/>
      <c r="H311" s="1510"/>
      <c r="I311" s="661"/>
      <c r="J311" s="581"/>
      <c r="K311" s="1510"/>
      <c r="L311" s="224"/>
      <c r="M311" s="351"/>
      <c r="N311" s="344"/>
      <c r="O311" s="1634"/>
      <c r="P311" s="1634"/>
      <c r="AH311" s="1641">
        <v>0</v>
      </c>
    </row>
    <row s="1645" customFormat="1" customHeight="1" ht="18.75" hidden="1">
      <c r="A312" s="1790" t="s">
        <v>272</v>
      </c>
      <c r="B312" s="1790" t="s">
        <v>273</v>
      </c>
      <c r="C312" s="379"/>
      <c r="D312" s="2472"/>
      <c r="E312" s="2214"/>
      <c r="F312" s="2393" t="str">
        <f>INDEX(PT_DIFFERENTIATION_VTAR,MATCH(A312,PT_DIFFERENTIATION_VTAR_ID,0))</f>
        <v>Тариф на горячую воду (горячее водоснабжение)</v>
      </c>
      <c r="G312" s="2437" t="str">
        <f>INDEX(PT_DIFFERENTIATION_NTAR,MATCH(B312,PT_DIFFERENTIATION_NTAR_ID,0))</f>
        <v/>
      </c>
      <c r="H312" s="1872"/>
      <c r="I312" s="1749"/>
      <c r="J312" s="1783"/>
      <c r="K312" s="1788"/>
      <c r="L312" s="1872" t="s">
        <v>328</v>
      </c>
      <c r="M312" s="351"/>
      <c r="N312" s="344"/>
      <c r="O312" s="1634"/>
      <c r="P312" s="1634"/>
      <c r="AH312" s="1641">
        <v>0</v>
      </c>
    </row>
    <row s="1645" customFormat="1" customHeight="1" ht="18.75" hidden="1">
      <c r="A313" s="1790"/>
      <c r="B313" s="1790"/>
      <c r="C313" s="379" t="s">
        <v>1429</v>
      </c>
      <c r="D313" s="2472"/>
      <c r="E313" s="2214"/>
      <c r="F313" s="2393"/>
      <c r="G313" s="2437"/>
      <c r="H313" s="1510"/>
      <c r="I313" s="661" t="s">
        <v>1428</v>
      </c>
      <c r="J313" s="581"/>
      <c r="K313" s="1510"/>
      <c r="L313" s="224"/>
      <c r="M313" s="351"/>
      <c r="N313" s="344"/>
      <c r="O313" s="1634"/>
      <c r="P313" s="1634"/>
      <c r="AH313" s="1641">
        <v>0</v>
      </c>
    </row>
    <row s="1645" customFormat="1" customHeight="1" ht="0.75" hidden="1">
      <c r="A314" s="1790"/>
      <c r="B314" s="1790"/>
      <c r="C314" s="379" t="s">
        <v>1436</v>
      </c>
      <c r="D314" s="2472"/>
      <c r="E314" s="2214"/>
      <c r="F314" s="2393"/>
      <c r="G314" s="410"/>
      <c r="H314" s="1510"/>
      <c r="I314" s="661"/>
      <c r="J314" s="581"/>
      <c r="K314" s="1510"/>
      <c r="L314" s="224"/>
      <c r="M314" s="351"/>
      <c r="N314" s="344"/>
      <c r="O314" s="1634"/>
      <c r="P314" s="1634"/>
      <c r="AH314" s="1641">
        <v>0</v>
      </c>
    </row>
    <row s="1645" customFormat="1" customHeight="1" ht="18.75" hidden="1">
      <c r="A315" s="1790" t="s">
        <v>277</v>
      </c>
      <c r="B315" s="1790" t="s">
        <v>278</v>
      </c>
      <c r="C315" s="379"/>
      <c r="D315" s="2472"/>
      <c r="E315" s="2214"/>
      <c r="F315" s="2393" t="str">
        <f>INDEX(PT_DIFFERENTIATION_VTAR,MATCH(A315,PT_DIFFERENTIATION_VTAR_ID,0))</f>
        <v>Тариф на транспортировку горячей воды</v>
      </c>
      <c r="G315" s="2437" t="str">
        <f>INDEX(PT_DIFFERENTIATION_NTAR,MATCH(B315,PT_DIFFERENTIATION_NTAR_ID,0))</f>
        <v/>
      </c>
      <c r="H315" s="1872"/>
      <c r="I315" s="1749"/>
      <c r="J315" s="1783"/>
      <c r="K315" s="1788"/>
      <c r="L315" s="1872" t="s">
        <v>328</v>
      </c>
      <c r="M315" s="351"/>
      <c r="N315" s="344"/>
      <c r="O315" s="1634"/>
      <c r="P315" s="1634"/>
      <c r="AH315" s="1641">
        <v>0</v>
      </c>
    </row>
    <row s="1645" customFormat="1" customHeight="1" ht="18.75" hidden="1">
      <c r="A316" s="1790"/>
      <c r="B316" s="1790"/>
      <c r="C316" s="379" t="s">
        <v>1429</v>
      </c>
      <c r="D316" s="2472"/>
      <c r="E316" s="2214"/>
      <c r="F316" s="2393"/>
      <c r="G316" s="2437"/>
      <c r="H316" s="1510"/>
      <c r="I316" s="661" t="s">
        <v>1428</v>
      </c>
      <c r="J316" s="581"/>
      <c r="K316" s="1510"/>
      <c r="L316" s="224"/>
      <c r="M316" s="351"/>
      <c r="N316" s="344"/>
      <c r="O316" s="1634"/>
      <c r="P316" s="1634"/>
      <c r="AH316" s="1641">
        <v>0</v>
      </c>
    </row>
    <row s="1645" customFormat="1" customHeight="1" ht="0.75" hidden="1">
      <c r="A317" s="1790"/>
      <c r="B317" s="1790"/>
      <c r="C317" s="379" t="s">
        <v>1436</v>
      </c>
      <c r="D317" s="2472"/>
      <c r="E317" s="2214"/>
      <c r="F317" s="2393"/>
      <c r="G317" s="410"/>
      <c r="H317" s="1510"/>
      <c r="I317" s="661"/>
      <c r="J317" s="581"/>
      <c r="K317" s="1510"/>
      <c r="L317" s="224"/>
      <c r="M317" s="351"/>
      <c r="N317" s="344"/>
      <c r="O317" s="1634"/>
      <c r="P317" s="1634"/>
      <c r="AH317" s="1641">
        <v>0</v>
      </c>
    </row>
    <row s="1645" customFormat="1" customHeight="1" ht="18.75" hidden="1">
      <c r="A318" s="1790" t="s">
        <v>282</v>
      </c>
      <c r="B318" s="1790" t="s">
        <v>283</v>
      </c>
      <c r="C318" s="379"/>
      <c r="D318" s="2472"/>
      <c r="E318" s="2214"/>
      <c r="F318" s="2393"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7" t="str">
        <f>INDEX(PT_DIFFERENTIATION_NTAR,MATCH(B318,PT_DIFFERENTIATION_NTAR_ID,0))</f>
        <v/>
      </c>
      <c r="H318" s="1872"/>
      <c r="I318" s="1749"/>
      <c r="J318" s="1783"/>
      <c r="K318" s="1788"/>
      <c r="L318" s="1872" t="s">
        <v>328</v>
      </c>
      <c r="M318" s="351"/>
      <c r="N318" s="344"/>
      <c r="O318" s="1634"/>
      <c r="P318" s="1634"/>
      <c r="AH318" s="1641">
        <v>0</v>
      </c>
    </row>
    <row s="1645" customFormat="1" customHeight="1" ht="18.75" hidden="1">
      <c r="A319" s="1790"/>
      <c r="B319" s="1790"/>
      <c r="C319" s="379" t="s">
        <v>1429</v>
      </c>
      <c r="D319" s="2472"/>
      <c r="E319" s="2214"/>
      <c r="F319" s="2393"/>
      <c r="G319" s="2437"/>
      <c r="H319" s="1510"/>
      <c r="I319" s="661" t="s">
        <v>1428</v>
      </c>
      <c r="J319" s="581"/>
      <c r="K319" s="1510"/>
      <c r="L319" s="224"/>
      <c r="M319" s="351"/>
      <c r="N319" s="344"/>
      <c r="O319" s="1634"/>
      <c r="P319" s="1634"/>
      <c r="AH319" s="1641">
        <v>0</v>
      </c>
    </row>
    <row s="1645" customFormat="1" customHeight="1" ht="0.75" hidden="1">
      <c r="A320" s="1790"/>
      <c r="B320" s="1790"/>
      <c r="C320" s="379" t="s">
        <v>1436</v>
      </c>
      <c r="D320" s="2472"/>
      <c r="E320" s="2214"/>
      <c r="F320" s="2393"/>
      <c r="G320" s="410"/>
      <c r="H320" s="1510"/>
      <c r="I320" s="661"/>
      <c r="J320" s="581"/>
      <c r="K320" s="1510"/>
      <c r="L320" s="224"/>
      <c r="M320" s="351"/>
      <c r="N320" s="344"/>
      <c r="O320" s="1634"/>
      <c r="P320" s="1634"/>
      <c r="AH320" s="1641">
        <v>0</v>
      </c>
    </row>
    <row s="1645" customFormat="1" customHeight="1" ht="18.75" hidden="1">
      <c r="A321" s="1790" t="s">
        <v>287</v>
      </c>
      <c r="B321" s="1790" t="s">
        <v>288</v>
      </c>
      <c r="C321" s="379"/>
      <c r="D321" s="2472"/>
      <c r="E321" s="2214"/>
      <c r="F321" s="2393" t="str">
        <f>INDEX(PT_DIFFERENTIATION_VTAR,MATCH(A321,PT_DIFFERENTIATION_VTAR_ID,0))</f>
        <v>Тариф на водоотведение</v>
      </c>
      <c r="G321" s="2437" t="str">
        <f>INDEX(PT_DIFFERENTIATION_NTAR,MATCH(B321,PT_DIFFERENTIATION_NTAR_ID,0))</f>
        <v/>
      </c>
      <c r="H321" s="1872"/>
      <c r="I321" s="1749"/>
      <c r="J321" s="1783"/>
      <c r="K321" s="1788"/>
      <c r="L321" s="1872" t="s">
        <v>328</v>
      </c>
      <c r="M321" s="351"/>
      <c r="N321" s="344"/>
      <c r="O321" s="1634"/>
      <c r="P321" s="1634"/>
      <c r="AH321" s="1641">
        <v>0</v>
      </c>
    </row>
    <row s="1645" customFormat="1" customHeight="1" ht="18.75" hidden="1">
      <c r="A322" s="1790"/>
      <c r="B322" s="1790"/>
      <c r="C322" s="379" t="s">
        <v>1429</v>
      </c>
      <c r="D322" s="2472"/>
      <c r="E322" s="2214"/>
      <c r="F322" s="2393"/>
      <c r="G322" s="2437"/>
      <c r="H322" s="1510"/>
      <c r="I322" s="661" t="s">
        <v>1428</v>
      </c>
      <c r="J322" s="581"/>
      <c r="K322" s="1510"/>
      <c r="L322" s="224"/>
      <c r="M322" s="351"/>
      <c r="N322" s="344"/>
      <c r="O322" s="1634"/>
      <c r="P322" s="1634"/>
      <c r="AH322" s="1641">
        <v>0</v>
      </c>
    </row>
    <row s="1645" customFormat="1" customHeight="1" ht="0.75" hidden="1">
      <c r="A323" s="1790"/>
      <c r="B323" s="1790"/>
      <c r="C323" s="379" t="s">
        <v>1436</v>
      </c>
      <c r="D323" s="2472"/>
      <c r="E323" s="2214"/>
      <c r="F323" s="2393"/>
      <c r="G323" s="410"/>
      <c r="H323" s="1510"/>
      <c r="I323" s="661"/>
      <c r="J323" s="581"/>
      <c r="K323" s="1510"/>
      <c r="L323" s="224"/>
      <c r="M323" s="351"/>
      <c r="N323" s="344"/>
      <c r="O323" s="1634"/>
      <c r="P323" s="1634"/>
      <c r="AH323" s="1641">
        <v>0</v>
      </c>
    </row>
    <row s="1645" customFormat="1" customHeight="1" ht="18.75" hidden="1">
      <c r="A324" s="1790" t="s">
        <v>292</v>
      </c>
      <c r="B324" s="1790" t="s">
        <v>293</v>
      </c>
      <c r="C324" s="379"/>
      <c r="D324" s="2472"/>
      <c r="E324" s="2214"/>
      <c r="F324" s="2393" t="str">
        <f>INDEX(PT_DIFFERENTIATION_VTAR,MATCH(A324,PT_DIFFERENTIATION_VTAR_ID,0))</f>
        <v>Тариф на транспортировку сточных вод</v>
      </c>
      <c r="G324" s="2437" t="str">
        <f>INDEX(PT_DIFFERENTIATION_NTAR,MATCH(B324,PT_DIFFERENTIATION_NTAR_ID,0))</f>
        <v/>
      </c>
      <c r="H324" s="1872"/>
      <c r="I324" s="1749"/>
      <c r="J324" s="1783"/>
      <c r="K324" s="1788"/>
      <c r="L324" s="1872" t="s">
        <v>328</v>
      </c>
      <c r="M324" s="351"/>
      <c r="N324" s="344"/>
      <c r="O324" s="1634"/>
      <c r="P324" s="1634"/>
      <c r="AH324" s="1641">
        <v>0</v>
      </c>
    </row>
    <row s="1645" customFormat="1" customHeight="1" ht="18.75" hidden="1">
      <c r="A325" s="1790"/>
      <c r="B325" s="1790"/>
      <c r="C325" s="379" t="s">
        <v>1429</v>
      </c>
      <c r="D325" s="2472"/>
      <c r="E325" s="2214"/>
      <c r="F325" s="2393"/>
      <c r="G325" s="2437"/>
      <c r="H325" s="1510"/>
      <c r="I325" s="661" t="s">
        <v>1428</v>
      </c>
      <c r="J325" s="581"/>
      <c r="K325" s="1510"/>
      <c r="L325" s="224"/>
      <c r="M325" s="351"/>
      <c r="N325" s="344"/>
      <c r="O325" s="1634"/>
      <c r="P325" s="1634"/>
      <c r="AH325" s="1641">
        <v>0</v>
      </c>
    </row>
    <row s="1645" customFormat="1" customHeight="1" ht="0.75" hidden="1">
      <c r="A326" s="1790"/>
      <c r="B326" s="1790"/>
      <c r="C326" s="379" t="s">
        <v>1436</v>
      </c>
      <c r="D326" s="2472"/>
      <c r="E326" s="2214"/>
      <c r="F326" s="2393"/>
      <c r="G326" s="410"/>
      <c r="H326" s="1510"/>
      <c r="I326" s="661"/>
      <c r="J326" s="581"/>
      <c r="K326" s="1510"/>
      <c r="L326" s="224"/>
      <c r="M326" s="351"/>
      <c r="N326" s="344"/>
      <c r="O326" s="1634"/>
      <c r="P326" s="1634"/>
      <c r="AH326" s="1641">
        <v>0</v>
      </c>
    </row>
    <row s="1645" customFormat="1" customHeight="1" ht="18.75" hidden="1">
      <c r="A327" s="1790" t="s">
        <v>297</v>
      </c>
      <c r="B327" s="1790" t="s">
        <v>298</v>
      </c>
      <c r="C327" s="379"/>
      <c r="D327" s="2472"/>
      <c r="E327" s="2214"/>
      <c r="F327" s="2393" t="str">
        <f>INDEX(PT_DIFFERENTIATION_VTAR,MATCH(A327,PT_DIFFERENTIATION_VTAR_ID,0))</f>
        <v>Тариф на подключение (технологическое присоединение) к централизованной системе водоотведения</v>
      </c>
      <c r="G327" s="2437" t="str">
        <f>INDEX(PT_DIFFERENTIATION_NTAR,MATCH(B327,PT_DIFFERENTIATION_NTAR_ID,0))</f>
        <v/>
      </c>
      <c r="H327" s="1872"/>
      <c r="I327" s="1749"/>
      <c r="J327" s="1783"/>
      <c r="K327" s="1788"/>
      <c r="L327" s="1872" t="s">
        <v>328</v>
      </c>
      <c r="M327" s="351"/>
      <c r="N327" s="344"/>
      <c r="O327" s="1634"/>
      <c r="P327" s="1634"/>
      <c r="AH327" s="1641">
        <v>0</v>
      </c>
    </row>
    <row s="1645" customFormat="1" customHeight="1" ht="18.75" hidden="1">
      <c r="A328" s="1790"/>
      <c r="B328" s="1790"/>
      <c r="C328" s="379" t="s">
        <v>1429</v>
      </c>
      <c r="D328" s="2472"/>
      <c r="E328" s="2214"/>
      <c r="F328" s="2393"/>
      <c r="G328" s="2437"/>
      <c r="H328" s="1510"/>
      <c r="I328" s="661" t="s">
        <v>1428</v>
      </c>
      <c r="J328" s="581"/>
      <c r="K328" s="1510"/>
      <c r="L328" s="224"/>
      <c r="M328" s="351"/>
      <c r="N328" s="344"/>
      <c r="O328" s="1634"/>
      <c r="P328" s="1634"/>
      <c r="AH328" s="1641">
        <v>0</v>
      </c>
    </row>
    <row s="1645" customFormat="1" customHeight="1" ht="1.05">
      <c r="A329" s="1790"/>
      <c r="B329" s="1790"/>
      <c r="C329" s="379" t="s">
        <v>1436</v>
      </c>
      <c r="D329" s="2472"/>
      <c r="E329" s="2214"/>
      <c r="F329" s="2393"/>
      <c r="G329" s="410"/>
      <c r="H329" s="1510"/>
      <c r="I329" s="661"/>
      <c r="J329" s="581"/>
      <c r="K329" s="1510"/>
      <c r="L329" s="224"/>
      <c r="M329" s="351"/>
      <c r="N329" s="344"/>
      <c r="O329" s="1634"/>
      <c r="P329" s="1634"/>
      <c r="AH329" s="1641">
        <v>1</v>
      </c>
    </row>
    <row s="1833" customFormat="1" customHeight="1" ht="3">
      <c r="A330" s="1790"/>
      <c r="B330" s="1790"/>
      <c r="C330" s="1791"/>
      <c r="E330" s="412"/>
      <c r="F330" s="412"/>
      <c r="G330" s="412"/>
      <c r="H330" s="412"/>
      <c r="I330" s="412"/>
      <c r="J330" s="412"/>
      <c r="K330" s="412"/>
      <c r="L330" s="412"/>
      <c r="M330" s="412"/>
      <c r="O330" s="206"/>
      <c r="P330" s="206"/>
      <c r="AH330" s="150">
        <v>3</v>
      </c>
    </row>
    <row customHeight="1" ht="26.25">
      <c r="E331" s="212"/>
      <c r="F331" s="2295"/>
      <c r="G331" s="2295"/>
      <c r="H331" s="2295"/>
      <c r="I331" s="2295"/>
      <c r="J331" s="2295"/>
      <c r="K331" s="2295"/>
      <c r="L331" s="2295"/>
      <c r="M331" s="2295"/>
      <c r="AH331" s="384">
        <v>25</v>
      </c>
    </row>
    <row customHeight="1" ht="14.25" hidden="1">
      <c r="A332" s="1789" t="s">
        <v>82</v>
      </c>
      <c r="B332" s="1789">
        <v>0</v>
      </c>
      <c r="C332" s="379">
        <v>0</v>
      </c>
      <c r="D332" s="354">
        <v>3</v>
      </c>
      <c r="E332" s="384">
        <v>6</v>
      </c>
      <c r="F332" s="384">
        <v>46</v>
      </c>
      <c r="G332" s="384">
        <v>35</v>
      </c>
      <c r="H332" s="384">
        <v>3</v>
      </c>
      <c r="I332" s="384">
        <v>11</v>
      </c>
      <c r="J332" s="384">
        <v>11</v>
      </c>
      <c r="K332" s="384">
        <v>35</v>
      </c>
      <c r="L332" s="384">
        <v>35</v>
      </c>
      <c r="M332" s="384">
        <v>84</v>
      </c>
      <c r="N332" s="384">
        <v>10</v>
      </c>
      <c r="O332" s="360">
        <v>10</v>
      </c>
      <c r="P332" s="360">
        <v>10</v>
      </c>
      <c r="Q332" s="384">
        <v>10</v>
      </c>
      <c r="R332" s="384">
        <v>10</v>
      </c>
      <c r="S332" s="384">
        <v>10</v>
      </c>
      <c r="T332" s="384">
        <v>10</v>
      </c>
      <c r="U332" s="384">
        <v>10</v>
      </c>
      <c r="V332" s="384">
        <v>10</v>
      </c>
      <c r="W332" s="384">
        <v>10</v>
      </c>
      <c r="X332" s="384">
        <v>10</v>
      </c>
      <c r="Y332" s="384">
        <v>10</v>
      </c>
      <c r="Z332" s="384">
        <v>10</v>
      </c>
      <c r="AA332" s="384">
        <v>10</v>
      </c>
      <c r="AB332" s="384">
        <v>10</v>
      </c>
      <c r="AC332" s="384">
        <v>10</v>
      </c>
      <c r="AD332" s="384">
        <v>10</v>
      </c>
      <c r="AE332" s="384">
        <v>10</v>
      </c>
      <c r="AF332" s="384">
        <v>10</v>
      </c>
      <c r="AG332" s="384">
        <v>10</v>
      </c>
      <c r="AH332" s="384">
        <v>14</v>
      </c>
    </row>
  </sheetData>
  <sheetProtection sheet="1" formatColumns="0" formatRows="0" autoFilter="0" sort="1" insertRows="1" insertColumns="1" deleteRows="1" deleteColumns="1"/>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D33B47-1D72-D585-2D84-0.F6177E5F}"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407" width="9.140625" hidden="1" customWidth="1"/>
    <col min="2" max="2" style="1376" width="9.140625" hidden="1" customWidth="1"/>
    <col min="3" max="3" style="354" width="3.00390625" customWidth="1"/>
    <col min="4" max="4" style="1645" width="6.00390625" customWidth="1"/>
    <col min="5" max="5" style="1645" width="53.00390625" customWidth="1"/>
    <col min="6" max="7" style="1645" width="35.00390625" customWidth="1"/>
    <col min="8" max="8" style="1645" width="89.00390625" customWidth="1"/>
    <col min="9" max="9" style="1645" width="10.00390625" customWidth="1"/>
    <col min="10" max="11" style="1634" width="10.00390625" customWidth="1"/>
    <col min="12" max="17" style="1645" width="10.00390625" customWidth="1"/>
    <col min="18" max="18" style="1645" width="10.57421875" hidden="1"/>
  </cols>
  <sheetData>
    <row customHeight="1" ht="22.5" hidden="1">
      <c r="N1" s="265"/>
      <c r="O1" s="265"/>
      <c r="Q1" s="265"/>
      <c r="R1" s="384" t="s">
        <v>14</v>
      </c>
    </row>
    <row s="1645" customFormat="1" customHeight="1" ht="18.75" hidden="1">
      <c r="A2" s="112"/>
      <c r="B2" s="1170"/>
      <c r="C2" s="1740" t="s">
        <v>105</v>
      </c>
      <c r="D2" s="1683"/>
      <c r="E2" s="1692"/>
      <c r="F2" s="267"/>
      <c r="G2" s="1171"/>
      <c r="H2" s="384"/>
      <c r="I2" s="1634"/>
      <c r="J2" s="1634"/>
      <c r="R2" s="1641">
        <v>0</v>
      </c>
    </row>
    <row customHeight="1" ht="14.25" hidden="1">
      <c r="R3" s="384">
        <v>0</v>
      </c>
    </row>
    <row customHeight="1" ht="6.3">
      <c r="C4" s="386"/>
      <c r="D4" s="373"/>
      <c r="E4" s="373"/>
      <c r="F4" s="373"/>
      <c r="G4" s="95"/>
      <c r="H4" s="95"/>
      <c r="R4" s="384">
        <v>6</v>
      </c>
    </row>
    <row customHeight="1" ht="34.5">
      <c r="C5" s="386"/>
      <c r="D5" s="2464"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65"/>
      <c r="F5" s="2465"/>
      <c r="G5" s="2466"/>
      <c r="H5" s="276"/>
      <c r="R5" s="384">
        <v>33</v>
      </c>
    </row>
    <row s="1645" customFormat="1" customHeight="1" ht="18">
      <c r="A6" s="1679"/>
      <c r="B6" s="1170"/>
      <c r="C6" s="386"/>
      <c r="D6" s="2467" t="str">
        <f>IF(org=0,"Не определено",org)</f>
        <v>АО «ДГК» СП «Нерюнгринская ГРЭС»</v>
      </c>
      <c r="E6" s="2468"/>
      <c r="F6" s="2468"/>
      <c r="G6" s="2469"/>
      <c r="H6" s="276"/>
      <c r="J6" s="1634"/>
      <c r="K6" s="1634"/>
      <c r="R6" s="1641">
        <v>17</v>
      </c>
    </row>
    <row customHeight="1" ht="14.699999999999998">
      <c r="C7" s="386"/>
      <c r="D7" s="373"/>
      <c r="E7" s="399"/>
      <c r="F7" s="399"/>
      <c r="G7" s="762"/>
      <c r="H7" s="203"/>
      <c r="R7" s="384">
        <v>14</v>
      </c>
    </row>
    <row customHeight="1" ht="14.699999999999998">
      <c r="C8" s="386"/>
      <c r="D8" s="2219" t="s">
        <v>322</v>
      </c>
      <c r="E8" s="2219"/>
      <c r="F8" s="2219"/>
      <c r="G8" s="2219"/>
      <c r="H8" s="2399" t="s">
        <v>323</v>
      </c>
      <c r="R8" s="384">
        <v>14</v>
      </c>
    </row>
    <row customHeight="1" ht="24">
      <c r="C9" s="386"/>
      <c r="D9" s="396" t="s">
        <v>88</v>
      </c>
      <c r="E9" s="118" t="s">
        <v>324</v>
      </c>
      <c r="F9" s="118" t="s">
        <v>325</v>
      </c>
      <c r="G9" s="118" t="s">
        <v>412</v>
      </c>
      <c r="H9" s="2399"/>
      <c r="R9" s="384">
        <v>23</v>
      </c>
    </row>
    <row customHeight="1" ht="14.699999999999998">
      <c r="A10" s="353"/>
      <c r="C10" s="386"/>
      <c r="D10" s="157" t="s">
        <v>124</v>
      </c>
      <c r="E10" s="189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7"/>
      <c r="G10" s="223"/>
      <c r="H10" s="2179" t="s">
        <v>1437</v>
      </c>
      <c r="R10" s="384">
        <v>14</v>
      </c>
    </row>
    <row customHeight="1" ht="14.699999999999998">
      <c r="A11" s="353"/>
      <c r="C11" s="386"/>
      <c r="D11" s="157" t="s">
        <v>104</v>
      </c>
      <c r="E11" s="189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7"/>
      <c r="G11" s="223"/>
      <c r="H11" s="2180"/>
      <c r="R11" s="384">
        <v>14</v>
      </c>
    </row>
    <row customHeight="1" ht="14.699999999999998">
      <c r="A12" s="112"/>
      <c r="C12" s="397"/>
      <c r="D12" s="157" t="s">
        <v>90</v>
      </c>
      <c r="E12" s="398" t="str">
        <f>"Сведения о планировании закупочных процедур"&amp;IF(TEMPLATE_SPHERE="TKO"," &lt;1&gt;","")</f>
        <v>Сведения о планировании закупочных процедур</v>
      </c>
      <c r="F12" s="267"/>
      <c r="G12" s="223"/>
      <c r="H12" s="218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60"/>
      <c r="K12" s="384"/>
      <c r="R12" s="384">
        <v>14</v>
      </c>
    </row>
    <row customHeight="1" ht="14.699999999999998">
      <c r="A13" s="112"/>
      <c r="C13" s="397"/>
      <c r="D13" s="157" t="s">
        <v>91</v>
      </c>
      <c r="E13" s="398" t="str">
        <f>"Сведения о результатах проведения закупочных процедур"&amp;IF(TEMPLATE_SPHERE="TKO"," &lt;1&gt;","")</f>
        <v>Сведения о результатах проведения закупочных процедур</v>
      </c>
      <c r="F13" s="267"/>
      <c r="G13" s="223"/>
      <c r="H13" s="2180"/>
      <c r="I13" s="360"/>
      <c r="K13" s="384"/>
      <c r="R13" s="384">
        <v>14</v>
      </c>
    </row>
    <row customHeight="1" ht="14.699999999999998">
      <c r="A14" s="353"/>
      <c r="C14" s="386"/>
      <c r="D14" s="357"/>
      <c r="E14" s="405" t="s">
        <v>344</v>
      </c>
      <c r="F14" s="359"/>
      <c r="G14" s="211"/>
      <c r="H14" s="2181"/>
      <c r="R14" s="384">
        <v>14</v>
      </c>
    </row>
    <row s="1645" customFormat="1" customHeight="1" ht="14.699999999999998">
      <c r="A15" s="353"/>
      <c r="B15" s="1170"/>
      <c r="C15" s="386"/>
      <c r="D15" s="406"/>
      <c r="E15" s="1687"/>
      <c r="F15" s="1688"/>
      <c r="G15" s="1689"/>
      <c r="H15" s="1690"/>
      <c r="J15" s="1634"/>
      <c r="K15" s="1634"/>
      <c r="R15" s="1641">
        <v>14</v>
      </c>
    </row>
    <row customHeight="1" ht="14.699999999999998">
      <c r="D16" s="1691"/>
      <c r="E16" s="2395"/>
      <c r="F16" s="2395"/>
      <c r="G16" s="2395"/>
      <c r="H16" s="2395"/>
      <c r="R16" s="384">
        <v>14</v>
      </c>
    </row>
    <row customHeight="1" ht="22.5" hidden="1">
      <c r="A17" s="374" t="s">
        <v>82</v>
      </c>
      <c r="B17" s="156">
        <v>0</v>
      </c>
      <c r="C17" s="354">
        <v>3</v>
      </c>
      <c r="D17" s="384">
        <v>6</v>
      </c>
      <c r="E17" s="384">
        <v>53</v>
      </c>
      <c r="F17" s="384">
        <v>35</v>
      </c>
      <c r="G17" s="384">
        <v>35</v>
      </c>
      <c r="H17" s="384">
        <v>89</v>
      </c>
      <c r="I17" s="384">
        <v>10</v>
      </c>
      <c r="J17" s="360">
        <v>10</v>
      </c>
      <c r="K17" s="360">
        <v>10</v>
      </c>
      <c r="L17" s="384">
        <v>10</v>
      </c>
      <c r="M17" s="384">
        <v>10</v>
      </c>
      <c r="N17" s="384">
        <v>10</v>
      </c>
      <c r="O17" s="384">
        <v>10</v>
      </c>
      <c r="P17" s="384">
        <v>10</v>
      </c>
      <c r="Q17" s="384">
        <v>10</v>
      </c>
      <c r="R17" s="384">
        <v>23</v>
      </c>
    </row>
  </sheetData>
  <sheetProtection sheet="1" formatColumns="0" formatRows="0" autoFilter="0" sort="1" insertRows="1" insertColumns="1" deleteRows="1" deleteColumns="1"/>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973379-3BBC-4C98-E213-0.9B642B3}"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34" width="3.7109375" hidden="1" customWidth="1"/>
    <col min="3" max="3" style="1863" width="3.00390625" customWidth="1"/>
    <col min="4" max="4" style="1863" width="6.00390625" customWidth="1"/>
    <col min="5" max="5" style="1863" width="42.00390625" customWidth="1"/>
    <col min="6" max="6" style="1863" width="15.00390625" customWidth="1"/>
    <col min="7" max="7" style="1863" width="42.00390625" customWidth="1"/>
    <col min="8" max="8" style="1863" width="3.00390625" customWidth="1"/>
    <col min="9" max="9" style="1863" width="5.00390625" customWidth="1"/>
    <col min="10" max="10" style="1863" width="47.00390625" customWidth="1"/>
    <col min="11" max="12" style="1863" width="3.00390625" customWidth="1"/>
    <col min="13" max="13" style="1863" width="5.00390625" customWidth="1"/>
    <col min="14" max="14" style="1863" width="28.00390625" customWidth="1"/>
    <col min="15" max="16" style="1863" width="3.00390625" customWidth="1"/>
    <col min="17" max="17" style="1863" width="5.00390625" customWidth="1"/>
    <col min="18" max="18" style="1863" width="34.00390625" customWidth="1"/>
    <col min="19" max="20" style="1863" width="3.7109375" customWidth="1"/>
    <col min="21" max="21" style="1863" width="5.7109375" customWidth="1"/>
    <col min="22" max="22" style="1863" width="34.421875" customWidth="1"/>
    <col min="23" max="23" style="1863" width="30.00390625" customWidth="1"/>
    <col min="24" max="24" style="1863" width="3.00390625" customWidth="1"/>
    <col min="25" max="28" style="1276" width="9.8515625" hidden="1" customWidth="1"/>
    <col min="29" max="29" style="1276" width="27.00390625" hidden="1" customWidth="1"/>
    <col min="30" max="30" style="1276" width="10.57421875" hidden="1" customWidth="1"/>
    <col min="31" max="31" style="1276" width="10.7109375" hidden="1" customWidth="1"/>
    <col min="32" max="32" style="1276" width="10.00390625" hidden="1" customWidth="1"/>
    <col min="33" max="33" style="1276" width="12.8515625" hidden="1" customWidth="1"/>
    <col min="34" max="34" style="1276" width="24.421875" hidden="1" customWidth="1"/>
    <col min="35" max="35" style="1276" width="15.8515625" hidden="1" customWidth="1"/>
    <col min="36" max="36" style="1276" width="19.421875" hidden="1" customWidth="1"/>
    <col min="37" max="37" style="1276" width="11.00390625" hidden="1" customWidth="1"/>
    <col min="38" max="38" style="1276" width="23.57421875" hidden="1" customWidth="1"/>
    <col min="39" max="39" style="1276" width="23.8515625" hidden="1" customWidth="1"/>
    <col min="40" max="40" style="1276" width="25.28125" hidden="1" customWidth="1"/>
    <col min="41" max="41" style="1276" width="16.8515625" hidden="1" customWidth="1"/>
    <col min="42" max="42" style="1276" width="29.57421875" hidden="1" customWidth="1"/>
    <col min="43" max="43" style="1276" width="29.8515625" hidden="1" customWidth="1"/>
    <col min="44" max="44" style="1863" width="9.140625" hidden="1"/>
  </cols>
  <sheetData>
    <row customHeight="1" ht="11.25" hidden="1">
      <c r="A1" s="166"/>
      <c r="AR1" s="114" t="s">
        <v>14</v>
      </c>
    </row>
    <row customHeight="1" ht="11.25" hidden="1">
      <c r="AR2" s="114">
        <v>0</v>
      </c>
    </row>
    <row customHeight="1" ht="11.25" hidden="1">
      <c r="AR3" s="114">
        <v>0</v>
      </c>
    </row>
    <row customHeight="1" ht="3">
      <c r="AR4" s="114">
        <v>3</v>
      </c>
    </row>
    <row s="599" customFormat="1" customHeight="1" ht="30.45">
      <c r="A5" s="164"/>
      <c r="B5" s="164"/>
      <c r="D5" s="216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8"/>
      <c r="F5" s="2168"/>
      <c r="G5" s="2168"/>
      <c r="H5" s="2168"/>
      <c r="I5" s="2168"/>
      <c r="J5" s="2169"/>
      <c r="K5" s="275"/>
      <c r="L5" s="152"/>
      <c r="M5" s="152"/>
      <c r="N5" s="152"/>
      <c r="O5" s="152"/>
      <c r="P5" s="152"/>
      <c r="Q5" s="152"/>
      <c r="R5" s="152"/>
      <c r="S5" s="300"/>
      <c r="T5" s="300"/>
      <c r="U5" s="300"/>
      <c r="V5" s="300"/>
      <c r="W5" s="152"/>
      <c r="Y5" s="1270"/>
      <c r="Z5" s="1270"/>
      <c r="AA5" s="1270"/>
      <c r="AB5" s="1270"/>
      <c r="AC5" s="1270"/>
      <c r="AD5" s="1270"/>
      <c r="AE5" s="1270"/>
      <c r="AF5" s="1270"/>
      <c r="AG5" s="1270"/>
      <c r="AH5" s="1270"/>
      <c r="AI5" s="1270"/>
      <c r="AJ5" s="1270"/>
      <c r="AK5" s="1270"/>
      <c r="AL5" s="1270"/>
      <c r="AM5" s="1270"/>
      <c r="AN5" s="1270"/>
      <c r="AO5" s="1270"/>
      <c r="AP5" s="1270"/>
      <c r="AQ5" s="1270"/>
      <c r="AR5" s="121">
        <v>29</v>
      </c>
    </row>
    <row s="599" customFormat="1" customHeight="1" ht="14.699999999999998">
      <c r="A6" s="595"/>
      <c r="B6" s="595"/>
      <c r="C6" s="595"/>
      <c r="D6" s="2173" t="str">
        <f>IF(org=0,"Не определено",org)</f>
        <v>АО «ДГК» СП «Нерюнгринская ГРЭС»</v>
      </c>
      <c r="E6" s="2173"/>
      <c r="F6" s="2173"/>
      <c r="G6" s="2173"/>
      <c r="H6" s="2173"/>
      <c r="I6" s="2173"/>
      <c r="J6" s="2173"/>
      <c r="K6" s="596"/>
      <c r="L6" s="596"/>
      <c r="M6" s="596"/>
      <c r="N6" s="596"/>
      <c r="O6" s="880"/>
      <c r="P6" s="880"/>
      <c r="Q6" s="880"/>
      <c r="R6" s="880"/>
      <c r="S6" s="880"/>
      <c r="T6" s="880"/>
      <c r="U6" s="880"/>
      <c r="V6" s="880"/>
      <c r="W6" s="880"/>
      <c r="X6" s="596"/>
      <c r="Y6" s="1271"/>
      <c r="Z6" s="1271"/>
      <c r="AA6" s="1271"/>
      <c r="AB6" s="1271"/>
      <c r="AC6" s="1271"/>
      <c r="AD6" s="1271"/>
      <c r="AE6" s="1271"/>
      <c r="AF6" s="1271"/>
      <c r="AG6" s="1271"/>
      <c r="AH6" s="1271"/>
      <c r="AI6" s="1271"/>
      <c r="AJ6" s="1271"/>
      <c r="AK6" s="1271"/>
      <c r="AL6" s="1271"/>
      <c r="AM6" s="1271"/>
      <c r="AN6" s="1271"/>
      <c r="AO6" s="1271"/>
      <c r="AP6" s="1271"/>
      <c r="AQ6" s="1271"/>
      <c r="AR6" s="597">
        <v>14</v>
      </c>
    </row>
    <row s="309" customFormat="1" customHeight="1" ht="11.549999999999999">
      <c r="A7" s="221"/>
      <c r="B7" s="221"/>
      <c r="D7" s="2170"/>
      <c r="E7" s="2171"/>
      <c r="F7" s="2171"/>
      <c r="G7" s="2171"/>
      <c r="H7" s="2171"/>
      <c r="I7" s="2171"/>
      <c r="J7" s="2172"/>
      <c r="S7" s="309"/>
      <c r="T7" s="309"/>
      <c r="U7" s="309"/>
      <c r="V7" s="309"/>
      <c r="Y7" s="1272"/>
      <c r="Z7" s="1272"/>
      <c r="AA7" s="1272"/>
      <c r="AB7" s="1272"/>
      <c r="AC7" s="1272"/>
      <c r="AD7" s="1272"/>
      <c r="AE7" s="1272"/>
      <c r="AF7" s="1272"/>
      <c r="AG7" s="1272"/>
      <c r="AH7" s="1272"/>
      <c r="AI7" s="1272"/>
      <c r="AJ7" s="1272"/>
      <c r="AK7" s="1272"/>
      <c r="AL7" s="1272"/>
      <c r="AM7" s="1272"/>
      <c r="AN7" s="1272"/>
      <c r="AO7" s="1272"/>
      <c r="AP7" s="1272"/>
      <c r="AQ7" s="1272"/>
      <c r="AR7" s="286">
        <v>11</v>
      </c>
    </row>
    <row s="599" customFormat="1" customHeight="1" ht="1.05">
      <c r="A8" s="164"/>
      <c r="B8" s="164"/>
      <c r="D8" s="222"/>
      <c r="E8" s="222"/>
      <c r="F8" s="222"/>
      <c r="G8" s="222"/>
      <c r="H8" s="222"/>
      <c r="I8" s="222"/>
      <c r="J8" s="222"/>
      <c r="K8" s="222"/>
      <c r="L8" s="222"/>
      <c r="M8" s="222"/>
      <c r="N8" s="222"/>
      <c r="O8" s="222"/>
      <c r="P8" s="222"/>
      <c r="Q8" s="222"/>
      <c r="R8" s="222"/>
      <c r="S8" s="222"/>
      <c r="T8" s="222"/>
      <c r="U8" s="222"/>
      <c r="V8" s="222"/>
      <c r="W8" s="222"/>
      <c r="X8" s="142"/>
      <c r="Y8" s="1270"/>
      <c r="Z8" s="1270"/>
      <c r="AA8" s="1270"/>
      <c r="AB8" s="1270"/>
      <c r="AC8" s="1270"/>
      <c r="AD8" s="1270"/>
      <c r="AE8" s="1270"/>
      <c r="AF8" s="1270"/>
      <c r="AG8" s="1270"/>
      <c r="AH8" s="1270"/>
      <c r="AI8" s="1270"/>
      <c r="AJ8" s="1270"/>
      <c r="AK8" s="1270"/>
      <c r="AL8" s="1270"/>
      <c r="AM8" s="1270"/>
      <c r="AN8" s="1270"/>
      <c r="AO8" s="1270"/>
      <c r="AP8" s="1270"/>
      <c r="AQ8" s="1270"/>
      <c r="AR8" s="121">
        <v>1</v>
      </c>
    </row>
    <row customHeight="1" ht="28.5">
      <c r="D9" s="2137" t="s">
        <v>88</v>
      </c>
      <c r="E9" s="2111" t="s">
        <v>146</v>
      </c>
      <c r="F9" s="2113"/>
      <c r="G9" s="2137" t="s">
        <v>120</v>
      </c>
      <c r="H9" s="2137" t="s">
        <v>88</v>
      </c>
      <c r="I9" s="2137"/>
      <c r="J9" s="2137" t="s">
        <v>147</v>
      </c>
      <c r="K9" s="2165" t="s">
        <v>148</v>
      </c>
      <c r="L9" s="2165"/>
      <c r="M9" s="2165"/>
      <c r="N9" s="2165"/>
      <c r="O9" s="2165" t="s">
        <v>149</v>
      </c>
      <c r="P9" s="2165"/>
      <c r="Q9" s="2165"/>
      <c r="R9" s="2165"/>
      <c r="S9" s="2165" t="s">
        <v>150</v>
      </c>
      <c r="T9" s="2165"/>
      <c r="U9" s="2165"/>
      <c r="V9" s="2165"/>
      <c r="W9" s="2137" t="s">
        <v>151</v>
      </c>
      <c r="AR9" s="114">
        <v>27</v>
      </c>
    </row>
    <row customHeight="1" ht="31.5">
      <c r="D10" s="2137"/>
      <c r="E10" s="1294" t="s">
        <v>89</v>
      </c>
      <c r="F10" s="1294" t="s">
        <v>152</v>
      </c>
      <c r="G10" s="2137"/>
      <c r="H10" s="2137"/>
      <c r="I10" s="2137"/>
      <c r="J10" s="2137"/>
      <c r="K10" s="120" t="s">
        <v>123</v>
      </c>
      <c r="L10" s="2137" t="s">
        <v>88</v>
      </c>
      <c r="M10" s="2137"/>
      <c r="N10" s="120" t="s">
        <v>153</v>
      </c>
      <c r="O10" s="120" t="s">
        <v>123</v>
      </c>
      <c r="P10" s="2137" t="s">
        <v>88</v>
      </c>
      <c r="Q10" s="2137"/>
      <c r="R10" s="120" t="s">
        <v>153</v>
      </c>
      <c r="S10" s="293" t="s">
        <v>123</v>
      </c>
      <c r="T10" s="2137" t="s">
        <v>88</v>
      </c>
      <c r="U10" s="2137"/>
      <c r="V10" s="293" t="s">
        <v>89</v>
      </c>
      <c r="W10" s="2137"/>
      <c r="Z10" s="1269" t="s">
        <v>154</v>
      </c>
      <c r="AA10" s="1269" t="s">
        <v>155</v>
      </c>
      <c r="AB10" s="1269" t="s">
        <v>156</v>
      </c>
      <c r="AC10" s="1269" t="s">
        <v>157</v>
      </c>
      <c r="AD10" s="1269" t="s">
        <v>158</v>
      </c>
      <c r="AE10" s="1269" t="s">
        <v>159</v>
      </c>
      <c r="AF10" s="1269" t="s">
        <v>160</v>
      </c>
      <c r="AG10" s="1269" t="s">
        <v>161</v>
      </c>
      <c r="AH10" s="1269" t="s">
        <v>162</v>
      </c>
      <c r="AI10" s="1269" t="s">
        <v>163</v>
      </c>
      <c r="AJ10" s="1269" t="s">
        <v>164</v>
      </c>
      <c r="AK10" s="1269" t="s">
        <v>165</v>
      </c>
      <c r="AL10" s="1269" t="s">
        <v>166</v>
      </c>
      <c r="AM10" s="1269" t="s">
        <v>167</v>
      </c>
      <c r="AN10" s="1269" t="s">
        <v>168</v>
      </c>
      <c r="AO10" s="1269" t="s">
        <v>169</v>
      </c>
      <c r="AP10" s="1269" t="s">
        <v>170</v>
      </c>
      <c r="AQ10" s="1269" t="s">
        <v>171</v>
      </c>
      <c r="AR10" s="114">
        <v>30</v>
      </c>
    </row>
    <row s="1634" customFormat="1" customHeight="1" ht="12" hidden="1">
      <c r="D11" s="1259" t="s">
        <v>124</v>
      </c>
      <c r="E11" s="1259" t="s">
        <v>104</v>
      </c>
      <c r="F11" s="1259"/>
      <c r="G11" s="1259" t="s">
        <v>90</v>
      </c>
      <c r="H11" s="2166" t="s">
        <v>125</v>
      </c>
      <c r="I11" s="2166"/>
      <c r="J11" s="1259" t="s">
        <v>92</v>
      </c>
      <c r="K11" s="1259" t="s">
        <v>93</v>
      </c>
      <c r="L11" s="2166" t="s">
        <v>126</v>
      </c>
      <c r="M11" s="2166"/>
      <c r="N11" s="1259" t="s">
        <v>172</v>
      </c>
      <c r="O11" s="1259" t="s">
        <v>173</v>
      </c>
      <c r="P11" s="2166" t="s">
        <v>174</v>
      </c>
      <c r="Q11" s="2166"/>
      <c r="R11" s="1259" t="s">
        <v>175</v>
      </c>
      <c r="S11" s="1259" t="s">
        <v>174</v>
      </c>
      <c r="T11" s="2166" t="s">
        <v>175</v>
      </c>
      <c r="U11" s="2166"/>
      <c r="V11" s="1259" t="s">
        <v>176</v>
      </c>
      <c r="W11" s="1259" t="s">
        <v>177</v>
      </c>
      <c r="Y11" s="1269"/>
      <c r="Z11" s="1269"/>
      <c r="AA11" s="1269"/>
      <c r="AB11" s="1269"/>
      <c r="AC11" s="1269"/>
      <c r="AD11" s="1269"/>
      <c r="AE11" s="1269"/>
      <c r="AF11" s="1269"/>
      <c r="AG11" s="1269"/>
      <c r="AH11" s="1269"/>
      <c r="AI11" s="1269"/>
      <c r="AJ11" s="1269"/>
      <c r="AK11" s="1269"/>
      <c r="AL11" s="1269"/>
      <c r="AM11" s="1269"/>
      <c r="AN11" s="1269"/>
      <c r="AO11" s="1269"/>
      <c r="AP11" s="1269"/>
      <c r="AQ11" s="1269"/>
      <c r="AR11" s="287">
        <v>0</v>
      </c>
    </row>
    <row customHeight="1" ht="14.25" hidden="1">
      <c r="C12" s="219"/>
      <c r="D12" s="1292">
        <v>0</v>
      </c>
      <c r="E12" s="260"/>
      <c r="F12" s="260"/>
      <c r="G12" s="260"/>
      <c r="H12" s="261"/>
      <c r="I12" s="261"/>
      <c r="J12" s="168"/>
      <c r="K12" s="122"/>
      <c r="L12" s="168"/>
      <c r="M12" s="168"/>
      <c r="N12" s="262"/>
      <c r="O12" s="122"/>
      <c r="P12" s="168"/>
      <c r="Q12" s="168"/>
      <c r="R12" s="263"/>
      <c r="S12" s="294"/>
      <c r="T12" s="302"/>
      <c r="U12" s="302"/>
      <c r="V12" s="306"/>
      <c r="W12" s="122"/>
      <c r="X12" s="151"/>
      <c r="AR12" s="114">
        <v>0</v>
      </c>
    </row>
    <row s="1863" customFormat="1" customHeight="1" ht="17.25" hidden="1">
      <c r="A13" s="331"/>
      <c r="C13" s="219"/>
      <c r="D13" s="2145">
        <v>1</v>
      </c>
      <c r="E13" s="2153" t="s">
        <v>178</v>
      </c>
      <c r="F13" s="2155" t="s">
        <v>19</v>
      </c>
      <c r="G13" s="2153"/>
      <c r="H13" s="2158"/>
      <c r="I13" s="2160"/>
      <c r="J13" s="2162"/>
      <c r="K13" s="2147"/>
      <c r="L13" s="2147"/>
      <c r="M13" s="2147"/>
      <c r="N13" s="2149"/>
      <c r="O13" s="2147"/>
      <c r="P13" s="2147"/>
      <c r="Q13" s="2147"/>
      <c r="R13" s="2152"/>
      <c r="S13" s="2147"/>
      <c r="T13" s="1430"/>
      <c r="U13" s="1430"/>
      <c r="V13" s="1429"/>
      <c r="W13" s="1306"/>
      <c r="Y13" s="1277"/>
      <c r="Z13" s="1277"/>
      <c r="AA13" s="1277"/>
      <c r="AB13" s="1277"/>
      <c r="AC13" s="1277" t="s">
        <v>179</v>
      </c>
      <c r="AD13" s="1277" t="s">
        <v>180</v>
      </c>
      <c r="AE13" s="1277" t="s">
        <v>181</v>
      </c>
      <c r="AF13" s="1277" t="s">
        <v>182</v>
      </c>
      <c r="AG13" s="1277" t="s">
        <v>183</v>
      </c>
      <c r="AH13" s="127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7" t="str">
        <f>IF($G$13=0,"",$G$13)</f>
        <v/>
      </c>
      <c r="AJ13" s="1277" t="str">
        <f>IF($J$13=0,"",$J$13)</f>
        <v/>
      </c>
      <c r="AK13" s="1277" t="str">
        <f>IF($K$13="нет","без дифференциации",IF($N$13=0,"",$N$13))</f>
        <v/>
      </c>
      <c r="AL13" s="1277" t="str">
        <f>IF($O$13="нет","без дифференциации",IF($R$13=0,"",$R$13))</f>
        <v/>
      </c>
      <c r="AM13" s="1277" t="str">
        <f>IF($S$13="нет","без дифференциации",IF($V$13=0,"",$V$13))</f>
        <v/>
      </c>
      <c r="AN13" s="1277">
        <f>$I$13</f>
        <v>0</v>
      </c>
      <c r="AO13" s="1277" t="str">
        <f>$I$13&amp;"."&amp;$M$13</f>
        <v>.</v>
      </c>
      <c r="AP13" s="1277" t="str">
        <f>$I$13&amp;"."&amp;$M$13&amp;"."&amp;$Q$13</f>
        <v>..</v>
      </c>
      <c r="AQ13" s="1277" t="str">
        <f>$I$13&amp;"."&amp;$M$13&amp;"."&amp;$Q$13&amp;"."&amp;$U$13</f>
        <v>...</v>
      </c>
      <c r="AR13" s="760">
        <v>0</v>
      </c>
    </row>
    <row s="1863" customFormat="1" customHeight="1" ht="17.25" hidden="1">
      <c r="A14" s="331"/>
      <c r="C14" s="330"/>
      <c r="D14" s="2145"/>
      <c r="E14" s="2153"/>
      <c r="F14" s="2156"/>
      <c r="G14" s="2153"/>
      <c r="H14" s="2159"/>
      <c r="I14" s="2161"/>
      <c r="J14" s="2163"/>
      <c r="K14" s="2148"/>
      <c r="L14" s="2148"/>
      <c r="M14" s="2148"/>
      <c r="N14" s="2150"/>
      <c r="O14" s="2148"/>
      <c r="P14" s="2148"/>
      <c r="Q14" s="2148"/>
      <c r="R14" s="2151"/>
      <c r="S14" s="2148"/>
      <c r="T14" s="1307"/>
      <c r="U14" s="1307"/>
      <c r="V14" s="1307"/>
      <c r="W14" s="1308"/>
      <c r="Y14" s="1269"/>
      <c r="Z14" s="1269"/>
      <c r="AA14" s="1269"/>
      <c r="AB14" s="1269"/>
      <c r="AC14" s="1269"/>
      <c r="AD14" s="1269"/>
      <c r="AE14" s="1269"/>
      <c r="AF14" s="1269"/>
      <c r="AG14" s="1269"/>
      <c r="AH14" s="1269"/>
      <c r="AI14" s="1269"/>
      <c r="AJ14" s="1269"/>
      <c r="AK14" s="1269"/>
      <c r="AL14" s="1269"/>
      <c r="AM14" s="1269"/>
      <c r="AN14" s="1269"/>
      <c r="AO14" s="1269"/>
      <c r="AP14" s="1269"/>
      <c r="AQ14" s="1269"/>
      <c r="AR14" s="760">
        <v>0</v>
      </c>
    </row>
    <row s="1863" customFormat="1" customHeight="1" ht="17.25" hidden="1">
      <c r="A15" s="331"/>
      <c r="C15" s="219"/>
      <c r="D15" s="2145"/>
      <c r="E15" s="2153"/>
      <c r="F15" s="2156"/>
      <c r="G15" s="2153"/>
      <c r="H15" s="2159"/>
      <c r="I15" s="2161"/>
      <c r="J15" s="2164"/>
      <c r="K15" s="2148"/>
      <c r="L15" s="2148"/>
      <c r="M15" s="2148"/>
      <c r="N15" s="2151"/>
      <c r="O15" s="2148"/>
      <c r="P15" s="1428"/>
      <c r="Q15" s="1307"/>
      <c r="R15" s="1307"/>
      <c r="S15" s="339"/>
      <c r="T15" s="339"/>
      <c r="U15" s="339"/>
      <c r="V15" s="339"/>
      <c r="W15" s="1308"/>
      <c r="Y15" s="1277"/>
      <c r="Z15" s="1277"/>
      <c r="AA15" s="1277"/>
      <c r="AB15" s="1277"/>
      <c r="AC15" s="1277"/>
      <c r="AD15" s="1277"/>
      <c r="AE15" s="1277"/>
      <c r="AF15" s="1277"/>
      <c r="AG15" s="1277"/>
      <c r="AH15" s="1277"/>
      <c r="AI15" s="1277"/>
      <c r="AJ15" s="1277"/>
      <c r="AK15" s="1277"/>
      <c r="AL15" s="1277"/>
      <c r="AM15" s="1277"/>
      <c r="AN15" s="1277"/>
      <c r="AO15" s="1277"/>
      <c r="AP15" s="1277"/>
      <c r="AQ15" s="1277"/>
      <c r="AR15" s="1427">
        <v>0</v>
      </c>
    </row>
    <row s="1863" customFormat="1" customHeight="1" ht="17.25" hidden="1">
      <c r="A16" s="331"/>
      <c r="C16" s="330"/>
      <c r="D16" s="2145"/>
      <c r="E16" s="2153"/>
      <c r="F16" s="2156"/>
      <c r="G16" s="2153"/>
      <c r="H16" s="2159"/>
      <c r="I16" s="2161"/>
      <c r="J16" s="2164"/>
      <c r="K16" s="2148"/>
      <c r="L16" s="1307"/>
      <c r="M16" s="1307"/>
      <c r="N16" s="1307"/>
      <c r="O16" s="1307"/>
      <c r="P16" s="1307"/>
      <c r="Q16" s="1307"/>
      <c r="R16" s="1307"/>
      <c r="S16" s="339"/>
      <c r="T16" s="339"/>
      <c r="U16" s="339"/>
      <c r="V16" s="339"/>
      <c r="W16" s="1308"/>
      <c r="Y16" s="1269"/>
      <c r="Z16" s="1269"/>
      <c r="AA16" s="1269"/>
      <c r="AB16" s="1269"/>
      <c r="AC16" s="1269"/>
      <c r="AD16" s="1269"/>
      <c r="AE16" s="1269"/>
      <c r="AF16" s="1269"/>
      <c r="AG16" s="1269"/>
      <c r="AH16" s="1269"/>
      <c r="AI16" s="1269"/>
      <c r="AJ16" s="1269"/>
      <c r="AK16" s="1269"/>
      <c r="AL16" s="1269"/>
      <c r="AM16" s="1269"/>
      <c r="AN16" s="1269"/>
      <c r="AO16" s="1269"/>
      <c r="AP16" s="1269"/>
      <c r="AQ16" s="1269"/>
      <c r="AR16" s="1427">
        <v>0</v>
      </c>
    </row>
    <row s="1863" customFormat="1" customHeight="1" ht="17.25" hidden="1">
      <c r="A17" s="331"/>
      <c r="C17" s="330"/>
      <c r="D17" s="2146"/>
      <c r="E17" s="2154"/>
      <c r="F17" s="2157"/>
      <c r="G17" s="2154"/>
      <c r="H17" s="1309"/>
      <c r="I17" s="1310"/>
      <c r="J17" s="1310"/>
      <c r="K17" s="1310"/>
      <c r="L17" s="1310"/>
      <c r="M17" s="1310"/>
      <c r="N17" s="1310"/>
      <c r="O17" s="1310"/>
      <c r="P17" s="1310"/>
      <c r="Q17" s="1310"/>
      <c r="R17" s="1310"/>
      <c r="S17" s="1311"/>
      <c r="T17" s="1311"/>
      <c r="U17" s="1311"/>
      <c r="V17" s="1311"/>
      <c r="W17" s="1312"/>
      <c r="Y17" s="1269"/>
      <c r="Z17" s="1269"/>
      <c r="AA17" s="1269"/>
      <c r="AB17" s="1269"/>
      <c r="AC17" s="1269"/>
      <c r="AD17" s="1269"/>
      <c r="AE17" s="1269"/>
      <c r="AF17" s="1269"/>
      <c r="AG17" s="1269"/>
      <c r="AH17" s="1269"/>
      <c r="AI17" s="1269"/>
      <c r="AJ17" s="1269"/>
      <c r="AK17" s="1269"/>
      <c r="AL17" s="1269"/>
      <c r="AM17" s="1269"/>
      <c r="AN17" s="1269"/>
      <c r="AO17" s="1269"/>
      <c r="AP17" s="1269"/>
      <c r="AQ17" s="1269"/>
      <c r="AR17" s="760">
        <v>0</v>
      </c>
    </row>
    <row s="1863" customFormat="1" customHeight="1" ht="17.25" hidden="1">
      <c r="A18" s="331"/>
      <c r="C18" s="219"/>
      <c r="D18" s="2145">
        <v>2</v>
      </c>
      <c r="E18" s="2174"/>
      <c r="F18" s="2155" t="s">
        <v>19</v>
      </c>
      <c r="G18" s="2153"/>
      <c r="H18" s="2158"/>
      <c r="I18" s="2160"/>
      <c r="J18" s="2162"/>
      <c r="K18" s="2147"/>
      <c r="L18" s="2147"/>
      <c r="M18" s="2147"/>
      <c r="N18" s="2149"/>
      <c r="O18" s="2147"/>
      <c r="P18" s="2147"/>
      <c r="Q18" s="2147"/>
      <c r="R18" s="2152"/>
      <c r="S18" s="2147"/>
      <c r="T18" s="1430"/>
      <c r="U18" s="1430"/>
      <c r="V18" s="1429"/>
      <c r="W18" s="1306"/>
      <c r="X18" s="1277"/>
      <c r="Y18" s="1277"/>
      <c r="Z18" s="1277"/>
      <c r="AA18" s="1277"/>
      <c r="AB18" s="1277"/>
      <c r="AC18" s="1277" t="s">
        <v>184</v>
      </c>
      <c r="AD18" s="1277" t="s">
        <v>185</v>
      </c>
      <c r="AE18" s="1277" t="s">
        <v>186</v>
      </c>
      <c r="AF18" s="1277" t="s">
        <v>187</v>
      </c>
      <c r="AG18" s="1277" t="s">
        <v>188</v>
      </c>
      <c r="AH18" s="1277" t="str">
        <f>IF($E$18=0,"",$E$18)</f>
        <v/>
      </c>
      <c r="AI18" s="1277" t="str">
        <f>IF($G$18=0,"",$G$18)</f>
        <v/>
      </c>
      <c r="AJ18" s="1277" t="str">
        <f>IF($J$18=0,"",$J$18)</f>
        <v/>
      </c>
      <c r="AK18" s="1277" t="str">
        <f>IF($K$18="нет","без дифференциации",IF($N$18=0,"",$N$18))</f>
        <v/>
      </c>
      <c r="AL18" s="1277" t="str">
        <f>IF($O$18="нет","без дифференциации",IF($R$18=0,"",$R$18))</f>
        <v/>
      </c>
      <c r="AM18" s="1277" t="str">
        <f>IF($S$18="нет","без дифференциации",IF($V$18=0,"",$V$18))</f>
        <v/>
      </c>
      <c r="AN18" s="1782">
        <f>$I$18</f>
        <v>0</v>
      </c>
      <c r="AO18" s="1277" t="str">
        <f>$I$18&amp;"."&amp;$M$18</f>
        <v>.</v>
      </c>
      <c r="AP18" s="1269" t="str">
        <f>$I$18&amp;"."&amp;$M$18&amp;"."&amp;$Q$18</f>
        <v>..</v>
      </c>
      <c r="AQ18" s="1269" t="str">
        <f>$I$18&amp;"."&amp;$M$18&amp;"."&amp;$Q$18&amp;"."&amp;$U$18</f>
        <v>...</v>
      </c>
      <c r="AR18" s="1293">
        <v>0</v>
      </c>
    </row>
    <row s="1863" customFormat="1" customHeight="1" ht="17.25" hidden="1">
      <c r="A19" s="331"/>
      <c r="C19" s="330"/>
      <c r="D19" s="2145"/>
      <c r="E19" s="2174"/>
      <c r="F19" s="2156"/>
      <c r="G19" s="2153"/>
      <c r="H19" s="2159"/>
      <c r="I19" s="2161"/>
      <c r="J19" s="2163"/>
      <c r="K19" s="2148"/>
      <c r="L19" s="2148"/>
      <c r="M19" s="2148"/>
      <c r="N19" s="2150"/>
      <c r="O19" s="2148"/>
      <c r="P19" s="2148"/>
      <c r="Q19" s="2148"/>
      <c r="R19" s="2151"/>
      <c r="S19" s="2148"/>
      <c r="T19" s="1307"/>
      <c r="U19" s="1307"/>
      <c r="V19" s="1307"/>
      <c r="W19" s="1308"/>
      <c r="X19" s="1269"/>
      <c r="Y19" s="1269"/>
      <c r="Z19" s="1269"/>
      <c r="AA19" s="1269"/>
      <c r="AB19" s="1269"/>
      <c r="AC19" s="1269"/>
      <c r="AD19" s="1269"/>
      <c r="AE19" s="1269"/>
      <c r="AF19" s="1269"/>
      <c r="AG19" s="1269"/>
      <c r="AH19" s="1269"/>
      <c r="AI19" s="1269"/>
      <c r="AJ19" s="1269"/>
      <c r="AK19" s="1269"/>
      <c r="AL19" s="1269"/>
      <c r="AM19" s="1269"/>
      <c r="AN19" s="1269"/>
      <c r="AO19" s="1269"/>
      <c r="AP19" s="1269"/>
      <c r="AQ19" s="1269"/>
      <c r="AR19" s="1293">
        <v>0</v>
      </c>
    </row>
    <row s="1863" customFormat="1" customHeight="1" ht="17.25" hidden="1">
      <c r="A20" s="331"/>
      <c r="C20" s="330"/>
      <c r="D20" s="2146"/>
      <c r="E20" s="2175"/>
      <c r="F20" s="2156"/>
      <c r="G20" s="2154"/>
      <c r="H20" s="2159"/>
      <c r="I20" s="2161"/>
      <c r="J20" s="2164"/>
      <c r="K20" s="2148"/>
      <c r="L20" s="2148"/>
      <c r="M20" s="2148"/>
      <c r="N20" s="2151"/>
      <c r="O20" s="2148"/>
      <c r="P20" s="1428"/>
      <c r="Q20" s="1307"/>
      <c r="R20" s="1307"/>
      <c r="S20" s="339"/>
      <c r="T20" s="339"/>
      <c r="U20" s="339"/>
      <c r="V20" s="339"/>
      <c r="W20" s="1308"/>
      <c r="X20" s="1269"/>
      <c r="Y20" s="1269"/>
      <c r="Z20" s="1269"/>
      <c r="AA20" s="1269"/>
      <c r="AB20" s="1269"/>
      <c r="AC20" s="1269"/>
      <c r="AD20" s="1269"/>
      <c r="AE20" s="1269"/>
      <c r="AF20" s="1269"/>
      <c r="AG20" s="1269"/>
      <c r="AH20" s="1269"/>
      <c r="AI20" s="1269"/>
      <c r="AJ20" s="1269"/>
      <c r="AK20" s="1269"/>
      <c r="AL20" s="1269"/>
      <c r="AM20" s="1269"/>
      <c r="AN20" s="1269"/>
      <c r="AO20" s="1269"/>
      <c r="AP20" s="1269"/>
      <c r="AQ20" s="1269"/>
      <c r="AR20" s="1293">
        <v>0</v>
      </c>
    </row>
    <row s="1863" customFormat="1" customHeight="1" ht="17.25" hidden="1">
      <c r="A21" s="331"/>
      <c r="C21" s="330"/>
      <c r="D21" s="2146"/>
      <c r="E21" s="2175"/>
      <c r="F21" s="2156"/>
      <c r="G21" s="2154"/>
      <c r="H21" s="2159"/>
      <c r="I21" s="2161"/>
      <c r="J21" s="2164"/>
      <c r="K21" s="2148"/>
      <c r="L21" s="1307"/>
      <c r="M21" s="1307"/>
      <c r="N21" s="1307"/>
      <c r="O21" s="1307"/>
      <c r="P21" s="1307"/>
      <c r="Q21" s="1307"/>
      <c r="R21" s="1307"/>
      <c r="S21" s="339"/>
      <c r="T21" s="339"/>
      <c r="U21" s="339"/>
      <c r="V21" s="339"/>
      <c r="W21" s="1308"/>
      <c r="X21" s="1269"/>
      <c r="Y21" s="1269"/>
      <c r="Z21" s="1269"/>
      <c r="AA21" s="1269"/>
      <c r="AB21" s="1269"/>
      <c r="AC21" s="1269"/>
      <c r="AD21" s="1269"/>
      <c r="AE21" s="1269"/>
      <c r="AF21" s="1269"/>
      <c r="AG21" s="1269"/>
      <c r="AH21" s="1269"/>
      <c r="AI21" s="1269"/>
      <c r="AJ21" s="1269"/>
      <c r="AK21" s="1269"/>
      <c r="AL21" s="1269"/>
      <c r="AM21" s="1269"/>
      <c r="AN21" s="1269"/>
      <c r="AO21" s="1269"/>
      <c r="AP21" s="1269"/>
      <c r="AQ21" s="1269"/>
      <c r="AR21" s="1293">
        <v>0</v>
      </c>
    </row>
    <row s="1863" customFormat="1" customHeight="1" ht="17.25" hidden="1">
      <c r="A22" s="331"/>
      <c r="C22" s="330"/>
      <c r="D22" s="2146"/>
      <c r="E22" s="2175"/>
      <c r="F22" s="2157"/>
      <c r="G22" s="2154"/>
      <c r="H22" s="1309"/>
      <c r="I22" s="1310"/>
      <c r="J22" s="1310"/>
      <c r="K22" s="1310"/>
      <c r="L22" s="1310"/>
      <c r="M22" s="1310"/>
      <c r="N22" s="1310"/>
      <c r="O22" s="1310"/>
      <c r="P22" s="1310"/>
      <c r="Q22" s="1310"/>
      <c r="R22" s="1310"/>
      <c r="S22" s="1311"/>
      <c r="T22" s="1311"/>
      <c r="U22" s="1311"/>
      <c r="V22" s="1311"/>
      <c r="W22" s="1312"/>
      <c r="X22" s="1269"/>
      <c r="Y22" s="1269"/>
      <c r="Z22" s="1269"/>
      <c r="AA22" s="1269"/>
      <c r="AB22" s="1269"/>
      <c r="AC22" s="1269"/>
      <c r="AD22" s="1269"/>
      <c r="AE22" s="1269"/>
      <c r="AF22" s="1269"/>
      <c r="AG22" s="1269"/>
      <c r="AH22" s="1269"/>
      <c r="AI22" s="1269"/>
      <c r="AJ22" s="1269"/>
      <c r="AK22" s="1269"/>
      <c r="AL22" s="1269"/>
      <c r="AM22" s="1269"/>
      <c r="AN22" s="1269"/>
      <c r="AO22" s="1269"/>
      <c r="AP22" s="1269"/>
      <c r="AQ22" s="1269"/>
      <c r="AR22" s="1293">
        <v>0</v>
      </c>
    </row>
    <row s="1863" customFormat="1" customHeight="1" ht="17.25" hidden="1">
      <c r="A23" s="331"/>
      <c r="C23" s="219"/>
      <c r="D23" s="2145">
        <v>2</v>
      </c>
      <c r="E23" s="2153" t="s">
        <v>189</v>
      </c>
      <c r="F23" s="2155" t="s">
        <v>19</v>
      </c>
      <c r="G23" s="2153"/>
      <c r="H23" s="2158"/>
      <c r="I23" s="2160"/>
      <c r="J23" s="2162"/>
      <c r="K23" s="2147"/>
      <c r="L23" s="2147"/>
      <c r="M23" s="2147"/>
      <c r="N23" s="2149"/>
      <c r="O23" s="2147"/>
      <c r="P23" s="2147"/>
      <c r="Q23" s="2147"/>
      <c r="R23" s="2152"/>
      <c r="S23" s="2147"/>
      <c r="T23" s="2008"/>
      <c r="U23" s="2008"/>
      <c r="V23" s="2010"/>
      <c r="W23" s="1306"/>
      <c r="X23" s="1277"/>
      <c r="Y23" s="1277"/>
      <c r="Z23" s="1277"/>
      <c r="AA23" s="1277"/>
      <c r="AB23" s="1277"/>
      <c r="AC23" s="1277" t="s">
        <v>184</v>
      </c>
      <c r="AD23" s="1277" t="s">
        <v>185</v>
      </c>
      <c r="AE23" s="1277" t="s">
        <v>186</v>
      </c>
      <c r="AF23" s="1277" t="s">
        <v>187</v>
      </c>
      <c r="AG23" s="1277" t="s">
        <v>188</v>
      </c>
      <c r="AH23" s="1277"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7" t="str">
        <f>IF($G$23=0,"",$G$23)</f>
        <v/>
      </c>
      <c r="AJ23" s="1277" t="str">
        <f>IF($J$23=0,"",$J$23)</f>
        <v/>
      </c>
      <c r="AK23" s="1277" t="str">
        <f>IF($K$23="нет","без дифференциации",IF($N$23=0,"",$N$23))</f>
        <v/>
      </c>
      <c r="AL23" s="1277" t="str">
        <f>IF($O$23="нет","без дифференциации",IF($R$23=0,"",$R$23))</f>
        <v/>
      </c>
      <c r="AM23" s="1277" t="str">
        <f>IF($S$23="нет","без дифференциации",IF($V$23=0,"",$V$23))</f>
        <v/>
      </c>
      <c r="AN23" s="1782">
        <f>$I$23</f>
        <v>0</v>
      </c>
      <c r="AO23" s="1277" t="str">
        <f>$I$23&amp;"."&amp;$M$23</f>
        <v>.</v>
      </c>
      <c r="AP23" s="1276" t="str">
        <f>$I$23&amp;"."&amp;$M$23&amp;"."&amp;$Q$23</f>
        <v>..</v>
      </c>
      <c r="AQ23" s="1276" t="str">
        <f>$I$23&amp;"."&amp;$M$23&amp;"."&amp;$Q$23&amp;"."&amp;$U$23</f>
        <v>...</v>
      </c>
      <c r="AR23" s="1477">
        <v>0</v>
      </c>
    </row>
    <row s="1863" customFormat="1" customHeight="1" ht="17.25" hidden="1">
      <c r="A24" s="331"/>
      <c r="C24" s="330"/>
      <c r="D24" s="2145"/>
      <c r="E24" s="2153"/>
      <c r="F24" s="2156"/>
      <c r="G24" s="2153"/>
      <c r="H24" s="2159"/>
      <c r="I24" s="2161"/>
      <c r="J24" s="2163"/>
      <c r="K24" s="2148"/>
      <c r="L24" s="2148"/>
      <c r="M24" s="2148"/>
      <c r="N24" s="2150"/>
      <c r="O24" s="2148"/>
      <c r="P24" s="2148"/>
      <c r="Q24" s="2148"/>
      <c r="R24" s="2151"/>
      <c r="S24" s="2148"/>
      <c r="T24" s="2013"/>
      <c r="U24" s="2013"/>
      <c r="V24" s="2013"/>
      <c r="W24" s="2014"/>
      <c r="X24" s="1276"/>
      <c r="Y24" s="1276"/>
      <c r="Z24" s="1276"/>
      <c r="AA24" s="1276"/>
      <c r="AB24" s="1276"/>
      <c r="AC24" s="1276"/>
      <c r="AD24" s="1276"/>
      <c r="AE24" s="1276"/>
      <c r="AF24" s="1276"/>
      <c r="AG24" s="1276"/>
      <c r="AH24" s="1276"/>
      <c r="AI24" s="1276"/>
      <c r="AJ24" s="1276"/>
      <c r="AK24" s="1276"/>
      <c r="AL24" s="1276"/>
      <c r="AM24" s="1276"/>
      <c r="AN24" s="1276"/>
      <c r="AO24" s="1276"/>
      <c r="AP24" s="1276"/>
      <c r="AQ24" s="1276"/>
      <c r="AR24" s="1477">
        <v>0</v>
      </c>
    </row>
    <row s="1863" customFormat="1" customHeight="1" ht="17.25" hidden="1">
      <c r="A25" s="331"/>
      <c r="C25" s="330"/>
      <c r="D25" s="2146"/>
      <c r="E25" s="2154"/>
      <c r="F25" s="2156"/>
      <c r="G25" s="2154"/>
      <c r="H25" s="2159"/>
      <c r="I25" s="2161"/>
      <c r="J25" s="2164"/>
      <c r="K25" s="2148"/>
      <c r="L25" s="2148"/>
      <c r="M25" s="2148"/>
      <c r="N25" s="2151"/>
      <c r="O25" s="2148"/>
      <c r="P25" s="2009"/>
      <c r="Q25" s="2013"/>
      <c r="R25" s="2013"/>
      <c r="S25" s="339"/>
      <c r="T25" s="339"/>
      <c r="U25" s="339"/>
      <c r="V25" s="339"/>
      <c r="W25" s="2014"/>
      <c r="X25" s="1276"/>
      <c r="Y25" s="1276"/>
      <c r="Z25" s="1276"/>
      <c r="AA25" s="1276"/>
      <c r="AB25" s="1276"/>
      <c r="AC25" s="1276"/>
      <c r="AD25" s="1276"/>
      <c r="AE25" s="1276"/>
      <c r="AF25" s="1276"/>
      <c r="AG25" s="1276"/>
      <c r="AH25" s="1276"/>
      <c r="AI25" s="1276"/>
      <c r="AJ25" s="1276"/>
      <c r="AK25" s="1276"/>
      <c r="AL25" s="1276"/>
      <c r="AM25" s="1276"/>
      <c r="AN25" s="1276"/>
      <c r="AO25" s="1276"/>
      <c r="AP25" s="1276"/>
      <c r="AQ25" s="1276"/>
      <c r="AR25" s="1477">
        <v>0</v>
      </c>
    </row>
    <row s="1863" customFormat="1" customHeight="1" ht="17.25" hidden="1">
      <c r="A26" s="331"/>
      <c r="C26" s="330"/>
      <c r="D26" s="2146"/>
      <c r="E26" s="2154"/>
      <c r="F26" s="2156"/>
      <c r="G26" s="2154"/>
      <c r="H26" s="2159"/>
      <c r="I26" s="2161"/>
      <c r="J26" s="2164"/>
      <c r="K26" s="2148"/>
      <c r="L26" s="2013"/>
      <c r="M26" s="2013"/>
      <c r="N26" s="2013"/>
      <c r="O26" s="2013"/>
      <c r="P26" s="2013"/>
      <c r="Q26" s="2013"/>
      <c r="R26" s="2013"/>
      <c r="S26" s="339"/>
      <c r="T26" s="339"/>
      <c r="U26" s="339"/>
      <c r="V26" s="339"/>
      <c r="W26" s="2014"/>
      <c r="X26" s="1276"/>
      <c r="Y26" s="1276"/>
      <c r="Z26" s="1276"/>
      <c r="AA26" s="1276"/>
      <c r="AB26" s="1276"/>
      <c r="AC26" s="1276"/>
      <c r="AD26" s="1276"/>
      <c r="AE26" s="1276"/>
      <c r="AF26" s="1276"/>
      <c r="AG26" s="1276"/>
      <c r="AH26" s="1276"/>
      <c r="AI26" s="1276"/>
      <c r="AJ26" s="1276"/>
      <c r="AK26" s="1276"/>
      <c r="AL26" s="1276"/>
      <c r="AM26" s="1276"/>
      <c r="AN26" s="1276"/>
      <c r="AO26" s="1276"/>
      <c r="AP26" s="1276"/>
      <c r="AQ26" s="1276"/>
      <c r="AR26" s="1477">
        <v>0</v>
      </c>
    </row>
    <row s="1863" customFormat="1" customHeight="1" ht="17.25" hidden="1">
      <c r="A27" s="331"/>
      <c r="C27" s="330"/>
      <c r="D27" s="2146"/>
      <c r="E27" s="2154"/>
      <c r="F27" s="2157"/>
      <c r="G27" s="2154"/>
      <c r="H27" s="1309"/>
      <c r="I27" s="2011"/>
      <c r="J27" s="2011"/>
      <c r="K27" s="2011"/>
      <c r="L27" s="2011"/>
      <c r="M27" s="2011"/>
      <c r="N27" s="2011"/>
      <c r="O27" s="2011"/>
      <c r="P27" s="2011"/>
      <c r="Q27" s="2011"/>
      <c r="R27" s="2011"/>
      <c r="S27" s="1311"/>
      <c r="T27" s="1311"/>
      <c r="U27" s="1311"/>
      <c r="V27" s="1311"/>
      <c r="W27" s="2012"/>
      <c r="X27" s="1276"/>
      <c r="Y27" s="1276"/>
      <c r="Z27" s="1276"/>
      <c r="AA27" s="1276"/>
      <c r="AB27" s="1276"/>
      <c r="AC27" s="1276"/>
      <c r="AD27" s="1276"/>
      <c r="AE27" s="1276"/>
      <c r="AF27" s="1276"/>
      <c r="AG27" s="1276"/>
      <c r="AH27" s="1276"/>
      <c r="AI27" s="1276"/>
      <c r="AJ27" s="1276"/>
      <c r="AK27" s="1276"/>
      <c r="AL27" s="1276"/>
      <c r="AM27" s="1276"/>
      <c r="AN27" s="1276"/>
      <c r="AO27" s="1276"/>
      <c r="AP27" s="1276"/>
      <c r="AQ27" s="1276"/>
      <c r="AR27" s="1477">
        <v>0</v>
      </c>
    </row>
    <row s="1863" customFormat="1" customHeight="1" ht="17.25" hidden="1">
      <c r="A28" s="331"/>
      <c r="C28" s="219"/>
      <c r="D28" s="2145">
        <v>3</v>
      </c>
      <c r="E28" s="2153" t="s">
        <v>190</v>
      </c>
      <c r="F28" s="2155" t="s">
        <v>19</v>
      </c>
      <c r="G28" s="2153"/>
      <c r="H28" s="2158"/>
      <c r="I28" s="2160"/>
      <c r="J28" s="2162"/>
      <c r="K28" s="2147"/>
      <c r="L28" s="2147"/>
      <c r="M28" s="2147"/>
      <c r="N28" s="2149"/>
      <c r="O28" s="2147"/>
      <c r="P28" s="2147"/>
      <c r="Q28" s="2147"/>
      <c r="R28" s="2152"/>
      <c r="S28" s="2147"/>
      <c r="T28" s="1430"/>
      <c r="U28" s="1430"/>
      <c r="V28" s="1429"/>
      <c r="W28" s="1306"/>
      <c r="X28" s="1277"/>
      <c r="Y28" s="1277"/>
      <c r="Z28" s="1277"/>
      <c r="AA28" s="1277"/>
      <c r="AB28" s="1277"/>
      <c r="AC28" s="1277" t="s">
        <v>191</v>
      </c>
      <c r="AD28" s="1277" t="s">
        <v>192</v>
      </c>
      <c r="AE28" s="1277" t="s">
        <v>193</v>
      </c>
      <c r="AF28" s="1277" t="s">
        <v>194</v>
      </c>
      <c r="AG28" s="1277" t="s">
        <v>195</v>
      </c>
      <c r="AH28" s="1277" t="str">
        <f>IF($E$28=0,"",$E$28)</f>
        <v>Тарифы на теплоноситель, поставляемый теплоснабжающими организациями потребителям, другим теплоснабжающим организациям</v>
      </c>
      <c r="AI28" s="1277" t="str">
        <f>IF($G$28=0,"",$G$28)</f>
        <v/>
      </c>
      <c r="AJ28" s="1277" t="str">
        <f>IF($J$28=0,"",$J$28)</f>
        <v/>
      </c>
      <c r="AK28" s="1277" t="str">
        <f>IF($K$28="нет","без дифференциации",IF($N$28=0,"",$N$28))</f>
        <v/>
      </c>
      <c r="AL28" s="1277" t="str">
        <f>IF($O$28="нет","без дифференциации",IF($R$28=0,"",$R$28))</f>
        <v/>
      </c>
      <c r="AM28" s="1277" t="str">
        <f>IF($S$28="нет","без дифференциации",IF($V$28=0,"",$V$28))</f>
        <v/>
      </c>
      <c r="AN28" s="1782">
        <f>$I$28</f>
        <v>0</v>
      </c>
      <c r="AO28" s="1277" t="str">
        <f>$I$28&amp;"."&amp;$M$28</f>
        <v>.</v>
      </c>
      <c r="AP28" s="1269" t="str">
        <f>$I$28&amp;"."&amp;$M$28&amp;"."&amp;$Q$28</f>
        <v>..</v>
      </c>
      <c r="AQ28" s="1269" t="str">
        <f>$I$28&amp;"."&amp;$M$28&amp;"."&amp;$Q$28&amp;"."&amp;$U$28</f>
        <v>...</v>
      </c>
      <c r="AR28" s="1293">
        <v>0</v>
      </c>
    </row>
    <row s="1863" customFormat="1" customHeight="1" ht="17.25" hidden="1">
      <c r="A29" s="331"/>
      <c r="C29" s="330"/>
      <c r="D29" s="2145"/>
      <c r="E29" s="2153"/>
      <c r="F29" s="2156"/>
      <c r="G29" s="2153"/>
      <c r="H29" s="2159"/>
      <c r="I29" s="2161"/>
      <c r="J29" s="2163"/>
      <c r="K29" s="2148"/>
      <c r="L29" s="2148"/>
      <c r="M29" s="2148"/>
      <c r="N29" s="2150"/>
      <c r="O29" s="2148"/>
      <c r="P29" s="2148"/>
      <c r="Q29" s="2148"/>
      <c r="R29" s="2151"/>
      <c r="S29" s="2148"/>
      <c r="T29" s="1307"/>
      <c r="U29" s="1307"/>
      <c r="V29" s="1307"/>
      <c r="W29" s="1308"/>
      <c r="X29" s="1269"/>
      <c r="Y29" s="1269"/>
      <c r="Z29" s="1269"/>
      <c r="AA29" s="1269"/>
      <c r="AB29" s="1269"/>
      <c r="AC29" s="1269"/>
      <c r="AD29" s="1269"/>
      <c r="AE29" s="1269"/>
      <c r="AF29" s="1269"/>
      <c r="AG29" s="1269"/>
      <c r="AH29" s="1269"/>
      <c r="AI29" s="1269"/>
      <c r="AJ29" s="1269"/>
      <c r="AK29" s="1269"/>
      <c r="AL29" s="1269"/>
      <c r="AM29" s="1269"/>
      <c r="AN29" s="1269"/>
      <c r="AO29" s="1269"/>
      <c r="AP29" s="1269"/>
      <c r="AQ29" s="1269"/>
      <c r="AR29" s="1293">
        <v>0</v>
      </c>
    </row>
    <row s="1863" customFormat="1" customHeight="1" ht="17.25" hidden="1">
      <c r="A30" s="331"/>
      <c r="C30" s="330"/>
      <c r="D30" s="2146"/>
      <c r="E30" s="2154"/>
      <c r="F30" s="2156"/>
      <c r="G30" s="2154"/>
      <c r="H30" s="2159"/>
      <c r="I30" s="2161"/>
      <c r="J30" s="2164"/>
      <c r="K30" s="2148"/>
      <c r="L30" s="2148"/>
      <c r="M30" s="2148"/>
      <c r="N30" s="2151"/>
      <c r="O30" s="2148"/>
      <c r="P30" s="1428"/>
      <c r="Q30" s="1307"/>
      <c r="R30" s="1307"/>
      <c r="S30" s="339"/>
      <c r="T30" s="339"/>
      <c r="U30" s="339"/>
      <c r="V30" s="339"/>
      <c r="W30" s="1308"/>
      <c r="X30" s="1269"/>
      <c r="Y30" s="1269"/>
      <c r="Z30" s="1269"/>
      <c r="AA30" s="1269"/>
      <c r="AB30" s="1269"/>
      <c r="AC30" s="1269"/>
      <c r="AD30" s="1269"/>
      <c r="AE30" s="1269"/>
      <c r="AF30" s="1269"/>
      <c r="AG30" s="1269"/>
      <c r="AH30" s="1269"/>
      <c r="AI30" s="1269"/>
      <c r="AJ30" s="1269"/>
      <c r="AK30" s="1269"/>
      <c r="AL30" s="1269"/>
      <c r="AM30" s="1269"/>
      <c r="AN30" s="1269"/>
      <c r="AO30" s="1269"/>
      <c r="AP30" s="1269"/>
      <c r="AQ30" s="1269"/>
      <c r="AR30" s="1293">
        <v>0</v>
      </c>
    </row>
    <row s="1863" customFormat="1" customHeight="1" ht="17.25" hidden="1">
      <c r="A31" s="331"/>
      <c r="C31" s="330"/>
      <c r="D31" s="2146"/>
      <c r="E31" s="2154"/>
      <c r="F31" s="2156"/>
      <c r="G31" s="2154"/>
      <c r="H31" s="2159"/>
      <c r="I31" s="2161"/>
      <c r="J31" s="2164"/>
      <c r="K31" s="2148"/>
      <c r="L31" s="1307"/>
      <c r="M31" s="1307"/>
      <c r="N31" s="1307"/>
      <c r="O31" s="1307"/>
      <c r="P31" s="1307"/>
      <c r="Q31" s="1307"/>
      <c r="R31" s="1307"/>
      <c r="S31" s="339"/>
      <c r="T31" s="339"/>
      <c r="U31" s="339"/>
      <c r="V31" s="339"/>
      <c r="W31" s="1308"/>
      <c r="X31" s="1269"/>
      <c r="Y31" s="1269"/>
      <c r="Z31" s="1269"/>
      <c r="AA31" s="1269"/>
      <c r="AB31" s="1269"/>
      <c r="AC31" s="1269"/>
      <c r="AD31" s="1269"/>
      <c r="AE31" s="1269"/>
      <c r="AF31" s="1269"/>
      <c r="AG31" s="1269"/>
      <c r="AH31" s="1269"/>
      <c r="AI31" s="1269"/>
      <c r="AJ31" s="1269"/>
      <c r="AK31" s="1269"/>
      <c r="AL31" s="1269"/>
      <c r="AM31" s="1269"/>
      <c r="AN31" s="1269"/>
      <c r="AO31" s="1269"/>
      <c r="AP31" s="1269"/>
      <c r="AQ31" s="1269"/>
      <c r="AR31" s="1293">
        <v>0</v>
      </c>
    </row>
    <row s="1863" customFormat="1" customHeight="1" ht="17.25" hidden="1">
      <c r="A32" s="331"/>
      <c r="C32" s="330"/>
      <c r="D32" s="2146"/>
      <c r="E32" s="2154"/>
      <c r="F32" s="2157"/>
      <c r="G32" s="2154"/>
      <c r="H32" s="1309"/>
      <c r="I32" s="1310"/>
      <c r="J32" s="1310"/>
      <c r="K32" s="1310"/>
      <c r="L32" s="1310"/>
      <c r="M32" s="1310"/>
      <c r="N32" s="1310"/>
      <c r="O32" s="1310"/>
      <c r="P32" s="1310"/>
      <c r="Q32" s="1310"/>
      <c r="R32" s="1310"/>
      <c r="S32" s="1311"/>
      <c r="T32" s="1311"/>
      <c r="U32" s="1311"/>
      <c r="V32" s="1311"/>
      <c r="W32" s="1312"/>
      <c r="X32" s="1269"/>
      <c r="Y32" s="1269"/>
      <c r="Z32" s="1269"/>
      <c r="AA32" s="1269"/>
      <c r="AB32" s="1269"/>
      <c r="AC32" s="1269"/>
      <c r="AD32" s="1269"/>
      <c r="AE32" s="1269"/>
      <c r="AF32" s="1269"/>
      <c r="AG32" s="1269"/>
      <c r="AH32" s="1269"/>
      <c r="AI32" s="1269"/>
      <c r="AJ32" s="1269"/>
      <c r="AK32" s="1269"/>
      <c r="AL32" s="1269"/>
      <c r="AM32" s="1269"/>
      <c r="AN32" s="1269"/>
      <c r="AO32" s="1269"/>
      <c r="AP32" s="1269"/>
      <c r="AQ32" s="1269"/>
      <c r="AR32" s="1293">
        <v>0</v>
      </c>
    </row>
    <row s="1863" customFormat="1" customHeight="1" ht="17.25" hidden="1">
      <c r="A33" s="331"/>
      <c r="C33" s="219"/>
      <c r="D33" s="2145">
        <v>4</v>
      </c>
      <c r="E33" s="2153" t="s">
        <v>196</v>
      </c>
      <c r="F33" s="2155" t="s">
        <v>19</v>
      </c>
      <c r="G33" s="2153"/>
      <c r="H33" s="2158"/>
      <c r="I33" s="2160"/>
      <c r="J33" s="2162"/>
      <c r="K33" s="2147"/>
      <c r="L33" s="2147"/>
      <c r="M33" s="2147"/>
      <c r="N33" s="2149"/>
      <c r="O33" s="2147"/>
      <c r="P33" s="2147"/>
      <c r="Q33" s="2147"/>
      <c r="R33" s="2152"/>
      <c r="S33" s="2147"/>
      <c r="T33" s="1430"/>
      <c r="U33" s="1430"/>
      <c r="V33" s="1429"/>
      <c r="W33" s="1306"/>
      <c r="X33" s="1277"/>
      <c r="Y33" s="1277"/>
      <c r="Z33" s="1277"/>
      <c r="AA33" s="1277"/>
      <c r="AB33" s="1277"/>
      <c r="AC33" s="1277" t="s">
        <v>197</v>
      </c>
      <c r="AD33" s="1277" t="s">
        <v>198</v>
      </c>
      <c r="AE33" s="1277" t="s">
        <v>199</v>
      </c>
      <c r="AF33" s="1277" t="s">
        <v>200</v>
      </c>
      <c r="AG33" s="1277" t="s">
        <v>201</v>
      </c>
      <c r="AH33" s="127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7" t="str">
        <f>IF($G$33=0,"",$G$33)</f>
        <v/>
      </c>
      <c r="AJ33" s="1277" t="str">
        <f>IF($J$33=0,"",$J$33)</f>
        <v/>
      </c>
      <c r="AK33" s="1277" t="str">
        <f>IF($K$33="нет","без дифференциации",IF($N$33=0,"",$N$33))</f>
        <v/>
      </c>
      <c r="AL33" s="1277" t="str">
        <f>IF($O$33="нет","без дифференциации",IF($R$33=0,"",$R$33))</f>
        <v/>
      </c>
      <c r="AM33" s="1277" t="str">
        <f>IF($S$33="нет","без дифференциации",IF($V$33=0,"",$V$33))</f>
        <v/>
      </c>
      <c r="AN33" s="1782">
        <f>$I$33</f>
        <v>0</v>
      </c>
      <c r="AO33" s="1277" t="str">
        <f>$I$33&amp;"."&amp;$M$33</f>
        <v>.</v>
      </c>
      <c r="AP33" s="1269" t="str">
        <f>$I$33&amp;"."&amp;$M$33&amp;"."&amp;$Q$33</f>
        <v>..</v>
      </c>
      <c r="AQ33" s="1269" t="str">
        <f>$I$33&amp;"."&amp;$M$33&amp;"."&amp;$Q$33&amp;"."&amp;$U$33</f>
        <v>...</v>
      </c>
      <c r="AR33" s="1293">
        <v>0</v>
      </c>
    </row>
    <row s="1863" customFormat="1" customHeight="1" ht="17.25" hidden="1">
      <c r="A34" s="331"/>
      <c r="C34" s="330"/>
      <c r="D34" s="2145"/>
      <c r="E34" s="2153"/>
      <c r="F34" s="2156"/>
      <c r="G34" s="2153"/>
      <c r="H34" s="2159"/>
      <c r="I34" s="2161"/>
      <c r="J34" s="2163"/>
      <c r="K34" s="2148"/>
      <c r="L34" s="2148"/>
      <c r="M34" s="2148"/>
      <c r="N34" s="2150"/>
      <c r="O34" s="2148"/>
      <c r="P34" s="2148"/>
      <c r="Q34" s="2148"/>
      <c r="R34" s="2151"/>
      <c r="S34" s="2148"/>
      <c r="T34" s="1307"/>
      <c r="U34" s="1307"/>
      <c r="V34" s="1307"/>
      <c r="W34" s="1308"/>
      <c r="X34" s="1269"/>
      <c r="Y34" s="1269"/>
      <c r="Z34" s="1269"/>
      <c r="AA34" s="1269"/>
      <c r="AB34" s="1269"/>
      <c r="AC34" s="1269"/>
      <c r="AD34" s="1269"/>
      <c r="AE34" s="1269"/>
      <c r="AF34" s="1269"/>
      <c r="AG34" s="1269"/>
      <c r="AH34" s="1269"/>
      <c r="AI34" s="1269"/>
      <c r="AJ34" s="1269"/>
      <c r="AK34" s="1269"/>
      <c r="AL34" s="1269"/>
      <c r="AM34" s="1269"/>
      <c r="AN34" s="1269"/>
      <c r="AO34" s="1269"/>
      <c r="AP34" s="1269"/>
      <c r="AQ34" s="1269"/>
      <c r="AR34" s="1293">
        <v>0</v>
      </c>
    </row>
    <row s="1863" customFormat="1" customHeight="1" ht="17.25" hidden="1">
      <c r="A35" s="331"/>
      <c r="C35" s="330"/>
      <c r="D35" s="2146"/>
      <c r="E35" s="2154"/>
      <c r="F35" s="2156"/>
      <c r="G35" s="2154"/>
      <c r="H35" s="2159"/>
      <c r="I35" s="2161"/>
      <c r="J35" s="2164"/>
      <c r="K35" s="2148"/>
      <c r="L35" s="2148"/>
      <c r="M35" s="2148"/>
      <c r="N35" s="2151"/>
      <c r="O35" s="2148"/>
      <c r="P35" s="1428"/>
      <c r="Q35" s="1307"/>
      <c r="R35" s="1307"/>
      <c r="S35" s="339"/>
      <c r="T35" s="339"/>
      <c r="U35" s="339"/>
      <c r="V35" s="339"/>
      <c r="W35" s="1308"/>
      <c r="X35" s="1269"/>
      <c r="Y35" s="1269"/>
      <c r="Z35" s="1269"/>
      <c r="AA35" s="1269"/>
      <c r="AB35" s="1269"/>
      <c r="AC35" s="1269"/>
      <c r="AD35" s="1269"/>
      <c r="AE35" s="1269"/>
      <c r="AF35" s="1269"/>
      <c r="AG35" s="1269"/>
      <c r="AH35" s="1269"/>
      <c r="AI35" s="1269"/>
      <c r="AJ35" s="1269"/>
      <c r="AK35" s="1269"/>
      <c r="AL35" s="1269"/>
      <c r="AM35" s="1269"/>
      <c r="AN35" s="1269"/>
      <c r="AO35" s="1269"/>
      <c r="AP35" s="1269"/>
      <c r="AQ35" s="1269"/>
      <c r="AR35" s="1293">
        <v>0</v>
      </c>
    </row>
    <row s="1863" customFormat="1" customHeight="1" ht="17.25" hidden="1">
      <c r="A36" s="331"/>
      <c r="C36" s="330"/>
      <c r="D36" s="2146"/>
      <c r="E36" s="2154"/>
      <c r="F36" s="2156"/>
      <c r="G36" s="2154"/>
      <c r="H36" s="2159"/>
      <c r="I36" s="2161"/>
      <c r="J36" s="2164"/>
      <c r="K36" s="2148"/>
      <c r="L36" s="1307"/>
      <c r="M36" s="1307"/>
      <c r="N36" s="1307"/>
      <c r="O36" s="1307"/>
      <c r="P36" s="1307"/>
      <c r="Q36" s="1307"/>
      <c r="R36" s="1307"/>
      <c r="S36" s="339"/>
      <c r="T36" s="339"/>
      <c r="U36" s="339"/>
      <c r="V36" s="339"/>
      <c r="W36" s="1308"/>
      <c r="X36" s="1269"/>
      <c r="Y36" s="1269"/>
      <c r="Z36" s="1269"/>
      <c r="AA36" s="1269"/>
      <c r="AB36" s="1269"/>
      <c r="AC36" s="1269"/>
      <c r="AD36" s="1269"/>
      <c r="AE36" s="1269"/>
      <c r="AF36" s="1269"/>
      <c r="AG36" s="1269"/>
      <c r="AH36" s="1269"/>
      <c r="AI36" s="1269"/>
      <c r="AJ36" s="1269"/>
      <c r="AK36" s="1269"/>
      <c r="AL36" s="1269"/>
      <c r="AM36" s="1269"/>
      <c r="AN36" s="1269"/>
      <c r="AO36" s="1269"/>
      <c r="AP36" s="1269"/>
      <c r="AQ36" s="1269"/>
      <c r="AR36" s="1293">
        <v>0</v>
      </c>
    </row>
    <row s="1863" customFormat="1" customHeight="1" ht="17.25" hidden="1">
      <c r="A37" s="331"/>
      <c r="C37" s="330"/>
      <c r="D37" s="2146"/>
      <c r="E37" s="2154"/>
      <c r="F37" s="2157"/>
      <c r="G37" s="2154"/>
      <c r="H37" s="1309"/>
      <c r="I37" s="1310"/>
      <c r="J37" s="1310"/>
      <c r="K37" s="1310"/>
      <c r="L37" s="1310"/>
      <c r="M37" s="1310"/>
      <c r="N37" s="1310"/>
      <c r="O37" s="1310"/>
      <c r="P37" s="1310"/>
      <c r="Q37" s="1310"/>
      <c r="R37" s="1310"/>
      <c r="S37" s="1311"/>
      <c r="T37" s="1311"/>
      <c r="U37" s="1311"/>
      <c r="V37" s="1311"/>
      <c r="W37" s="1312"/>
      <c r="X37" s="1269"/>
      <c r="Y37" s="1269"/>
      <c r="Z37" s="1269"/>
      <c r="AA37" s="1269"/>
      <c r="AB37" s="1269"/>
      <c r="AC37" s="1269"/>
      <c r="AD37" s="1269"/>
      <c r="AE37" s="1269"/>
      <c r="AF37" s="1269"/>
      <c r="AG37" s="1269"/>
      <c r="AH37" s="1269"/>
      <c r="AI37" s="1269"/>
      <c r="AJ37" s="1269"/>
      <c r="AK37" s="1269"/>
      <c r="AL37" s="1269"/>
      <c r="AM37" s="1269"/>
      <c r="AN37" s="1269"/>
      <c r="AO37" s="1269"/>
      <c r="AP37" s="1269"/>
      <c r="AQ37" s="1269"/>
      <c r="AR37" s="1293">
        <v>0</v>
      </c>
    </row>
    <row s="1863" customFormat="1" customHeight="1" ht="17.25" hidden="1">
      <c r="A38" s="331"/>
      <c r="C38" s="219"/>
      <c r="D38" s="2145">
        <v>5</v>
      </c>
      <c r="E38" s="2153" t="s">
        <v>202</v>
      </c>
      <c r="F38" s="2155" t="s">
        <v>19</v>
      </c>
      <c r="G38" s="2153"/>
      <c r="H38" s="2158"/>
      <c r="I38" s="2160"/>
      <c r="J38" s="2162"/>
      <c r="K38" s="2147"/>
      <c r="L38" s="2147"/>
      <c r="M38" s="2147"/>
      <c r="N38" s="2149"/>
      <c r="O38" s="2147"/>
      <c r="P38" s="2147"/>
      <c r="Q38" s="2147"/>
      <c r="R38" s="2152"/>
      <c r="S38" s="2147"/>
      <c r="T38" s="1430"/>
      <c r="U38" s="1430"/>
      <c r="V38" s="1429"/>
      <c r="W38" s="1306"/>
      <c r="X38" s="1277"/>
      <c r="Y38" s="1277"/>
      <c r="Z38" s="1277"/>
      <c r="AA38" s="1277"/>
      <c r="AB38" s="1277"/>
      <c r="AC38" s="1277" t="s">
        <v>203</v>
      </c>
      <c r="AD38" s="1277" t="s">
        <v>204</v>
      </c>
      <c r="AE38" s="1277" t="s">
        <v>205</v>
      </c>
      <c r="AF38" s="1277" t="s">
        <v>206</v>
      </c>
      <c r="AG38" s="1277" t="s">
        <v>207</v>
      </c>
      <c r="AH38" s="1277" t="str">
        <f>IF($E$38=0,"",$E$38)</f>
        <v>Тарифы на услуги по передаче тепловой энергии</v>
      </c>
      <c r="AI38" s="1277" t="str">
        <f>IF($G$38=0,"",$G$38)</f>
        <v/>
      </c>
      <c r="AJ38" s="1277" t="str">
        <f>IF($J$38=0,"",$J$38)</f>
        <v/>
      </c>
      <c r="AK38" s="1277" t="str">
        <f>IF($K$38="нет","без дифференциации",IF($N$38=0,"",$N$38))</f>
        <v/>
      </c>
      <c r="AL38" s="1277" t="str">
        <f>IF($O$38="нет","без дифференциации",IF($R$38=0,"",$R$38))</f>
        <v/>
      </c>
      <c r="AM38" s="1277" t="str">
        <f>IF($S$38="нет","без дифференциации",IF($V$38=0,"",$V$38))</f>
        <v/>
      </c>
      <c r="AN38" s="1782">
        <f>$I$38</f>
        <v>0</v>
      </c>
      <c r="AO38" s="1277" t="str">
        <f>$I$38&amp;"."&amp;$M$38</f>
        <v>.</v>
      </c>
      <c r="AP38" s="1269" t="str">
        <f>$I$38&amp;"."&amp;$M$38&amp;"."&amp;$Q$38</f>
        <v>..</v>
      </c>
      <c r="AQ38" s="1269" t="str">
        <f>$I$38&amp;"."&amp;$M$38&amp;"."&amp;$Q$38&amp;"."&amp;$U$38</f>
        <v>...</v>
      </c>
      <c r="AR38" s="1293">
        <v>0</v>
      </c>
    </row>
    <row s="1863" customFormat="1" customHeight="1" ht="17.25" hidden="1">
      <c r="A39" s="331"/>
      <c r="C39" s="330"/>
      <c r="D39" s="2145"/>
      <c r="E39" s="2153"/>
      <c r="F39" s="2156"/>
      <c r="G39" s="2153"/>
      <c r="H39" s="2159"/>
      <c r="I39" s="2161"/>
      <c r="J39" s="2163"/>
      <c r="K39" s="2148"/>
      <c r="L39" s="2148"/>
      <c r="M39" s="2148"/>
      <c r="N39" s="2150"/>
      <c r="O39" s="2148"/>
      <c r="P39" s="2148"/>
      <c r="Q39" s="2148"/>
      <c r="R39" s="2151"/>
      <c r="S39" s="2148"/>
      <c r="T39" s="1307"/>
      <c r="U39" s="1307"/>
      <c r="V39" s="1307"/>
      <c r="W39" s="1308"/>
      <c r="X39" s="1269"/>
      <c r="Y39" s="1269"/>
      <c r="Z39" s="1269"/>
      <c r="AA39" s="1269"/>
      <c r="AB39" s="1269"/>
      <c r="AC39" s="1269"/>
      <c r="AD39" s="1269"/>
      <c r="AE39" s="1269"/>
      <c r="AF39" s="1269"/>
      <c r="AG39" s="1269"/>
      <c r="AH39" s="1269"/>
      <c r="AI39" s="1269"/>
      <c r="AJ39" s="1269"/>
      <c r="AK39" s="1269"/>
      <c r="AL39" s="1269"/>
      <c r="AM39" s="1269"/>
      <c r="AN39" s="1269"/>
      <c r="AO39" s="1269"/>
      <c r="AP39" s="1269"/>
      <c r="AQ39" s="1269"/>
      <c r="AR39" s="1293">
        <v>0</v>
      </c>
    </row>
    <row s="1863" customFormat="1" customHeight="1" ht="17.25" hidden="1">
      <c r="A40" s="331"/>
      <c r="C40" s="330"/>
      <c r="D40" s="2146"/>
      <c r="E40" s="2154"/>
      <c r="F40" s="2156"/>
      <c r="G40" s="2154"/>
      <c r="H40" s="2159"/>
      <c r="I40" s="2161"/>
      <c r="J40" s="2164"/>
      <c r="K40" s="2148"/>
      <c r="L40" s="2148"/>
      <c r="M40" s="2148"/>
      <c r="N40" s="2151"/>
      <c r="O40" s="2148"/>
      <c r="P40" s="1428"/>
      <c r="Q40" s="1307"/>
      <c r="R40" s="1307"/>
      <c r="S40" s="339"/>
      <c r="T40" s="339"/>
      <c r="U40" s="339"/>
      <c r="V40" s="339"/>
      <c r="W40" s="1308"/>
      <c r="X40" s="1269"/>
      <c r="Y40" s="1269"/>
      <c r="Z40" s="1269"/>
      <c r="AA40" s="1269"/>
      <c r="AB40" s="1269"/>
      <c r="AC40" s="1269"/>
      <c r="AD40" s="1269"/>
      <c r="AE40" s="1269"/>
      <c r="AF40" s="1269"/>
      <c r="AG40" s="1269"/>
      <c r="AH40" s="1269"/>
      <c r="AI40" s="1269"/>
      <c r="AJ40" s="1269"/>
      <c r="AK40" s="1269"/>
      <c r="AL40" s="1269"/>
      <c r="AM40" s="1269"/>
      <c r="AN40" s="1269"/>
      <c r="AO40" s="1269"/>
      <c r="AP40" s="1269"/>
      <c r="AQ40" s="1269"/>
      <c r="AR40" s="1293">
        <v>0</v>
      </c>
    </row>
    <row s="1863" customFormat="1" customHeight="1" ht="17.25" hidden="1">
      <c r="A41" s="331"/>
      <c r="C41" s="330"/>
      <c r="D41" s="2146"/>
      <c r="E41" s="2154"/>
      <c r="F41" s="2156"/>
      <c r="G41" s="2154"/>
      <c r="H41" s="2159"/>
      <c r="I41" s="2161"/>
      <c r="J41" s="2164"/>
      <c r="K41" s="2148"/>
      <c r="L41" s="1307"/>
      <c r="M41" s="1307"/>
      <c r="N41" s="1307"/>
      <c r="O41" s="1307"/>
      <c r="P41" s="1307"/>
      <c r="Q41" s="1307"/>
      <c r="R41" s="1307"/>
      <c r="S41" s="339"/>
      <c r="T41" s="339"/>
      <c r="U41" s="339"/>
      <c r="V41" s="339"/>
      <c r="W41" s="1308"/>
      <c r="X41" s="1269"/>
      <c r="Y41" s="1269"/>
      <c r="Z41" s="1269"/>
      <c r="AA41" s="1269"/>
      <c r="AB41" s="1269"/>
      <c r="AC41" s="1269"/>
      <c r="AD41" s="1269"/>
      <c r="AE41" s="1269"/>
      <c r="AF41" s="1269"/>
      <c r="AG41" s="1269"/>
      <c r="AH41" s="1269"/>
      <c r="AI41" s="1269"/>
      <c r="AJ41" s="1269"/>
      <c r="AK41" s="1269"/>
      <c r="AL41" s="1269"/>
      <c r="AM41" s="1269"/>
      <c r="AN41" s="1269"/>
      <c r="AO41" s="1269"/>
      <c r="AP41" s="1269"/>
      <c r="AQ41" s="1269"/>
      <c r="AR41" s="1293">
        <v>0</v>
      </c>
    </row>
    <row s="1863" customFormat="1" customHeight="1" ht="17.25" hidden="1">
      <c r="A42" s="331"/>
      <c r="C42" s="330"/>
      <c r="D42" s="2146"/>
      <c r="E42" s="2154"/>
      <c r="F42" s="2157"/>
      <c r="G42" s="2154"/>
      <c r="H42" s="1309"/>
      <c r="I42" s="1310"/>
      <c r="J42" s="1310"/>
      <c r="K42" s="1310"/>
      <c r="L42" s="1310"/>
      <c r="M42" s="1310"/>
      <c r="N42" s="1310"/>
      <c r="O42" s="1310"/>
      <c r="P42" s="1310"/>
      <c r="Q42" s="1310"/>
      <c r="R42" s="1310"/>
      <c r="S42" s="1311"/>
      <c r="T42" s="1311"/>
      <c r="U42" s="1311"/>
      <c r="V42" s="1311"/>
      <c r="W42" s="1312"/>
      <c r="X42" s="1269"/>
      <c r="Y42" s="1269"/>
      <c r="Z42" s="1269"/>
      <c r="AA42" s="1269"/>
      <c r="AB42" s="1269"/>
      <c r="AC42" s="1269"/>
      <c r="AD42" s="1269"/>
      <c r="AE42" s="1269"/>
      <c r="AF42" s="1269"/>
      <c r="AG42" s="1269"/>
      <c r="AH42" s="1269"/>
      <c r="AI42" s="1269"/>
      <c r="AJ42" s="1269"/>
      <c r="AK42" s="1269"/>
      <c r="AL42" s="1269"/>
      <c r="AM42" s="1269"/>
      <c r="AN42" s="1269"/>
      <c r="AO42" s="1269"/>
      <c r="AP42" s="1269"/>
      <c r="AQ42" s="1269"/>
      <c r="AR42" s="1293">
        <v>0</v>
      </c>
    </row>
    <row s="1863" customFormat="1" customHeight="1" ht="17.25" hidden="1">
      <c r="A43" s="331"/>
      <c r="C43" s="219"/>
      <c r="D43" s="2145">
        <v>6</v>
      </c>
      <c r="E43" s="2153" t="s">
        <v>208</v>
      </c>
      <c r="F43" s="2155" t="s">
        <v>19</v>
      </c>
      <c r="G43" s="2153"/>
      <c r="H43" s="2158"/>
      <c r="I43" s="2160"/>
      <c r="J43" s="2162"/>
      <c r="K43" s="2147"/>
      <c r="L43" s="2147"/>
      <c r="M43" s="2147"/>
      <c r="N43" s="2149"/>
      <c r="O43" s="2147"/>
      <c r="P43" s="2147"/>
      <c r="Q43" s="2147"/>
      <c r="R43" s="2152"/>
      <c r="S43" s="2147"/>
      <c r="T43" s="1430"/>
      <c r="U43" s="1430"/>
      <c r="V43" s="1429"/>
      <c r="W43" s="1306"/>
      <c r="X43" s="1277"/>
      <c r="Y43" s="1277"/>
      <c r="Z43" s="1277"/>
      <c r="AA43" s="1277"/>
      <c r="AB43" s="1277"/>
      <c r="AC43" s="1277" t="s">
        <v>209</v>
      </c>
      <c r="AD43" s="1277" t="s">
        <v>210</v>
      </c>
      <c r="AE43" s="1277" t="s">
        <v>211</v>
      </c>
      <c r="AF43" s="1277" t="s">
        <v>212</v>
      </c>
      <c r="AG43" s="1277" t="s">
        <v>213</v>
      </c>
      <c r="AH43" s="1277" t="str">
        <f>IF($E$43=0,"",$E$43)</f>
        <v>Тарифы на услуги по передаче теплоносителя</v>
      </c>
      <c r="AI43" s="1277" t="str">
        <f>IF($G$43=0,"",$G$43)</f>
        <v/>
      </c>
      <c r="AJ43" s="1277" t="str">
        <f>IF($J$43=0,"",$J$43)</f>
        <v/>
      </c>
      <c r="AK43" s="1277" t="str">
        <f>IF($K$43="нет","без дифференциации",IF($N$43=0,"",$N$43))</f>
        <v/>
      </c>
      <c r="AL43" s="1277" t="str">
        <f>IF($O$43="нет","без дифференциации",IF($R$43=0,"",$R$43))</f>
        <v/>
      </c>
      <c r="AM43" s="1277" t="str">
        <f>IF($S$43="нет","без дифференциации",IF($V$43=0,"",$V$43))</f>
        <v/>
      </c>
      <c r="AN43" s="1782">
        <f>$I$43</f>
        <v>0</v>
      </c>
      <c r="AO43" s="1277" t="str">
        <f>$I$43&amp;"."&amp;$M$43</f>
        <v>.</v>
      </c>
      <c r="AP43" s="1269" t="str">
        <f>$I$43&amp;"."&amp;$M$43&amp;"."&amp;$Q$43</f>
        <v>..</v>
      </c>
      <c r="AQ43" s="1269" t="str">
        <f>$I$43&amp;"."&amp;$M$43&amp;"."&amp;$Q$43&amp;"."&amp;$U$43</f>
        <v>...</v>
      </c>
      <c r="AR43" s="1293">
        <v>0</v>
      </c>
    </row>
    <row s="1863" customFormat="1" customHeight="1" ht="17.25" hidden="1">
      <c r="A44" s="331"/>
      <c r="C44" s="330"/>
      <c r="D44" s="2145"/>
      <c r="E44" s="2153"/>
      <c r="F44" s="2156"/>
      <c r="G44" s="2153"/>
      <c r="H44" s="2159"/>
      <c r="I44" s="2161"/>
      <c r="J44" s="2163"/>
      <c r="K44" s="2148"/>
      <c r="L44" s="2148"/>
      <c r="M44" s="2148"/>
      <c r="N44" s="2150"/>
      <c r="O44" s="2148"/>
      <c r="P44" s="2148"/>
      <c r="Q44" s="2148"/>
      <c r="R44" s="2151"/>
      <c r="S44" s="2148"/>
      <c r="T44" s="1307"/>
      <c r="U44" s="1307"/>
      <c r="V44" s="1307"/>
      <c r="W44" s="1308"/>
      <c r="X44" s="1269"/>
      <c r="Y44" s="1269"/>
      <c r="Z44" s="1269"/>
      <c r="AA44" s="1269"/>
      <c r="AB44" s="1269"/>
      <c r="AC44" s="1269"/>
      <c r="AD44" s="1269"/>
      <c r="AE44" s="1269"/>
      <c r="AF44" s="1269"/>
      <c r="AG44" s="1269"/>
      <c r="AH44" s="1269"/>
      <c r="AI44" s="1269"/>
      <c r="AJ44" s="1269"/>
      <c r="AK44" s="1269"/>
      <c r="AL44" s="1269"/>
      <c r="AM44" s="1269"/>
      <c r="AN44" s="1269"/>
      <c r="AO44" s="1269"/>
      <c r="AP44" s="1269"/>
      <c r="AQ44" s="1269"/>
      <c r="AR44" s="1293">
        <v>0</v>
      </c>
    </row>
    <row s="1863" customFormat="1" customHeight="1" ht="17.25" hidden="1">
      <c r="A45" s="331"/>
      <c r="C45" s="330"/>
      <c r="D45" s="2146"/>
      <c r="E45" s="2154"/>
      <c r="F45" s="2156"/>
      <c r="G45" s="2154"/>
      <c r="H45" s="2159"/>
      <c r="I45" s="2161"/>
      <c r="J45" s="2164"/>
      <c r="K45" s="2148"/>
      <c r="L45" s="2148"/>
      <c r="M45" s="2148"/>
      <c r="N45" s="2151"/>
      <c r="O45" s="2148"/>
      <c r="P45" s="1428"/>
      <c r="Q45" s="1307"/>
      <c r="R45" s="1307"/>
      <c r="S45" s="339"/>
      <c r="T45" s="339"/>
      <c r="U45" s="339"/>
      <c r="V45" s="339"/>
      <c r="W45" s="1308"/>
      <c r="X45" s="1269"/>
      <c r="Y45" s="1269"/>
      <c r="Z45" s="1269"/>
      <c r="AA45" s="1269"/>
      <c r="AB45" s="1269"/>
      <c r="AC45" s="1269"/>
      <c r="AD45" s="1269"/>
      <c r="AE45" s="1269"/>
      <c r="AF45" s="1269"/>
      <c r="AG45" s="1269"/>
      <c r="AH45" s="1269"/>
      <c r="AI45" s="1269"/>
      <c r="AJ45" s="1269"/>
      <c r="AK45" s="1269"/>
      <c r="AL45" s="1269"/>
      <c r="AM45" s="1269"/>
      <c r="AN45" s="1269"/>
      <c r="AO45" s="1269"/>
      <c r="AP45" s="1269"/>
      <c r="AQ45" s="1269"/>
      <c r="AR45" s="1293">
        <v>0</v>
      </c>
    </row>
    <row s="1863" customFormat="1" customHeight="1" ht="17.25" hidden="1">
      <c r="A46" s="331"/>
      <c r="C46" s="219"/>
      <c r="D46" s="2146"/>
      <c r="E46" s="2154"/>
      <c r="F46" s="2156"/>
      <c r="G46" s="2154"/>
      <c r="H46" s="2159"/>
      <c r="I46" s="2161"/>
      <c r="J46" s="2164"/>
      <c r="K46" s="2148"/>
      <c r="L46" s="1307"/>
      <c r="M46" s="1307"/>
      <c r="N46" s="1307"/>
      <c r="O46" s="1307"/>
      <c r="P46" s="1307"/>
      <c r="Q46" s="1307"/>
      <c r="R46" s="1307"/>
      <c r="S46" s="339"/>
      <c r="T46" s="339"/>
      <c r="U46" s="339"/>
      <c r="V46" s="339"/>
      <c r="W46" s="1308"/>
      <c r="Y46" s="1277"/>
      <c r="Z46" s="1277"/>
      <c r="AA46" s="1277"/>
      <c r="AB46" s="1277"/>
      <c r="AC46" s="1277"/>
      <c r="AD46" s="1277"/>
      <c r="AE46" s="1277"/>
      <c r="AF46" s="1277"/>
      <c r="AG46" s="1277"/>
      <c r="AH46" s="1277"/>
      <c r="AI46" s="1277"/>
      <c r="AJ46" s="1277"/>
      <c r="AK46" s="1277"/>
      <c r="AL46" s="1277"/>
      <c r="AM46" s="1277"/>
      <c r="AN46" s="1277"/>
      <c r="AO46" s="1277"/>
      <c r="AP46" s="1277"/>
      <c r="AQ46" s="1277"/>
      <c r="AR46" s="1336">
        <v>0</v>
      </c>
    </row>
    <row s="1863" customFormat="1" customHeight="1" ht="17.25" hidden="1">
      <c r="A47" s="331"/>
      <c r="C47" s="330"/>
      <c r="D47" s="2146"/>
      <c r="E47" s="2154"/>
      <c r="F47" s="2157"/>
      <c r="G47" s="2154"/>
      <c r="H47" s="1309"/>
      <c r="I47" s="1310"/>
      <c r="J47" s="1310"/>
      <c r="K47" s="1310"/>
      <c r="L47" s="1310"/>
      <c r="M47" s="1310"/>
      <c r="N47" s="1310"/>
      <c r="O47" s="1310"/>
      <c r="P47" s="1310"/>
      <c r="Q47" s="1310"/>
      <c r="R47" s="1310"/>
      <c r="S47" s="1311"/>
      <c r="T47" s="1311"/>
      <c r="U47" s="1311"/>
      <c r="V47" s="1311"/>
      <c r="W47" s="1312"/>
      <c r="X47" s="1269"/>
      <c r="Y47" s="1269"/>
      <c r="Z47" s="1269"/>
      <c r="AA47" s="1269"/>
      <c r="AB47" s="1269"/>
      <c r="AC47" s="1269"/>
      <c r="AD47" s="1269"/>
      <c r="AE47" s="1269"/>
      <c r="AF47" s="1269"/>
      <c r="AG47" s="1269"/>
      <c r="AH47" s="1269"/>
      <c r="AI47" s="1269"/>
      <c r="AJ47" s="1269"/>
      <c r="AK47" s="1269"/>
      <c r="AL47" s="1269"/>
      <c r="AM47" s="1269"/>
      <c r="AN47" s="1269"/>
      <c r="AO47" s="1269"/>
      <c r="AP47" s="1269"/>
      <c r="AQ47" s="1269"/>
      <c r="AR47" s="1293">
        <v>0</v>
      </c>
    </row>
    <row s="1863" customFormat="1" customHeight="1" ht="17.25" hidden="1">
      <c r="A48" s="331"/>
      <c r="C48" s="219"/>
      <c r="D48" s="2176">
        <v>7</v>
      </c>
      <c r="E48" s="2179" t="s">
        <v>214</v>
      </c>
      <c r="F48" s="2155" t="s">
        <v>19</v>
      </c>
      <c r="G48" s="2179"/>
      <c r="H48" s="2158"/>
      <c r="I48" s="2160"/>
      <c r="J48" s="2162"/>
      <c r="K48" s="2147"/>
      <c r="L48" s="2147"/>
      <c r="M48" s="2147"/>
      <c r="N48" s="2149"/>
      <c r="O48" s="2147"/>
      <c r="P48" s="2147"/>
      <c r="Q48" s="2147"/>
      <c r="R48" s="2152"/>
      <c r="S48" s="2147"/>
      <c r="T48" s="1430"/>
      <c r="U48" s="1430"/>
      <c r="V48" s="1429"/>
      <c r="W48" s="1306"/>
      <c r="X48" s="1277"/>
      <c r="Y48" s="1277"/>
      <c r="Z48" s="1277"/>
      <c r="AA48" s="1277"/>
      <c r="AB48" s="1277"/>
      <c r="AC48" s="1277" t="s">
        <v>215</v>
      </c>
      <c r="AD48" s="1277" t="s">
        <v>216</v>
      </c>
      <c r="AE48" s="1277" t="s">
        <v>217</v>
      </c>
      <c r="AF48" s="1277" t="s">
        <v>218</v>
      </c>
      <c r="AG48" s="1277" t="s">
        <v>219</v>
      </c>
      <c r="AH48" s="1277" t="str">
        <f>IF($E$48=0,"",$E$48)</f>
        <v>Плата за услуги по поддержанию резервной тепловой мощности при отсутствии потребления тепловой энергии</v>
      </c>
      <c r="AI48" s="1277" t="str">
        <f>IF($G$48=0,"",$G$48)</f>
        <v/>
      </c>
      <c r="AJ48" s="1277" t="str">
        <f>IF($J$48=0,"",$J$48)</f>
        <v/>
      </c>
      <c r="AK48" s="1277" t="str">
        <f>IF($K$48="нет","без дифференциации",IF($N$48=0,"",$N$48))</f>
        <v/>
      </c>
      <c r="AL48" s="1277" t="str">
        <f>IF($O$48="нет","без дифференциации",IF($R$48=0,"",$R$48))</f>
        <v/>
      </c>
      <c r="AM48" s="1277" t="str">
        <f>IF($S$48="нет","без дифференциации",IF($V$48=0,"",$V$48))</f>
        <v/>
      </c>
      <c r="AN48" s="1782">
        <f>$I$48</f>
        <v>0</v>
      </c>
      <c r="AO48" s="1277" t="str">
        <f>$I$48&amp;"."&amp;$M$48</f>
        <v>.</v>
      </c>
      <c r="AP48" s="1269" t="str">
        <f>$I$48&amp;"."&amp;$M$48&amp;"."&amp;$Q$48</f>
        <v>..</v>
      </c>
      <c r="AQ48" s="1269" t="str">
        <f>$I$48&amp;"."&amp;$M$48&amp;"."&amp;$Q$48&amp;"."&amp;$U$48</f>
        <v>...</v>
      </c>
      <c r="AR48" s="1318">
        <v>0</v>
      </c>
    </row>
    <row s="1863" customFormat="1" customHeight="1" ht="17.25" hidden="1">
      <c r="A49" s="331"/>
      <c r="C49" s="330"/>
      <c r="D49" s="2177"/>
      <c r="E49" s="2180"/>
      <c r="F49" s="2156"/>
      <c r="G49" s="2180"/>
      <c r="H49" s="2159"/>
      <c r="I49" s="2161"/>
      <c r="J49" s="2163"/>
      <c r="K49" s="2148"/>
      <c r="L49" s="2148"/>
      <c r="M49" s="2148"/>
      <c r="N49" s="2150"/>
      <c r="O49" s="2148"/>
      <c r="P49" s="2148"/>
      <c r="Q49" s="2148"/>
      <c r="R49" s="2151"/>
      <c r="S49" s="2148"/>
      <c r="T49" s="1307"/>
      <c r="U49" s="1307"/>
      <c r="V49" s="1307"/>
      <c r="W49" s="1308"/>
      <c r="X49" s="1269"/>
      <c r="Y49" s="1269"/>
      <c r="Z49" s="1269"/>
      <c r="AA49" s="1269"/>
      <c r="AB49" s="1269"/>
      <c r="AC49" s="1269"/>
      <c r="AD49" s="1269"/>
      <c r="AE49" s="1269"/>
      <c r="AF49" s="1269"/>
      <c r="AG49" s="1269"/>
      <c r="AH49" s="1269"/>
      <c r="AI49" s="1269"/>
      <c r="AJ49" s="1269"/>
      <c r="AK49" s="1269"/>
      <c r="AL49" s="1269"/>
      <c r="AM49" s="1269"/>
      <c r="AN49" s="1269"/>
      <c r="AO49" s="1269"/>
      <c r="AP49" s="1269"/>
      <c r="AQ49" s="1269"/>
      <c r="AR49" s="1318">
        <v>0</v>
      </c>
    </row>
    <row s="1863" customFormat="1" customHeight="1" ht="17.25" hidden="1">
      <c r="A50" s="331"/>
      <c r="C50" s="330"/>
      <c r="D50" s="2177"/>
      <c r="E50" s="2180"/>
      <c r="F50" s="2156"/>
      <c r="G50" s="2180"/>
      <c r="H50" s="2159"/>
      <c r="I50" s="2161"/>
      <c r="J50" s="2164"/>
      <c r="K50" s="2148"/>
      <c r="L50" s="2148"/>
      <c r="M50" s="2148"/>
      <c r="N50" s="2151"/>
      <c r="O50" s="2148"/>
      <c r="P50" s="1428"/>
      <c r="Q50" s="1307"/>
      <c r="R50" s="1307"/>
      <c r="S50" s="339"/>
      <c r="T50" s="339"/>
      <c r="U50" s="339"/>
      <c r="V50" s="339"/>
      <c r="W50" s="1308"/>
      <c r="X50" s="1269"/>
      <c r="Y50" s="1269"/>
      <c r="Z50" s="1269"/>
      <c r="AA50" s="1269"/>
      <c r="AB50" s="1269"/>
      <c r="AC50" s="1269"/>
      <c r="AD50" s="1269"/>
      <c r="AE50" s="1269"/>
      <c r="AF50" s="1269"/>
      <c r="AG50" s="1269"/>
      <c r="AH50" s="1269"/>
      <c r="AI50" s="1269"/>
      <c r="AJ50" s="1269"/>
      <c r="AK50" s="1269"/>
      <c r="AL50" s="1269"/>
      <c r="AM50" s="1269"/>
      <c r="AN50" s="1269"/>
      <c r="AO50" s="1269"/>
      <c r="AP50" s="1269"/>
      <c r="AQ50" s="1269"/>
      <c r="AR50" s="1318">
        <v>0</v>
      </c>
    </row>
    <row s="1863" customFormat="1" customHeight="1" ht="17.25" hidden="1">
      <c r="A51" s="331"/>
      <c r="C51" s="219"/>
      <c r="D51" s="2177"/>
      <c r="E51" s="2180"/>
      <c r="F51" s="2156"/>
      <c r="G51" s="2180"/>
      <c r="H51" s="2159"/>
      <c r="I51" s="2161"/>
      <c r="J51" s="2164"/>
      <c r="K51" s="2148"/>
      <c r="L51" s="1307"/>
      <c r="M51" s="1307"/>
      <c r="N51" s="1307"/>
      <c r="O51" s="1307"/>
      <c r="P51" s="1307"/>
      <c r="Q51" s="1307"/>
      <c r="R51" s="1307"/>
      <c r="S51" s="339"/>
      <c r="T51" s="339"/>
      <c r="U51" s="339"/>
      <c r="V51" s="339"/>
      <c r="W51" s="1308"/>
      <c r="Y51" s="1277"/>
      <c r="Z51" s="1277"/>
      <c r="AA51" s="1277"/>
      <c r="AB51" s="1277"/>
      <c r="AC51" s="1277"/>
      <c r="AD51" s="1277"/>
      <c r="AE51" s="1277"/>
      <c r="AF51" s="1277"/>
      <c r="AG51" s="1277"/>
      <c r="AH51" s="1277"/>
      <c r="AI51" s="1277"/>
      <c r="AJ51" s="1277"/>
      <c r="AK51" s="1277"/>
      <c r="AL51" s="1277"/>
      <c r="AM51" s="1277"/>
      <c r="AN51" s="1277"/>
      <c r="AO51" s="1277"/>
      <c r="AP51" s="1277"/>
      <c r="AQ51" s="1277"/>
      <c r="AR51" s="1336">
        <v>0</v>
      </c>
    </row>
    <row s="1863" customFormat="1" customHeight="1" ht="17.25" hidden="1">
      <c r="A52" s="331"/>
      <c r="C52" s="330"/>
      <c r="D52" s="2178"/>
      <c r="E52" s="2181"/>
      <c r="F52" s="2157"/>
      <c r="G52" s="2181"/>
      <c r="H52" s="1309"/>
      <c r="I52" s="1310"/>
      <c r="J52" s="1310"/>
      <c r="K52" s="1310"/>
      <c r="L52" s="1310"/>
      <c r="M52" s="1310"/>
      <c r="N52" s="1310"/>
      <c r="O52" s="1310"/>
      <c r="P52" s="1310"/>
      <c r="Q52" s="1310"/>
      <c r="R52" s="1310"/>
      <c r="S52" s="1311"/>
      <c r="T52" s="1311"/>
      <c r="U52" s="1311"/>
      <c r="V52" s="1311"/>
      <c r="W52" s="1312"/>
      <c r="X52" s="1269"/>
      <c r="Y52" s="1269"/>
      <c r="Z52" s="1269"/>
      <c r="AA52" s="1269"/>
      <c r="AB52" s="1269"/>
      <c r="AC52" s="1269"/>
      <c r="AD52" s="1269"/>
      <c r="AE52" s="1269"/>
      <c r="AF52" s="1269"/>
      <c r="AG52" s="1269"/>
      <c r="AH52" s="1269"/>
      <c r="AI52" s="1269"/>
      <c r="AJ52" s="1269"/>
      <c r="AK52" s="1269"/>
      <c r="AL52" s="1269"/>
      <c r="AM52" s="1269"/>
      <c r="AN52" s="1269"/>
      <c r="AO52" s="1269"/>
      <c r="AP52" s="1269"/>
      <c r="AQ52" s="1269"/>
      <c r="AR52" s="1318">
        <v>0</v>
      </c>
    </row>
    <row s="1863" customFormat="1" customHeight="1" ht="17.25" hidden="1">
      <c r="A53" s="331"/>
      <c r="C53" s="219"/>
      <c r="D53" s="2145">
        <v>8</v>
      </c>
      <c r="E53" s="2153" t="s">
        <v>220</v>
      </c>
      <c r="F53" s="2155" t="s">
        <v>19</v>
      </c>
      <c r="G53" s="2153"/>
      <c r="H53" s="2158"/>
      <c r="I53" s="2160"/>
      <c r="J53" s="2162"/>
      <c r="K53" s="2147"/>
      <c r="L53" s="2147"/>
      <c r="M53" s="2147"/>
      <c r="N53" s="2149"/>
      <c r="O53" s="2147"/>
      <c r="P53" s="2147"/>
      <c r="Q53" s="2147"/>
      <c r="R53" s="2152"/>
      <c r="S53" s="2147"/>
      <c r="T53" s="1480"/>
      <c r="U53" s="1480"/>
      <c r="V53" s="1482"/>
      <c r="W53" s="1306"/>
      <c r="X53" s="1277"/>
      <c r="Y53" s="1277"/>
      <c r="Z53" s="1277"/>
      <c r="AA53" s="1277"/>
      <c r="AB53" s="1277"/>
      <c r="AC53" s="1277" t="s">
        <v>221</v>
      </c>
      <c r="AD53" s="1277" t="s">
        <v>222</v>
      </c>
      <c r="AE53" s="1277" t="s">
        <v>223</v>
      </c>
      <c r="AF53" s="1277" t="s">
        <v>224</v>
      </c>
      <c r="AG53" s="1277" t="s">
        <v>225</v>
      </c>
      <c r="AH53" s="1277" t="str">
        <f>IF($E$53=0,"",$E$53)</f>
        <v>Плата за подключение (технологическое присоединение) к системе теплоснабжения</v>
      </c>
      <c r="AI53" s="1277" t="str">
        <f>IF($G$53=0,"",$G$53)</f>
        <v/>
      </c>
      <c r="AJ53" s="1277" t="str">
        <f>IF($J$53=0,"",$J$53)</f>
        <v/>
      </c>
      <c r="AK53" s="1277" t="str">
        <f>IF($K$53="нет","без дифференциации",IF($N$53=0,"",$N$53))</f>
        <v/>
      </c>
      <c r="AL53" s="1277" t="str">
        <f>IF($O$53="нет","без дифференциации",IF($R$53=0,"",$R$53))</f>
        <v/>
      </c>
      <c r="AM53" s="1277" t="str">
        <f>IF($S$53="нет","без дифференциации",IF($V$53=0,"",$V$53))</f>
        <v/>
      </c>
      <c r="AN53" s="1782">
        <f>$I$53</f>
        <v>0</v>
      </c>
      <c r="AO53" s="1277" t="str">
        <f>$I$53&amp;"."&amp;$M$53</f>
        <v>.</v>
      </c>
      <c r="AP53" s="1269" t="str">
        <f>$I$53&amp;"."&amp;$M$53&amp;"."&amp;$Q$53</f>
        <v>..</v>
      </c>
      <c r="AQ53" s="1269" t="str">
        <f>$I$53&amp;"."&amp;$M$53&amp;"."&amp;$Q$53&amp;"."&amp;$U$53</f>
        <v>...</v>
      </c>
      <c r="AR53" s="1318">
        <v>0</v>
      </c>
    </row>
    <row s="1863" customFormat="1" customHeight="1" ht="17.25" hidden="1">
      <c r="A54" s="331"/>
      <c r="C54" s="330"/>
      <c r="D54" s="2145"/>
      <c r="E54" s="2153"/>
      <c r="F54" s="2156"/>
      <c r="G54" s="2153"/>
      <c r="H54" s="2159"/>
      <c r="I54" s="2161"/>
      <c r="J54" s="2163"/>
      <c r="K54" s="2148"/>
      <c r="L54" s="2148"/>
      <c r="M54" s="2148"/>
      <c r="N54" s="2150"/>
      <c r="O54" s="2148"/>
      <c r="P54" s="2148"/>
      <c r="Q54" s="2148"/>
      <c r="R54" s="2151"/>
      <c r="S54" s="2148"/>
      <c r="T54" s="1307"/>
      <c r="U54" s="1307"/>
      <c r="V54" s="1307"/>
      <c r="W54" s="1308"/>
      <c r="X54" s="1269"/>
      <c r="Y54" s="1269"/>
      <c r="Z54" s="1269"/>
      <c r="AA54" s="1269"/>
      <c r="AB54" s="1269"/>
      <c r="AC54" s="1269"/>
      <c r="AD54" s="1269"/>
      <c r="AE54" s="1269"/>
      <c r="AF54" s="1269"/>
      <c r="AG54" s="1269"/>
      <c r="AH54" s="1269"/>
      <c r="AI54" s="1269"/>
      <c r="AJ54" s="1269"/>
      <c r="AK54" s="1269"/>
      <c r="AL54" s="1269"/>
      <c r="AM54" s="1269"/>
      <c r="AN54" s="1269"/>
      <c r="AO54" s="1269"/>
      <c r="AP54" s="1269"/>
      <c r="AQ54" s="1269"/>
      <c r="AR54" s="1318">
        <v>0</v>
      </c>
    </row>
    <row s="1863" customFormat="1" customHeight="1" ht="17.25" hidden="1">
      <c r="A55" s="331"/>
      <c r="C55" s="330"/>
      <c r="D55" s="2146"/>
      <c r="E55" s="2154"/>
      <c r="F55" s="2156"/>
      <c r="G55" s="2154"/>
      <c r="H55" s="2159"/>
      <c r="I55" s="2161"/>
      <c r="J55" s="2164"/>
      <c r="K55" s="2148"/>
      <c r="L55" s="2148"/>
      <c r="M55" s="2148"/>
      <c r="N55" s="2151"/>
      <c r="O55" s="2148"/>
      <c r="P55" s="1481"/>
      <c r="Q55" s="1307"/>
      <c r="R55" s="1307"/>
      <c r="S55" s="339"/>
      <c r="T55" s="339"/>
      <c r="U55" s="339"/>
      <c r="V55" s="339"/>
      <c r="W55" s="1308"/>
      <c r="X55" s="1269"/>
      <c r="Y55" s="1269"/>
      <c r="Z55" s="1269"/>
      <c r="AA55" s="1269"/>
      <c r="AB55" s="1269"/>
      <c r="AC55" s="1269"/>
      <c r="AD55" s="1269"/>
      <c r="AE55" s="1269"/>
      <c r="AF55" s="1269"/>
      <c r="AG55" s="1269"/>
      <c r="AH55" s="1269"/>
      <c r="AI55" s="1269"/>
      <c r="AJ55" s="1269"/>
      <c r="AK55" s="1269"/>
      <c r="AL55" s="1269"/>
      <c r="AM55" s="1269"/>
      <c r="AN55" s="1269"/>
      <c r="AO55" s="1269"/>
      <c r="AP55" s="1269"/>
      <c r="AQ55" s="1269"/>
      <c r="AR55" s="1318">
        <v>0</v>
      </c>
    </row>
    <row s="1863" customFormat="1" customHeight="1" ht="17.25" hidden="1">
      <c r="A56" s="331"/>
      <c r="C56" s="219"/>
      <c r="D56" s="2146"/>
      <c r="E56" s="2154"/>
      <c r="F56" s="2156"/>
      <c r="G56" s="2154"/>
      <c r="H56" s="2159"/>
      <c r="I56" s="2161"/>
      <c r="J56" s="2164"/>
      <c r="K56" s="2148"/>
      <c r="L56" s="1307"/>
      <c r="M56" s="1307"/>
      <c r="N56" s="1307"/>
      <c r="O56" s="1307"/>
      <c r="P56" s="1307"/>
      <c r="Q56" s="1307"/>
      <c r="R56" s="1307"/>
      <c r="S56" s="339"/>
      <c r="T56" s="339"/>
      <c r="U56" s="339"/>
      <c r="V56" s="339"/>
      <c r="W56" s="1308"/>
      <c r="Y56" s="1277"/>
      <c r="Z56" s="1277"/>
      <c r="AA56" s="1277"/>
      <c r="AB56" s="1277"/>
      <c r="AC56" s="1277"/>
      <c r="AD56" s="1277"/>
      <c r="AE56" s="1277"/>
      <c r="AF56" s="1277"/>
      <c r="AG56" s="1277"/>
      <c r="AH56" s="1277"/>
      <c r="AI56" s="1277"/>
      <c r="AJ56" s="1277"/>
      <c r="AK56" s="1277"/>
      <c r="AL56" s="1277"/>
      <c r="AM56" s="1277"/>
      <c r="AN56" s="1277"/>
      <c r="AO56" s="1277"/>
      <c r="AP56" s="1277"/>
      <c r="AQ56" s="1277"/>
      <c r="AR56" s="1336">
        <v>0</v>
      </c>
    </row>
    <row s="1863" customFormat="1" customHeight="1" ht="17.25" hidden="1">
      <c r="A57" s="331"/>
      <c r="C57" s="330"/>
      <c r="D57" s="2146"/>
      <c r="E57" s="2154"/>
      <c r="F57" s="2157"/>
      <c r="G57" s="2154"/>
      <c r="H57" s="1309"/>
      <c r="I57" s="1310"/>
      <c r="J57" s="1310"/>
      <c r="K57" s="1310"/>
      <c r="L57" s="1310"/>
      <c r="M57" s="1310"/>
      <c r="N57" s="1310"/>
      <c r="O57" s="1310"/>
      <c r="P57" s="1310"/>
      <c r="Q57" s="1310"/>
      <c r="R57" s="1310"/>
      <c r="S57" s="1311"/>
      <c r="T57" s="1311"/>
      <c r="U57" s="1311"/>
      <c r="V57" s="1311"/>
      <c r="W57" s="1312"/>
      <c r="X57" s="1269"/>
      <c r="Y57" s="1269"/>
      <c r="Z57" s="1269"/>
      <c r="AA57" s="1269"/>
      <c r="AB57" s="1269"/>
      <c r="AC57" s="1269"/>
      <c r="AD57" s="1269"/>
      <c r="AE57" s="1269"/>
      <c r="AF57" s="1269"/>
      <c r="AG57" s="1269"/>
      <c r="AH57" s="1269"/>
      <c r="AI57" s="1269"/>
      <c r="AJ57" s="1269"/>
      <c r="AK57" s="1269"/>
      <c r="AL57" s="1269"/>
      <c r="AM57" s="1269"/>
      <c r="AN57" s="1269"/>
      <c r="AO57" s="1269"/>
      <c r="AP57" s="1269"/>
      <c r="AQ57" s="1269"/>
      <c r="AR57" s="1318">
        <v>0</v>
      </c>
    </row>
    <row s="1863" customFormat="1" customHeight="1" ht="17.25" hidden="1">
      <c r="A58" s="331"/>
      <c r="C58" s="219"/>
      <c r="D58" s="2145">
        <v>9</v>
      </c>
      <c r="E58" s="2153" t="s">
        <v>226</v>
      </c>
      <c r="F58" s="2155" t="s">
        <v>19</v>
      </c>
      <c r="G58" s="2153"/>
      <c r="H58" s="2158"/>
      <c r="I58" s="2160"/>
      <c r="J58" s="2162"/>
      <c r="K58" s="2147"/>
      <c r="L58" s="2147"/>
      <c r="M58" s="2147"/>
      <c r="N58" s="2149"/>
      <c r="O58" s="2147"/>
      <c r="P58" s="2147"/>
      <c r="Q58" s="2147"/>
      <c r="R58" s="2152"/>
      <c r="S58" s="2147"/>
      <c r="T58" s="1941"/>
      <c r="U58" s="1941"/>
      <c r="V58" s="1943"/>
      <c r="W58" s="1306"/>
      <c r="X58" s="1277"/>
      <c r="Y58" s="1277"/>
      <c r="Z58" s="1277"/>
      <c r="AA58" s="1277"/>
      <c r="AB58" s="1277"/>
      <c r="AC58" s="1277" t="s">
        <v>227</v>
      </c>
      <c r="AD58" s="1277" t="s">
        <v>228</v>
      </c>
      <c r="AE58" s="1277" t="s">
        <v>229</v>
      </c>
      <c r="AF58" s="1277" t="s">
        <v>230</v>
      </c>
      <c r="AG58" s="1277" t="s">
        <v>231</v>
      </c>
      <c r="AH58" s="1277" t="str">
        <f>IF($E$58=0,"",$E$58)</f>
        <v>Плата за подключение (технологическое присоединение) к системе теплоснабжения (индивидуальная)</v>
      </c>
      <c r="AI58" s="1277" t="str">
        <f>IF($G$58=0,"",$G$58)</f>
        <v/>
      </c>
      <c r="AJ58" s="1277" t="str">
        <f>IF($J$58=0,"",$J$58)</f>
        <v/>
      </c>
      <c r="AK58" s="1277" t="str">
        <f>IF($K$58="нет","без дифференциации",IF($N$58=0,"",$N$58))</f>
        <v/>
      </c>
      <c r="AL58" s="1277" t="str">
        <f>IF($O$58="нет","без дифференциации",IF($R$58=0,"",$R$58))</f>
        <v/>
      </c>
      <c r="AM58" s="1277" t="str">
        <f>IF($S$58="нет","без дифференциации",IF($V$58=0,"",$V$58))</f>
        <v/>
      </c>
      <c r="AN58" s="1782">
        <f>$I$58</f>
        <v>0</v>
      </c>
      <c r="AO58" s="1277" t="str">
        <f>$I$58&amp;"."&amp;$M$58</f>
        <v>.</v>
      </c>
      <c r="AP58" s="1276" t="str">
        <f>$I$58&amp;"."&amp;$M$58&amp;"."&amp;$Q$58</f>
        <v>..</v>
      </c>
      <c r="AQ58" s="1276" t="str">
        <f>$I$58&amp;"."&amp;$M$58&amp;"."&amp;$Q$58&amp;"."&amp;$U$58</f>
        <v>...</v>
      </c>
      <c r="AR58" s="1477">
        <v>0</v>
      </c>
    </row>
    <row s="1863" customFormat="1" customHeight="1" ht="17.25" hidden="1">
      <c r="A59" s="331"/>
      <c r="C59" s="330"/>
      <c r="D59" s="2145"/>
      <c r="E59" s="2153"/>
      <c r="F59" s="2156"/>
      <c r="G59" s="2153"/>
      <c r="H59" s="2159"/>
      <c r="I59" s="2161"/>
      <c r="J59" s="2163"/>
      <c r="K59" s="2148"/>
      <c r="L59" s="2148"/>
      <c r="M59" s="2148"/>
      <c r="N59" s="2150"/>
      <c r="O59" s="2148"/>
      <c r="P59" s="2148"/>
      <c r="Q59" s="2148"/>
      <c r="R59" s="2151"/>
      <c r="S59" s="2148"/>
      <c r="T59" s="1944"/>
      <c r="U59" s="1944"/>
      <c r="V59" s="1944"/>
      <c r="W59" s="1945"/>
      <c r="X59" s="1276"/>
      <c r="Y59" s="1276"/>
      <c r="Z59" s="1276"/>
      <c r="AA59" s="1276"/>
      <c r="AB59" s="1276"/>
      <c r="AC59" s="1276"/>
      <c r="AD59" s="1276"/>
      <c r="AE59" s="1276"/>
      <c r="AF59" s="1276"/>
      <c r="AG59" s="1276"/>
      <c r="AH59" s="1276"/>
      <c r="AI59" s="1276"/>
      <c r="AJ59" s="1276"/>
      <c r="AK59" s="1276"/>
      <c r="AL59" s="1276"/>
      <c r="AM59" s="1276"/>
      <c r="AN59" s="1276"/>
      <c r="AO59" s="1276"/>
      <c r="AP59" s="1276"/>
      <c r="AQ59" s="1276"/>
      <c r="AR59" s="1477">
        <v>0</v>
      </c>
    </row>
    <row s="1863" customFormat="1" customHeight="1" ht="17.25" hidden="1">
      <c r="A60" s="331"/>
      <c r="C60" s="330"/>
      <c r="D60" s="2146"/>
      <c r="E60" s="2154"/>
      <c r="F60" s="2156"/>
      <c r="G60" s="2154"/>
      <c r="H60" s="2159"/>
      <c r="I60" s="2161"/>
      <c r="J60" s="2164"/>
      <c r="K60" s="2148"/>
      <c r="L60" s="2148"/>
      <c r="M60" s="2148"/>
      <c r="N60" s="2151"/>
      <c r="O60" s="2148"/>
      <c r="P60" s="1942"/>
      <c r="Q60" s="1944"/>
      <c r="R60" s="1944"/>
      <c r="S60" s="339"/>
      <c r="T60" s="339"/>
      <c r="U60" s="339"/>
      <c r="V60" s="339"/>
      <c r="W60" s="1945"/>
      <c r="X60" s="1276"/>
      <c r="Y60" s="1276"/>
      <c r="Z60" s="1276"/>
      <c r="AA60" s="1276"/>
      <c r="AB60" s="1276"/>
      <c r="AC60" s="1276"/>
      <c r="AD60" s="1276"/>
      <c r="AE60" s="1276"/>
      <c r="AF60" s="1276"/>
      <c r="AG60" s="1276"/>
      <c r="AH60" s="1276"/>
      <c r="AI60" s="1276"/>
      <c r="AJ60" s="1276"/>
      <c r="AK60" s="1276"/>
      <c r="AL60" s="1276"/>
      <c r="AM60" s="1276"/>
      <c r="AN60" s="1276"/>
      <c r="AO60" s="1276"/>
      <c r="AP60" s="1276"/>
      <c r="AQ60" s="1276"/>
      <c r="AR60" s="1477">
        <v>0</v>
      </c>
    </row>
    <row s="1863" customFormat="1" customHeight="1" ht="17.25" hidden="1">
      <c r="A61" s="331"/>
      <c r="C61" s="219"/>
      <c r="D61" s="2146"/>
      <c r="E61" s="2154"/>
      <c r="F61" s="2156"/>
      <c r="G61" s="2154"/>
      <c r="H61" s="2159"/>
      <c r="I61" s="2161"/>
      <c r="J61" s="2164"/>
      <c r="K61" s="2148"/>
      <c r="L61" s="1944"/>
      <c r="M61" s="1944"/>
      <c r="N61" s="1944"/>
      <c r="O61" s="1944"/>
      <c r="P61" s="1944"/>
      <c r="Q61" s="1944"/>
      <c r="R61" s="1944"/>
      <c r="S61" s="339"/>
      <c r="T61" s="339"/>
      <c r="U61" s="339"/>
      <c r="V61" s="339"/>
      <c r="W61" s="1945"/>
      <c r="Y61" s="1277"/>
      <c r="Z61" s="1277"/>
      <c r="AA61" s="1277"/>
      <c r="AB61" s="1277"/>
      <c r="AC61" s="1277"/>
      <c r="AD61" s="1277"/>
      <c r="AE61" s="1277"/>
      <c r="AF61" s="1277"/>
      <c r="AG61" s="1277"/>
      <c r="AH61" s="1277"/>
      <c r="AI61" s="1277"/>
      <c r="AJ61" s="1277"/>
      <c r="AK61" s="1277"/>
      <c r="AL61" s="1277"/>
      <c r="AM61" s="1277"/>
      <c r="AN61" s="1277"/>
      <c r="AO61" s="1277"/>
      <c r="AP61" s="1277"/>
      <c r="AQ61" s="1277"/>
      <c r="AR61" s="1477">
        <v>0</v>
      </c>
    </row>
    <row s="1863" customFormat="1" customHeight="1" ht="17.25" hidden="1">
      <c r="A62" s="331"/>
      <c r="C62" s="330"/>
      <c r="D62" s="2146"/>
      <c r="E62" s="2154"/>
      <c r="F62" s="2157"/>
      <c r="G62" s="2154"/>
      <c r="H62" s="1309"/>
      <c r="I62" s="1946"/>
      <c r="J62" s="1946"/>
      <c r="K62" s="1946"/>
      <c r="L62" s="1946"/>
      <c r="M62" s="1946"/>
      <c r="N62" s="1946"/>
      <c r="O62" s="1946"/>
      <c r="P62" s="1946"/>
      <c r="Q62" s="1946"/>
      <c r="R62" s="1946"/>
      <c r="S62" s="1311"/>
      <c r="T62" s="1311"/>
      <c r="U62" s="1311"/>
      <c r="V62" s="1311"/>
      <c r="W62" s="1947"/>
      <c r="X62" s="1276"/>
      <c r="Y62" s="1276"/>
      <c r="Z62" s="1276"/>
      <c r="AA62" s="1276"/>
      <c r="AB62" s="1276"/>
      <c r="AC62" s="1276"/>
      <c r="AD62" s="1276"/>
      <c r="AE62" s="1276"/>
      <c r="AF62" s="1276"/>
      <c r="AG62" s="1276"/>
      <c r="AH62" s="1276"/>
      <c r="AI62" s="1276"/>
      <c r="AJ62" s="1276"/>
      <c r="AK62" s="1276"/>
      <c r="AL62" s="1276"/>
      <c r="AM62" s="1276"/>
      <c r="AN62" s="1276"/>
      <c r="AO62" s="1276"/>
      <c r="AP62" s="1276"/>
      <c r="AQ62" s="1276"/>
      <c r="AR62" s="1477">
        <v>0</v>
      </c>
    </row>
    <row s="1863" customFormat="1" customHeight="1" ht="17.25" hidden="1">
      <c r="A63" s="331"/>
      <c r="C63" s="219"/>
      <c r="D63" s="2145">
        <v>10</v>
      </c>
      <c r="E63" s="2153" t="s">
        <v>232</v>
      </c>
      <c r="F63" s="2155" t="s">
        <v>19</v>
      </c>
      <c r="G63" s="2153"/>
      <c r="H63" s="2158"/>
      <c r="I63" s="2160"/>
      <c r="J63" s="2162"/>
      <c r="K63" s="2147"/>
      <c r="L63" s="2147"/>
      <c r="M63" s="2147"/>
      <c r="N63" s="2149"/>
      <c r="O63" s="2147"/>
      <c r="P63" s="2147"/>
      <c r="Q63" s="2147"/>
      <c r="R63" s="2152"/>
      <c r="S63" s="2147"/>
      <c r="T63" s="1941"/>
      <c r="U63" s="1941"/>
      <c r="V63" s="1943"/>
      <c r="W63" s="1306"/>
      <c r="X63" s="1277"/>
      <c r="Y63" s="1277"/>
      <c r="Z63" s="1277"/>
      <c r="AA63" s="1277"/>
      <c r="AB63" s="1277"/>
      <c r="AC63" s="1277" t="s">
        <v>233</v>
      </c>
      <c r="AD63" s="1277" t="s">
        <v>234</v>
      </c>
      <c r="AE63" s="1277" t="s">
        <v>235</v>
      </c>
      <c r="AF63" s="1277" t="s">
        <v>236</v>
      </c>
      <c r="AG63" s="1277" t="s">
        <v>237</v>
      </c>
      <c r="AH63" s="1277" t="str">
        <f>IF($E$63=0,"",$E$63)</f>
        <v>Предельный уровень цены на тепловую энергию (мощность), поставляемую теплоснабжающими организациями потребителям</v>
      </c>
      <c r="AI63" s="1277" t="str">
        <f>IF($G$63=0,"",$G$63)</f>
        <v/>
      </c>
      <c r="AJ63" s="1277" t="str">
        <f>IF($J$63=0,"",$J$63)</f>
        <v/>
      </c>
      <c r="AK63" s="1277" t="str">
        <f>IF($K$63="нет","без дифференциации",IF($N$63=0,"",$N$63))</f>
        <v/>
      </c>
      <c r="AL63" s="1277" t="str">
        <f>IF($O$63="нет","без дифференциации",IF($R$63=0,"",$R$63))</f>
        <v/>
      </c>
      <c r="AM63" s="1277" t="str">
        <f>IF($S$63="нет","без дифференциации",IF($V$63=0,"",$V$63))</f>
        <v/>
      </c>
      <c r="AN63" s="1782">
        <f>$I$63</f>
        <v>0</v>
      </c>
      <c r="AO63" s="1277" t="str">
        <f>$I$63&amp;"."&amp;$M$63</f>
        <v>.</v>
      </c>
      <c r="AP63" s="1276" t="str">
        <f>$I$63&amp;"."&amp;$M$63&amp;"."&amp;$Q$63</f>
        <v>..</v>
      </c>
      <c r="AQ63" s="1276" t="str">
        <f>$I$63&amp;"."&amp;$M$63&amp;"."&amp;$Q$63&amp;"."&amp;$U$63</f>
        <v>...</v>
      </c>
      <c r="AR63" s="1477">
        <v>0</v>
      </c>
    </row>
    <row s="1863" customFormat="1" customHeight="1" ht="17.25" hidden="1">
      <c r="A64" s="331"/>
      <c r="C64" s="330"/>
      <c r="D64" s="2145"/>
      <c r="E64" s="2153"/>
      <c r="F64" s="2156"/>
      <c r="G64" s="2153"/>
      <c r="H64" s="2159"/>
      <c r="I64" s="2161"/>
      <c r="J64" s="2163"/>
      <c r="K64" s="2148"/>
      <c r="L64" s="2148"/>
      <c r="M64" s="2148"/>
      <c r="N64" s="2150"/>
      <c r="O64" s="2148"/>
      <c r="P64" s="2148"/>
      <c r="Q64" s="2148"/>
      <c r="R64" s="2151"/>
      <c r="S64" s="2148"/>
      <c r="T64" s="1944"/>
      <c r="U64" s="1944"/>
      <c r="V64" s="1944"/>
      <c r="W64" s="1945"/>
      <c r="X64" s="1276"/>
      <c r="Y64" s="1276"/>
      <c r="Z64" s="1276"/>
      <c r="AA64" s="1276"/>
      <c r="AB64" s="1276"/>
      <c r="AC64" s="1276"/>
      <c r="AD64" s="1276"/>
      <c r="AE64" s="1276"/>
      <c r="AF64" s="1276"/>
      <c r="AG64" s="1276"/>
      <c r="AH64" s="1276"/>
      <c r="AI64" s="1276"/>
      <c r="AJ64" s="1276"/>
      <c r="AK64" s="1276"/>
      <c r="AL64" s="1276"/>
      <c r="AM64" s="1276"/>
      <c r="AN64" s="1276"/>
      <c r="AO64" s="1276"/>
      <c r="AP64" s="1276"/>
      <c r="AQ64" s="1276"/>
      <c r="AR64" s="1477">
        <v>0</v>
      </c>
    </row>
    <row s="1863" customFormat="1" customHeight="1" ht="17.25" hidden="1">
      <c r="A65" s="331"/>
      <c r="C65" s="330"/>
      <c r="D65" s="2146"/>
      <c r="E65" s="2154"/>
      <c r="F65" s="2156"/>
      <c r="G65" s="2154"/>
      <c r="H65" s="2159"/>
      <c r="I65" s="2161"/>
      <c r="J65" s="2164"/>
      <c r="K65" s="2148"/>
      <c r="L65" s="2148"/>
      <c r="M65" s="2148"/>
      <c r="N65" s="2151"/>
      <c r="O65" s="2148"/>
      <c r="P65" s="1942"/>
      <c r="Q65" s="1944"/>
      <c r="R65" s="1944"/>
      <c r="S65" s="339"/>
      <c r="T65" s="339"/>
      <c r="U65" s="339"/>
      <c r="V65" s="339"/>
      <c r="W65" s="1945"/>
      <c r="X65" s="1276"/>
      <c r="Y65" s="1276"/>
      <c r="Z65" s="1276"/>
      <c r="AA65" s="1276"/>
      <c r="AB65" s="1276"/>
      <c r="AC65" s="1276"/>
      <c r="AD65" s="1276"/>
      <c r="AE65" s="1276"/>
      <c r="AF65" s="1276"/>
      <c r="AG65" s="1276"/>
      <c r="AH65" s="1276"/>
      <c r="AI65" s="1276"/>
      <c r="AJ65" s="1276"/>
      <c r="AK65" s="1276"/>
      <c r="AL65" s="1276"/>
      <c r="AM65" s="1276"/>
      <c r="AN65" s="1276"/>
      <c r="AO65" s="1276"/>
      <c r="AP65" s="1276"/>
      <c r="AQ65" s="1276"/>
      <c r="AR65" s="1477">
        <v>0</v>
      </c>
    </row>
    <row s="1863" customFormat="1" customHeight="1" ht="17.25" hidden="1">
      <c r="A66" s="331"/>
      <c r="C66" s="219"/>
      <c r="D66" s="2146"/>
      <c r="E66" s="2154"/>
      <c r="F66" s="2156"/>
      <c r="G66" s="2154"/>
      <c r="H66" s="2159"/>
      <c r="I66" s="2161"/>
      <c r="J66" s="2164"/>
      <c r="K66" s="2148"/>
      <c r="L66" s="1944"/>
      <c r="M66" s="1944"/>
      <c r="N66" s="1944"/>
      <c r="O66" s="1944"/>
      <c r="P66" s="1944"/>
      <c r="Q66" s="1944"/>
      <c r="R66" s="1944"/>
      <c r="S66" s="339"/>
      <c r="T66" s="339"/>
      <c r="U66" s="339"/>
      <c r="V66" s="339"/>
      <c r="W66" s="1945"/>
      <c r="Y66" s="1277"/>
      <c r="Z66" s="1277"/>
      <c r="AA66" s="1277"/>
      <c r="AB66" s="1277"/>
      <c r="AC66" s="1277"/>
      <c r="AD66" s="1277"/>
      <c r="AE66" s="1277"/>
      <c r="AF66" s="1277"/>
      <c r="AG66" s="1277"/>
      <c r="AH66" s="1277"/>
      <c r="AI66" s="1277"/>
      <c r="AJ66" s="1277"/>
      <c r="AK66" s="1277"/>
      <c r="AL66" s="1277"/>
      <c r="AM66" s="1277"/>
      <c r="AN66" s="1277"/>
      <c r="AO66" s="1277"/>
      <c r="AP66" s="1277"/>
      <c r="AQ66" s="1277"/>
      <c r="AR66" s="1477">
        <v>0</v>
      </c>
    </row>
    <row s="1863" customFormat="1" customHeight="1" ht="17.25" hidden="1">
      <c r="A67" s="331"/>
      <c r="C67" s="330"/>
      <c r="D67" s="2146"/>
      <c r="E67" s="2154"/>
      <c r="F67" s="2157"/>
      <c r="G67" s="2154"/>
      <c r="H67" s="1309"/>
      <c r="I67" s="1946"/>
      <c r="J67" s="1946"/>
      <c r="K67" s="1946"/>
      <c r="L67" s="1946"/>
      <c r="M67" s="1946"/>
      <c r="N67" s="1946"/>
      <c r="O67" s="1946"/>
      <c r="P67" s="1946"/>
      <c r="Q67" s="1946"/>
      <c r="R67" s="1946"/>
      <c r="S67" s="1311"/>
      <c r="T67" s="1311"/>
      <c r="U67" s="1311"/>
      <c r="V67" s="1311"/>
      <c r="W67" s="1947"/>
      <c r="X67" s="1276"/>
      <c r="Y67" s="1276"/>
      <c r="Z67" s="1276"/>
      <c r="AA67" s="1276"/>
      <c r="AB67" s="1276"/>
      <c r="AC67" s="1276"/>
      <c r="AD67" s="1276"/>
      <c r="AE67" s="1276"/>
      <c r="AF67" s="1276"/>
      <c r="AG67" s="1276"/>
      <c r="AH67" s="1276"/>
      <c r="AI67" s="1276"/>
      <c r="AJ67" s="1276"/>
      <c r="AK67" s="1276"/>
      <c r="AL67" s="1276"/>
      <c r="AM67" s="1276"/>
      <c r="AN67" s="1276"/>
      <c r="AO67" s="1276"/>
      <c r="AP67" s="1276"/>
      <c r="AQ67" s="1276"/>
      <c r="AR67" s="1477">
        <v>0</v>
      </c>
    </row>
    <row customHeight="1" ht="11.25" hidden="1">
      <c r="AR68" s="114">
        <v>0</v>
      </c>
    </row>
    <row customHeight="1" ht="11.25" hidden="1">
      <c r="E69" s="2184" t="s">
        <v>238</v>
      </c>
      <c r="F69" s="2184"/>
      <c r="G69" s="2184"/>
      <c r="H69" s="2184"/>
      <c r="I69" s="2184"/>
      <c r="J69" s="2184"/>
      <c r="K69" s="2184"/>
      <c r="L69" s="2184"/>
      <c r="M69" s="2184"/>
      <c r="N69" s="2184"/>
      <c r="O69" s="2184"/>
      <c r="P69" s="2184"/>
      <c r="Q69" s="2184"/>
      <c r="R69" s="2184"/>
      <c r="S69" s="2184"/>
      <c r="T69" s="2184"/>
      <c r="U69" s="2184"/>
      <c r="V69" s="2184"/>
      <c r="W69" s="2184"/>
      <c r="AR69" s="114">
        <v>0</v>
      </c>
    </row>
    <row customHeight="1" ht="36.75" hidden="1">
      <c r="E70" s="2182" t="s">
        <v>239</v>
      </c>
      <c r="F70" s="2182"/>
      <c r="G70" s="2183"/>
      <c r="H70" s="2183"/>
      <c r="I70" s="2183"/>
      <c r="J70" s="2183"/>
      <c r="K70" s="2183"/>
      <c r="L70" s="2183"/>
      <c r="M70" s="2183"/>
      <c r="N70" s="2183"/>
      <c r="O70" s="2183"/>
      <c r="P70" s="2183"/>
      <c r="Q70" s="2183"/>
      <c r="R70" s="2183"/>
      <c r="S70" s="2183"/>
      <c r="T70" s="2183"/>
      <c r="U70" s="2183"/>
      <c r="V70" s="2183"/>
      <c r="W70" s="2183"/>
      <c r="AR70" s="114">
        <v>0</v>
      </c>
    </row>
    <row customHeight="1" ht="28.5" hidden="1">
      <c r="E71" s="2182" t="s">
        <v>240</v>
      </c>
      <c r="F71" s="2182"/>
      <c r="G71" s="2183"/>
      <c r="H71" s="2183"/>
      <c r="I71" s="2183"/>
      <c r="J71" s="2183"/>
      <c r="K71" s="2183"/>
      <c r="L71" s="2183"/>
      <c r="M71" s="2183"/>
      <c r="N71" s="2183"/>
      <c r="O71" s="2183"/>
      <c r="P71" s="2183"/>
      <c r="Q71" s="2183"/>
      <c r="R71" s="2183"/>
      <c r="S71" s="2183"/>
      <c r="T71" s="2183"/>
      <c r="U71" s="2183"/>
      <c r="V71" s="2183"/>
      <c r="W71" s="2183"/>
      <c r="AR71" s="114">
        <v>0</v>
      </c>
    </row>
    <row customHeight="1" ht="27" hidden="1">
      <c r="E72" s="2182" t="s">
        <v>241</v>
      </c>
      <c r="F72" s="2182"/>
      <c r="G72" s="2183"/>
      <c r="H72" s="2183"/>
      <c r="I72" s="2183"/>
      <c r="J72" s="2183"/>
      <c r="K72" s="2183"/>
      <c r="L72" s="2183"/>
      <c r="M72" s="2183"/>
      <c r="N72" s="2183"/>
      <c r="O72" s="2183"/>
      <c r="P72" s="2183"/>
      <c r="Q72" s="2183"/>
      <c r="R72" s="2183"/>
      <c r="S72" s="2183"/>
      <c r="T72" s="2183"/>
      <c r="U72" s="2183"/>
      <c r="V72" s="2183"/>
      <c r="W72" s="2183"/>
      <c r="AR72" s="114">
        <v>0</v>
      </c>
    </row>
    <row customHeight="1" ht="17.25" hidden="1">
      <c r="E73" s="2182" t="s">
        <v>242</v>
      </c>
      <c r="F73" s="2182"/>
      <c r="G73" s="2183"/>
      <c r="H73" s="2183"/>
      <c r="I73" s="2183"/>
      <c r="J73" s="2183"/>
      <c r="K73" s="2183"/>
      <c r="L73" s="2183"/>
      <c r="M73" s="2183"/>
      <c r="N73" s="2183"/>
      <c r="O73" s="2183"/>
      <c r="P73" s="2183"/>
      <c r="Q73" s="2183"/>
      <c r="R73" s="2183"/>
      <c r="S73" s="2183"/>
      <c r="T73" s="2183"/>
      <c r="U73" s="2183"/>
      <c r="V73" s="2183"/>
      <c r="W73" s="2183"/>
      <c r="AR73" s="114">
        <v>0</v>
      </c>
    </row>
    <row customHeight="1" ht="15" hidden="1">
      <c r="E74" s="350"/>
      <c r="F74" s="1295"/>
      <c r="G74" s="167"/>
      <c r="H74" s="167"/>
      <c r="I74" s="167"/>
      <c r="J74" s="167"/>
      <c r="K74" s="167"/>
      <c r="L74" s="167"/>
      <c r="M74" s="167"/>
      <c r="N74" s="167"/>
      <c r="O74" s="167"/>
      <c r="P74" s="167"/>
      <c r="Q74" s="167"/>
      <c r="R74" s="167"/>
      <c r="S74" s="167"/>
      <c r="T74" s="167"/>
      <c r="U74" s="167"/>
      <c r="V74" s="167"/>
      <c r="W74" s="167"/>
      <c r="AR74" s="114">
        <v>0</v>
      </c>
    </row>
    <row customHeight="1" ht="15" hidden="1">
      <c r="E75" s="2184" t="s">
        <v>243</v>
      </c>
      <c r="F75" s="2184"/>
      <c r="G75" s="2184"/>
      <c r="H75" s="2184"/>
      <c r="I75" s="2184"/>
      <c r="J75" s="2184"/>
      <c r="K75" s="2184"/>
      <c r="L75" s="2184"/>
      <c r="M75" s="2184"/>
      <c r="N75" s="2184"/>
      <c r="O75" s="2184"/>
      <c r="P75" s="2184"/>
      <c r="Q75" s="2184"/>
      <c r="R75" s="2184"/>
      <c r="S75" s="2184"/>
      <c r="T75" s="2184"/>
      <c r="U75" s="2184"/>
      <c r="V75" s="2184"/>
      <c r="W75" s="2184"/>
      <c r="AR75" s="114">
        <v>0</v>
      </c>
    </row>
    <row customHeight="1" ht="17.25" hidden="1">
      <c r="E76" s="2182" t="s">
        <v>244</v>
      </c>
      <c r="F76" s="2182"/>
      <c r="G76" s="2183"/>
      <c r="H76" s="2183"/>
      <c r="I76" s="2183"/>
      <c r="J76" s="2183"/>
      <c r="K76" s="2183"/>
      <c r="L76" s="2183"/>
      <c r="M76" s="2183"/>
      <c r="N76" s="2183"/>
      <c r="O76" s="2183"/>
      <c r="P76" s="2183"/>
      <c r="Q76" s="2183"/>
      <c r="R76" s="2183"/>
      <c r="S76" s="2183"/>
      <c r="T76" s="2183"/>
      <c r="U76" s="2183"/>
      <c r="V76" s="2183"/>
      <c r="W76" s="2183"/>
      <c r="AR76" s="114">
        <v>0</v>
      </c>
    </row>
    <row customHeight="1" ht="17.25" hidden="1">
      <c r="E77" s="2182" t="s">
        <v>245</v>
      </c>
      <c r="F77" s="2182"/>
      <c r="G77" s="2183"/>
      <c r="H77" s="2183"/>
      <c r="I77" s="2183"/>
      <c r="J77" s="2183"/>
      <c r="K77" s="2183"/>
      <c r="L77" s="2183"/>
      <c r="M77" s="2183"/>
      <c r="N77" s="2183"/>
      <c r="O77" s="2183"/>
      <c r="P77" s="2183"/>
      <c r="Q77" s="2183"/>
      <c r="R77" s="2183"/>
      <c r="S77" s="2183"/>
      <c r="T77" s="2183"/>
      <c r="U77" s="2183"/>
      <c r="V77" s="2183"/>
      <c r="W77" s="2183"/>
      <c r="AR77" s="114">
        <v>0</v>
      </c>
    </row>
    <row s="1863" customFormat="1" customHeight="1" ht="11.25" hidden="1">
      <c r="A78" s="287"/>
      <c r="B78" s="287"/>
      <c r="Y78" s="1269"/>
      <c r="Z78" s="1269"/>
      <c r="AA78" s="1269"/>
      <c r="AB78" s="1269"/>
      <c r="AC78" s="1269"/>
      <c r="AD78" s="1269"/>
      <c r="AE78" s="1269"/>
      <c r="AF78" s="1269"/>
      <c r="AG78" s="1269"/>
      <c r="AH78" s="1269"/>
      <c r="AI78" s="1269"/>
      <c r="AJ78" s="1269"/>
      <c r="AK78" s="1269"/>
      <c r="AL78" s="1269"/>
      <c r="AM78" s="1269"/>
      <c r="AN78" s="1269"/>
      <c r="AO78" s="1269"/>
      <c r="AP78" s="1269"/>
      <c r="AQ78" s="1269"/>
      <c r="AR78" s="1360">
        <v>0</v>
      </c>
    </row>
    <row s="1863" customFormat="1" customHeight="1" ht="17.25" hidden="1">
      <c r="A79" s="331"/>
      <c r="C79" s="219"/>
      <c r="D79" s="2145">
        <v>1</v>
      </c>
      <c r="E79" s="2153" t="s">
        <v>246</v>
      </c>
      <c r="F79" s="2155" t="s">
        <v>19</v>
      </c>
      <c r="G79" s="2153"/>
      <c r="H79" s="2158"/>
      <c r="I79" s="2160"/>
      <c r="J79" s="2162"/>
      <c r="K79" s="2147"/>
      <c r="L79" s="2147"/>
      <c r="M79" s="2147"/>
      <c r="N79" s="2149"/>
      <c r="O79" s="2147"/>
      <c r="P79" s="2147"/>
      <c r="Q79" s="2147"/>
      <c r="R79" s="2152"/>
      <c r="S79" s="2147"/>
      <c r="T79" s="1480"/>
      <c r="U79" s="1480"/>
      <c r="V79" s="1482"/>
      <c r="W79" s="1306"/>
      <c r="Y79" s="1277"/>
      <c r="Z79" s="1277"/>
      <c r="AA79" s="1277"/>
      <c r="AB79" s="1277"/>
      <c r="AC79" s="1277" t="s">
        <v>247</v>
      </c>
      <c r="AD79" s="1277" t="s">
        <v>248</v>
      </c>
      <c r="AE79" s="1277" t="s">
        <v>249</v>
      </c>
      <c r="AF79" s="1277" t="s">
        <v>250</v>
      </c>
      <c r="AG79" s="1277"/>
      <c r="AH79" s="1277" t="str">
        <f>IF($E$79=0,"",$E$79)</f>
        <v>Тариф на питьевую воду (питьевое водоснабжение)</v>
      </c>
      <c r="AI79" s="1277" t="str">
        <f>IF($G$79=0,"",$G$79)</f>
        <v/>
      </c>
      <c r="AJ79" s="1277" t="str">
        <f>IF($J$79=0,"",$J$79)</f>
        <v/>
      </c>
      <c r="AK79" s="1277" t="str">
        <f>IF($K$79="нет","без дифференциации",IF($N$79=0,"",$N$79))</f>
        <v/>
      </c>
      <c r="AL79" s="1277" t="str">
        <f>IF($O$79="нет","без дифференциации",IF($R$79=0,"",$R$79))</f>
        <v/>
      </c>
      <c r="AM79" s="1277" t="str">
        <f>IF($S$79="нет","без дифференциации",IF($V$79=0,"",$V$79))</f>
        <v/>
      </c>
      <c r="AN79" s="1277">
        <f>$I$79</f>
        <v>0</v>
      </c>
      <c r="AO79" s="1277" t="str">
        <f>$I$79&amp;"."&amp;$M$79</f>
        <v>.</v>
      </c>
      <c r="AP79" s="1277" t="str">
        <f>$I$79&amp;"."&amp;$M$79&amp;"."&amp;$Q$79</f>
        <v>..</v>
      </c>
      <c r="AQ79" s="1277" t="str">
        <f>$I$79&amp;"."&amp;$M$79&amp;"."&amp;$Q$79&amp;"."&amp;$U$79</f>
        <v>...</v>
      </c>
      <c r="AR79" s="1360">
        <v>0</v>
      </c>
    </row>
    <row s="1863" customFormat="1" customHeight="1" ht="17.25" hidden="1">
      <c r="A80" s="331"/>
      <c r="C80" s="330"/>
      <c r="D80" s="2145"/>
      <c r="E80" s="2153"/>
      <c r="F80" s="2156"/>
      <c r="G80" s="2153"/>
      <c r="H80" s="2159"/>
      <c r="I80" s="2161"/>
      <c r="J80" s="2163"/>
      <c r="K80" s="2148"/>
      <c r="L80" s="2148"/>
      <c r="M80" s="2148"/>
      <c r="N80" s="2150"/>
      <c r="O80" s="2148"/>
      <c r="P80" s="2148"/>
      <c r="Q80" s="2148"/>
      <c r="R80" s="2151"/>
      <c r="S80" s="2148"/>
      <c r="T80" s="1307"/>
      <c r="U80" s="1307"/>
      <c r="V80" s="1307"/>
      <c r="W80" s="1308"/>
      <c r="Y80" s="1269"/>
      <c r="Z80" s="1269"/>
      <c r="AA80" s="1269"/>
      <c r="AB80" s="1269"/>
      <c r="AC80" s="1269"/>
      <c r="AD80" s="1269"/>
      <c r="AE80" s="1269"/>
      <c r="AF80" s="1269"/>
      <c r="AG80" s="1269"/>
      <c r="AH80" s="1269"/>
      <c r="AI80" s="1269"/>
      <c r="AJ80" s="1269"/>
      <c r="AK80" s="1269"/>
      <c r="AL80" s="1269"/>
      <c r="AM80" s="1269"/>
      <c r="AN80" s="1269"/>
      <c r="AO80" s="1269"/>
      <c r="AP80" s="1269"/>
      <c r="AQ80" s="1269"/>
      <c r="AR80" s="1360">
        <v>0</v>
      </c>
    </row>
    <row s="1863" customFormat="1" customHeight="1" ht="17.25" hidden="1">
      <c r="A81" s="331"/>
      <c r="C81" s="219"/>
      <c r="D81" s="2145"/>
      <c r="E81" s="2153"/>
      <c r="F81" s="2156"/>
      <c r="G81" s="2153"/>
      <c r="H81" s="2159"/>
      <c r="I81" s="2161"/>
      <c r="J81" s="2164"/>
      <c r="K81" s="2148"/>
      <c r="L81" s="2148"/>
      <c r="M81" s="2148"/>
      <c r="N81" s="2151"/>
      <c r="O81" s="2148"/>
      <c r="P81" s="1481"/>
      <c r="Q81" s="1307"/>
      <c r="R81" s="1307"/>
      <c r="S81" s="339"/>
      <c r="T81" s="339"/>
      <c r="U81" s="339"/>
      <c r="V81" s="339"/>
      <c r="W81" s="1308"/>
      <c r="Y81" s="1277"/>
      <c r="Z81" s="1277"/>
      <c r="AA81" s="1277"/>
      <c r="AB81" s="1277"/>
      <c r="AC81" s="1277"/>
      <c r="AD81" s="1277"/>
      <c r="AE81" s="1277"/>
      <c r="AF81" s="1277"/>
      <c r="AG81" s="1277"/>
      <c r="AH81" s="1277"/>
      <c r="AI81" s="1277"/>
      <c r="AJ81" s="1277"/>
      <c r="AK81" s="1277"/>
      <c r="AL81" s="1277"/>
      <c r="AM81" s="1277"/>
      <c r="AN81" s="1277"/>
      <c r="AO81" s="1277"/>
      <c r="AP81" s="1277"/>
      <c r="AQ81" s="1277"/>
      <c r="AR81" s="1451">
        <v>0</v>
      </c>
    </row>
    <row s="1863" customFormat="1" customHeight="1" ht="17.25" hidden="1">
      <c r="A82" s="331"/>
      <c r="C82" s="330"/>
      <c r="D82" s="2145"/>
      <c r="E82" s="2153"/>
      <c r="F82" s="2156"/>
      <c r="G82" s="2153"/>
      <c r="H82" s="2159"/>
      <c r="I82" s="2161"/>
      <c r="J82" s="2164"/>
      <c r="K82" s="2148"/>
      <c r="L82" s="1307"/>
      <c r="M82" s="1307"/>
      <c r="N82" s="1307"/>
      <c r="O82" s="1307"/>
      <c r="P82" s="1307"/>
      <c r="Q82" s="1307"/>
      <c r="R82" s="1307"/>
      <c r="S82" s="339"/>
      <c r="T82" s="339"/>
      <c r="U82" s="339"/>
      <c r="V82" s="339"/>
      <c r="W82" s="1308"/>
      <c r="Y82" s="1269"/>
      <c r="Z82" s="1269"/>
      <c r="AA82" s="1269"/>
      <c r="AB82" s="1269"/>
      <c r="AC82" s="1269"/>
      <c r="AD82" s="1269"/>
      <c r="AE82" s="1269"/>
      <c r="AF82" s="1269"/>
      <c r="AG82" s="1269"/>
      <c r="AH82" s="1269"/>
      <c r="AI82" s="1269"/>
      <c r="AJ82" s="1269"/>
      <c r="AK82" s="1269"/>
      <c r="AL82" s="1269"/>
      <c r="AM82" s="1269"/>
      <c r="AN82" s="1269"/>
      <c r="AO82" s="1269"/>
      <c r="AP82" s="1269"/>
      <c r="AQ82" s="1269"/>
      <c r="AR82" s="1451">
        <v>0</v>
      </c>
    </row>
    <row s="1863" customFormat="1" customHeight="1" ht="17.25" hidden="1">
      <c r="A83" s="331"/>
      <c r="C83" s="330"/>
      <c r="D83" s="2146"/>
      <c r="E83" s="2154"/>
      <c r="F83" s="2157"/>
      <c r="G83" s="2154"/>
      <c r="H83" s="1309"/>
      <c r="I83" s="1310"/>
      <c r="J83" s="1310"/>
      <c r="K83" s="1310"/>
      <c r="L83" s="1310"/>
      <c r="M83" s="1310"/>
      <c r="N83" s="1310"/>
      <c r="O83" s="1310"/>
      <c r="P83" s="1310"/>
      <c r="Q83" s="1310"/>
      <c r="R83" s="1310"/>
      <c r="S83" s="1311"/>
      <c r="T83" s="1311"/>
      <c r="U83" s="1311"/>
      <c r="V83" s="1311"/>
      <c r="W83" s="1312"/>
      <c r="Y83" s="1269"/>
      <c r="Z83" s="1269"/>
      <c r="AA83" s="1269"/>
      <c r="AB83" s="1269"/>
      <c r="AC83" s="1269"/>
      <c r="AD83" s="1269"/>
      <c r="AE83" s="1269"/>
      <c r="AF83" s="1269"/>
      <c r="AG83" s="1269"/>
      <c r="AH83" s="1269"/>
      <c r="AI83" s="1269"/>
      <c r="AJ83" s="1269"/>
      <c r="AK83" s="1269"/>
      <c r="AL83" s="1269"/>
      <c r="AM83" s="1269"/>
      <c r="AN83" s="1269"/>
      <c r="AO83" s="1269"/>
      <c r="AP83" s="1269"/>
      <c r="AQ83" s="1269"/>
      <c r="AR83" s="1360">
        <v>0</v>
      </c>
    </row>
    <row s="1863" customFormat="1" customHeight="1" ht="17.25" hidden="1">
      <c r="A84" s="331"/>
      <c r="C84" s="219"/>
      <c r="D84" s="2145">
        <v>2</v>
      </c>
      <c r="E84" s="2153" t="s">
        <v>251</v>
      </c>
      <c r="F84" s="2155" t="s">
        <v>19</v>
      </c>
      <c r="G84" s="2153"/>
      <c r="H84" s="2158"/>
      <c r="I84" s="2160"/>
      <c r="J84" s="2162"/>
      <c r="K84" s="2147"/>
      <c r="L84" s="2147"/>
      <c r="M84" s="2147"/>
      <c r="N84" s="2149"/>
      <c r="O84" s="2147"/>
      <c r="P84" s="2147"/>
      <c r="Q84" s="2147"/>
      <c r="R84" s="2152"/>
      <c r="S84" s="2147"/>
      <c r="T84" s="1453"/>
      <c r="U84" s="1453"/>
      <c r="V84" s="1455"/>
      <c r="W84" s="1306"/>
      <c r="X84" s="1277"/>
      <c r="Y84" s="1277"/>
      <c r="Z84" s="1277"/>
      <c r="AA84" s="1277"/>
      <c r="AB84" s="1277"/>
      <c r="AC84" s="1277" t="s">
        <v>252</v>
      </c>
      <c r="AD84" s="1277" t="s">
        <v>253</v>
      </c>
      <c r="AE84" s="1277" t="s">
        <v>254</v>
      </c>
      <c r="AF84" s="1277" t="s">
        <v>255</v>
      </c>
      <c r="AG84" s="1277"/>
      <c r="AH84" s="1277" t="str">
        <f>IF($E$84=0,"",$E$84)</f>
        <v>Тариф на техническую воду</v>
      </c>
      <c r="AI84" s="1277" t="str">
        <f>IF($G$84=0,"",$G$84)</f>
        <v/>
      </c>
      <c r="AJ84" s="1277" t="str">
        <f>IF($J$84=0,"",$J$84)</f>
        <v/>
      </c>
      <c r="AK84" s="1277" t="str">
        <f>IF($K$84="нет","без дифференциации",IF($N$84=0,"",$N$84))</f>
        <v/>
      </c>
      <c r="AL84" s="1277" t="str">
        <f>IF($O$84="нет","без дифференциации",IF($R$84=0,"",$R$84))</f>
        <v/>
      </c>
      <c r="AM84" s="1277" t="str">
        <f>IF($S$84="нет","без дифференциации",IF($V$84=0,"",$V$84))</f>
        <v/>
      </c>
      <c r="AN84" s="1782">
        <f>$I$84</f>
        <v>0</v>
      </c>
      <c r="AO84" s="1277" t="str">
        <f>$I$84&amp;"."&amp;$M$84</f>
        <v>.</v>
      </c>
      <c r="AP84" s="1269" t="str">
        <f>$I$84&amp;"."&amp;$M$84&amp;"."&amp;$Q$84</f>
        <v>..</v>
      </c>
      <c r="AQ84" s="1269" t="str">
        <f>$I$84&amp;"."&amp;$M$84&amp;"."&amp;$Q$84&amp;"."&amp;$U$84</f>
        <v>...</v>
      </c>
      <c r="AR84" s="1360">
        <v>0</v>
      </c>
    </row>
    <row s="1863" customFormat="1" customHeight="1" ht="17.25" hidden="1">
      <c r="A85" s="331"/>
      <c r="C85" s="330"/>
      <c r="D85" s="2145"/>
      <c r="E85" s="2153"/>
      <c r="F85" s="2156"/>
      <c r="G85" s="2153"/>
      <c r="H85" s="2159"/>
      <c r="I85" s="2161"/>
      <c r="J85" s="2163"/>
      <c r="K85" s="2148"/>
      <c r="L85" s="2148"/>
      <c r="M85" s="2148"/>
      <c r="N85" s="2150"/>
      <c r="O85" s="2148"/>
      <c r="P85" s="2148"/>
      <c r="Q85" s="2148"/>
      <c r="R85" s="2151"/>
      <c r="S85" s="2148"/>
      <c r="T85" s="1307"/>
      <c r="U85" s="1307"/>
      <c r="V85" s="1307"/>
      <c r="W85" s="1308"/>
      <c r="X85" s="1269"/>
      <c r="Y85" s="1269"/>
      <c r="Z85" s="1269"/>
      <c r="AA85" s="1269"/>
      <c r="AB85" s="1269"/>
      <c r="AC85" s="1269"/>
      <c r="AD85" s="1269"/>
      <c r="AE85" s="1269"/>
      <c r="AF85" s="1269"/>
      <c r="AG85" s="1269"/>
      <c r="AH85" s="1269"/>
      <c r="AI85" s="1269"/>
      <c r="AJ85" s="1269"/>
      <c r="AK85" s="1269"/>
      <c r="AL85" s="1269"/>
      <c r="AM85" s="1269"/>
      <c r="AN85" s="1269"/>
      <c r="AO85" s="1269"/>
      <c r="AP85" s="1269"/>
      <c r="AQ85" s="1269"/>
      <c r="AR85" s="1360">
        <v>0</v>
      </c>
    </row>
    <row s="1863" customFormat="1" customHeight="1" ht="17.25" hidden="1">
      <c r="A86" s="331"/>
      <c r="C86" s="330"/>
      <c r="D86" s="2146"/>
      <c r="E86" s="2154"/>
      <c r="F86" s="2156"/>
      <c r="G86" s="2154"/>
      <c r="H86" s="2159"/>
      <c r="I86" s="2161"/>
      <c r="J86" s="2164"/>
      <c r="K86" s="2148"/>
      <c r="L86" s="2148"/>
      <c r="M86" s="2148"/>
      <c r="N86" s="2151"/>
      <c r="O86" s="2148"/>
      <c r="P86" s="1454"/>
      <c r="Q86" s="1307"/>
      <c r="R86" s="1307"/>
      <c r="S86" s="339"/>
      <c r="T86" s="339"/>
      <c r="U86" s="339"/>
      <c r="V86" s="339"/>
      <c r="W86" s="1308"/>
      <c r="X86" s="1269"/>
      <c r="Y86" s="1269"/>
      <c r="Z86" s="1269"/>
      <c r="AA86" s="1269"/>
      <c r="AB86" s="1269"/>
      <c r="AC86" s="1269"/>
      <c r="AD86" s="1269"/>
      <c r="AE86" s="1269"/>
      <c r="AF86" s="1269"/>
      <c r="AG86" s="1269"/>
      <c r="AH86" s="1269"/>
      <c r="AI86" s="1269"/>
      <c r="AJ86" s="1269"/>
      <c r="AK86" s="1269"/>
      <c r="AL86" s="1269"/>
      <c r="AM86" s="1269"/>
      <c r="AN86" s="1269"/>
      <c r="AO86" s="1269"/>
      <c r="AP86" s="1269"/>
      <c r="AQ86" s="1269"/>
      <c r="AR86" s="1360">
        <v>0</v>
      </c>
    </row>
    <row s="1863" customFormat="1" customHeight="1" ht="17.25" hidden="1">
      <c r="A87" s="331"/>
      <c r="C87" s="330"/>
      <c r="D87" s="2146"/>
      <c r="E87" s="2154"/>
      <c r="F87" s="2156"/>
      <c r="G87" s="2154"/>
      <c r="H87" s="2159"/>
      <c r="I87" s="2161"/>
      <c r="J87" s="2164"/>
      <c r="K87" s="2148"/>
      <c r="L87" s="1307"/>
      <c r="M87" s="1307"/>
      <c r="N87" s="1307"/>
      <c r="O87" s="1307"/>
      <c r="P87" s="1307"/>
      <c r="Q87" s="1307"/>
      <c r="R87" s="1307"/>
      <c r="S87" s="339"/>
      <c r="T87" s="339"/>
      <c r="U87" s="339"/>
      <c r="V87" s="339"/>
      <c r="W87" s="1308"/>
      <c r="X87" s="1269"/>
      <c r="Y87" s="1269"/>
      <c r="Z87" s="1269"/>
      <c r="AA87" s="1269"/>
      <c r="AB87" s="1269"/>
      <c r="AC87" s="1269"/>
      <c r="AD87" s="1269"/>
      <c r="AE87" s="1269"/>
      <c r="AF87" s="1269"/>
      <c r="AG87" s="1269"/>
      <c r="AH87" s="1269"/>
      <c r="AI87" s="1269"/>
      <c r="AJ87" s="1269"/>
      <c r="AK87" s="1269"/>
      <c r="AL87" s="1269"/>
      <c r="AM87" s="1269"/>
      <c r="AN87" s="1269"/>
      <c r="AO87" s="1269"/>
      <c r="AP87" s="1269"/>
      <c r="AQ87" s="1269"/>
      <c r="AR87" s="1360">
        <v>0</v>
      </c>
    </row>
    <row s="1863" customFormat="1" customHeight="1" ht="17.25" hidden="1">
      <c r="A88" s="331"/>
      <c r="C88" s="330"/>
      <c r="D88" s="2146"/>
      <c r="E88" s="2154"/>
      <c r="F88" s="2157"/>
      <c r="G88" s="2154"/>
      <c r="H88" s="1309"/>
      <c r="I88" s="1310"/>
      <c r="J88" s="1310"/>
      <c r="K88" s="1310"/>
      <c r="L88" s="1310"/>
      <c r="M88" s="1310"/>
      <c r="N88" s="1310"/>
      <c r="O88" s="1310"/>
      <c r="P88" s="1310"/>
      <c r="Q88" s="1310"/>
      <c r="R88" s="1310"/>
      <c r="S88" s="1311"/>
      <c r="T88" s="1311"/>
      <c r="U88" s="1311"/>
      <c r="V88" s="1311"/>
      <c r="W88" s="1312"/>
      <c r="X88" s="1269"/>
      <c r="Y88" s="1269"/>
      <c r="Z88" s="1269"/>
      <c r="AA88" s="1269"/>
      <c r="AB88" s="1269"/>
      <c r="AC88" s="1269"/>
      <c r="AD88" s="1269"/>
      <c r="AE88" s="1269"/>
      <c r="AF88" s="1269"/>
      <c r="AG88" s="1269"/>
      <c r="AH88" s="1269"/>
      <c r="AI88" s="1269"/>
      <c r="AJ88" s="1269"/>
      <c r="AK88" s="1269"/>
      <c r="AL88" s="1269"/>
      <c r="AM88" s="1269"/>
      <c r="AN88" s="1269"/>
      <c r="AO88" s="1269"/>
      <c r="AP88" s="1269"/>
      <c r="AQ88" s="1269"/>
      <c r="AR88" s="1360">
        <v>0</v>
      </c>
    </row>
    <row s="1863" customFormat="1" customHeight="1" ht="17.25" hidden="1">
      <c r="A89" s="331"/>
      <c r="C89" s="219"/>
      <c r="D89" s="2145">
        <v>3</v>
      </c>
      <c r="E89" s="2153" t="s">
        <v>256</v>
      </c>
      <c r="F89" s="2155" t="s">
        <v>19</v>
      </c>
      <c r="G89" s="2153"/>
      <c r="H89" s="2158"/>
      <c r="I89" s="2160"/>
      <c r="J89" s="2162"/>
      <c r="K89" s="2147"/>
      <c r="L89" s="2147"/>
      <c r="M89" s="2147"/>
      <c r="N89" s="2149"/>
      <c r="O89" s="2147"/>
      <c r="P89" s="2147"/>
      <c r="Q89" s="2147"/>
      <c r="R89" s="2152"/>
      <c r="S89" s="2147"/>
      <c r="T89" s="1453"/>
      <c r="U89" s="1453"/>
      <c r="V89" s="1455"/>
      <c r="W89" s="1306"/>
      <c r="X89" s="1277"/>
      <c r="Y89" s="1277"/>
      <c r="Z89" s="1277"/>
      <c r="AA89" s="1277"/>
      <c r="AB89" s="1277"/>
      <c r="AC89" s="1277" t="s">
        <v>257</v>
      </c>
      <c r="AD89" s="1277" t="s">
        <v>258</v>
      </c>
      <c r="AE89" s="1277" t="s">
        <v>259</v>
      </c>
      <c r="AF89" s="1277" t="s">
        <v>260</v>
      </c>
      <c r="AG89" s="1277"/>
      <c r="AH89" s="1277" t="str">
        <f>IF($E$89=0,"",$E$89)</f>
        <v>Тариф на транспортировку воды</v>
      </c>
      <c r="AI89" s="1277" t="str">
        <f>IF($G$89=0,"",$G$89)</f>
        <v/>
      </c>
      <c r="AJ89" s="1277" t="str">
        <f>IF($J$89=0,"",$J$89)</f>
        <v/>
      </c>
      <c r="AK89" s="1277" t="str">
        <f>IF($K$89="нет","без дифференциации",IF($N$89=0,"",$N$89))</f>
        <v/>
      </c>
      <c r="AL89" s="1277" t="str">
        <f>IF($O$89="нет","без дифференциации",IF($R$89=0,"",$R$89))</f>
        <v/>
      </c>
      <c r="AM89" s="1277" t="str">
        <f>IF($S$89="нет","без дифференциации",IF($V$89=0,"",$V$89))</f>
        <v/>
      </c>
      <c r="AN89" s="1782">
        <f>$I$89</f>
        <v>0</v>
      </c>
      <c r="AO89" s="1277" t="str">
        <f>$I$89&amp;"."&amp;$M$89</f>
        <v>.</v>
      </c>
      <c r="AP89" s="1269" t="str">
        <f>$I$89&amp;"."&amp;$M$89&amp;"."&amp;$Q$89</f>
        <v>..</v>
      </c>
      <c r="AQ89" s="1269" t="str">
        <f>$I$89&amp;"."&amp;$M$89&amp;"."&amp;$Q$89&amp;"."&amp;$U$89</f>
        <v>...</v>
      </c>
      <c r="AR89" s="1360">
        <v>0</v>
      </c>
    </row>
    <row s="1863" customFormat="1" customHeight="1" ht="17.25" hidden="1">
      <c r="A90" s="331"/>
      <c r="C90" s="330"/>
      <c r="D90" s="2145"/>
      <c r="E90" s="2153"/>
      <c r="F90" s="2156"/>
      <c r="G90" s="2153"/>
      <c r="H90" s="2159"/>
      <c r="I90" s="2161"/>
      <c r="J90" s="2163"/>
      <c r="K90" s="2148"/>
      <c r="L90" s="2148"/>
      <c r="M90" s="2148"/>
      <c r="N90" s="2150"/>
      <c r="O90" s="2148"/>
      <c r="P90" s="2148"/>
      <c r="Q90" s="2148"/>
      <c r="R90" s="2151"/>
      <c r="S90" s="2148"/>
      <c r="T90" s="1307"/>
      <c r="U90" s="1307"/>
      <c r="V90" s="1307"/>
      <c r="W90" s="1308"/>
      <c r="X90" s="1269"/>
      <c r="Y90" s="1269"/>
      <c r="Z90" s="1269"/>
      <c r="AA90" s="1269"/>
      <c r="AB90" s="1269"/>
      <c r="AC90" s="1269"/>
      <c r="AD90" s="1269"/>
      <c r="AE90" s="1269"/>
      <c r="AF90" s="1269"/>
      <c r="AG90" s="1269"/>
      <c r="AH90" s="1269"/>
      <c r="AI90" s="1269"/>
      <c r="AJ90" s="1269"/>
      <c r="AK90" s="1269"/>
      <c r="AL90" s="1269"/>
      <c r="AM90" s="1269"/>
      <c r="AN90" s="1269"/>
      <c r="AO90" s="1269"/>
      <c r="AP90" s="1269"/>
      <c r="AQ90" s="1269"/>
      <c r="AR90" s="1360">
        <v>0</v>
      </c>
    </row>
    <row s="1863" customFormat="1" customHeight="1" ht="17.25" hidden="1">
      <c r="A91" s="331"/>
      <c r="C91" s="330"/>
      <c r="D91" s="2146"/>
      <c r="E91" s="2154"/>
      <c r="F91" s="2156"/>
      <c r="G91" s="2154"/>
      <c r="H91" s="2159"/>
      <c r="I91" s="2161"/>
      <c r="J91" s="2164"/>
      <c r="K91" s="2148"/>
      <c r="L91" s="2148"/>
      <c r="M91" s="2148"/>
      <c r="N91" s="2151"/>
      <c r="O91" s="2148"/>
      <c r="P91" s="1454"/>
      <c r="Q91" s="1307"/>
      <c r="R91" s="1307"/>
      <c r="S91" s="339"/>
      <c r="T91" s="339"/>
      <c r="U91" s="339"/>
      <c r="V91" s="339"/>
      <c r="W91" s="1308"/>
      <c r="X91" s="1269"/>
      <c r="Y91" s="1269"/>
      <c r="Z91" s="1269"/>
      <c r="AA91" s="1269"/>
      <c r="AB91" s="1269"/>
      <c r="AC91" s="1269"/>
      <c r="AD91" s="1269"/>
      <c r="AE91" s="1269"/>
      <c r="AF91" s="1269"/>
      <c r="AG91" s="1269"/>
      <c r="AH91" s="1269"/>
      <c r="AI91" s="1269"/>
      <c r="AJ91" s="1269"/>
      <c r="AK91" s="1269"/>
      <c r="AL91" s="1269"/>
      <c r="AM91" s="1269"/>
      <c r="AN91" s="1269"/>
      <c r="AO91" s="1269"/>
      <c r="AP91" s="1269"/>
      <c r="AQ91" s="1269"/>
      <c r="AR91" s="1360">
        <v>0</v>
      </c>
    </row>
    <row s="1863" customFormat="1" customHeight="1" ht="17.25" hidden="1">
      <c r="A92" s="331"/>
      <c r="C92" s="330"/>
      <c r="D92" s="2146"/>
      <c r="E92" s="2154"/>
      <c r="F92" s="2156"/>
      <c r="G92" s="2154"/>
      <c r="H92" s="2159"/>
      <c r="I92" s="2161"/>
      <c r="J92" s="2164"/>
      <c r="K92" s="2148"/>
      <c r="L92" s="1307"/>
      <c r="M92" s="1307"/>
      <c r="N92" s="1307"/>
      <c r="O92" s="1307"/>
      <c r="P92" s="1307"/>
      <c r="Q92" s="1307"/>
      <c r="R92" s="1307"/>
      <c r="S92" s="339"/>
      <c r="T92" s="339"/>
      <c r="U92" s="339"/>
      <c r="V92" s="339"/>
      <c r="W92" s="1308"/>
      <c r="X92" s="1269"/>
      <c r="Y92" s="1269"/>
      <c r="Z92" s="1269"/>
      <c r="AA92" s="1269"/>
      <c r="AB92" s="1269"/>
      <c r="AC92" s="1269"/>
      <c r="AD92" s="1269"/>
      <c r="AE92" s="1269"/>
      <c r="AF92" s="1269"/>
      <c r="AG92" s="1269"/>
      <c r="AH92" s="1269"/>
      <c r="AI92" s="1269"/>
      <c r="AJ92" s="1269"/>
      <c r="AK92" s="1269"/>
      <c r="AL92" s="1269"/>
      <c r="AM92" s="1269"/>
      <c r="AN92" s="1269"/>
      <c r="AO92" s="1269"/>
      <c r="AP92" s="1269"/>
      <c r="AQ92" s="1269"/>
      <c r="AR92" s="1360">
        <v>0</v>
      </c>
    </row>
    <row s="1863" customFormat="1" customHeight="1" ht="17.25" hidden="1">
      <c r="A93" s="331"/>
      <c r="C93" s="330"/>
      <c r="D93" s="2146"/>
      <c r="E93" s="2154"/>
      <c r="F93" s="2157"/>
      <c r="G93" s="2154"/>
      <c r="H93" s="1309"/>
      <c r="I93" s="1310"/>
      <c r="J93" s="1310"/>
      <c r="K93" s="1310"/>
      <c r="L93" s="1310"/>
      <c r="M93" s="1310"/>
      <c r="N93" s="1310"/>
      <c r="O93" s="1310"/>
      <c r="P93" s="1310"/>
      <c r="Q93" s="1310"/>
      <c r="R93" s="1310"/>
      <c r="S93" s="1311"/>
      <c r="T93" s="1311"/>
      <c r="U93" s="1311"/>
      <c r="V93" s="1311"/>
      <c r="W93" s="1312"/>
      <c r="X93" s="1269"/>
      <c r="Y93" s="1269"/>
      <c r="Z93" s="1269"/>
      <c r="AA93" s="1269"/>
      <c r="AB93" s="1269"/>
      <c r="AC93" s="1269"/>
      <c r="AD93" s="1269"/>
      <c r="AE93" s="1269"/>
      <c r="AF93" s="1269"/>
      <c r="AG93" s="1269"/>
      <c r="AH93" s="1269"/>
      <c r="AI93" s="1269"/>
      <c r="AJ93" s="1269"/>
      <c r="AK93" s="1269"/>
      <c r="AL93" s="1269"/>
      <c r="AM93" s="1269"/>
      <c r="AN93" s="1269"/>
      <c r="AO93" s="1269"/>
      <c r="AP93" s="1269"/>
      <c r="AQ93" s="1269"/>
      <c r="AR93" s="1360">
        <v>0</v>
      </c>
    </row>
    <row s="1863" customFormat="1" customHeight="1" ht="17.25" hidden="1">
      <c r="A94" s="331"/>
      <c r="C94" s="219"/>
      <c r="D94" s="2145">
        <v>4</v>
      </c>
      <c r="E94" s="2153" t="s">
        <v>261</v>
      </c>
      <c r="F94" s="2155" t="s">
        <v>19</v>
      </c>
      <c r="G94" s="2153"/>
      <c r="H94" s="2158"/>
      <c r="I94" s="2160"/>
      <c r="J94" s="2162"/>
      <c r="K94" s="2147"/>
      <c r="L94" s="2147"/>
      <c r="M94" s="2147"/>
      <c r="N94" s="2149"/>
      <c r="O94" s="2147"/>
      <c r="P94" s="2147"/>
      <c r="Q94" s="2147"/>
      <c r="R94" s="2152"/>
      <c r="S94" s="2147"/>
      <c r="T94" s="1453"/>
      <c r="U94" s="1453"/>
      <c r="V94" s="1455"/>
      <c r="W94" s="1306"/>
      <c r="X94" s="1277"/>
      <c r="Y94" s="1277"/>
      <c r="Z94" s="1277"/>
      <c r="AA94" s="1277"/>
      <c r="AB94" s="1277"/>
      <c r="AC94" s="1277" t="s">
        <v>262</v>
      </c>
      <c r="AD94" s="1277" t="s">
        <v>263</v>
      </c>
      <c r="AE94" s="1277" t="s">
        <v>264</v>
      </c>
      <c r="AF94" s="1277" t="s">
        <v>265</v>
      </c>
      <c r="AG94" s="1277"/>
      <c r="AH94" s="1277" t="str">
        <f>IF($E$94=0,"",$E$94)</f>
        <v>Тариф на подвоз воды</v>
      </c>
      <c r="AI94" s="1277" t="str">
        <f>IF($G$94=0,"",$G$94)</f>
        <v/>
      </c>
      <c r="AJ94" s="1277" t="str">
        <f>IF($J$94=0,"",$J$94)</f>
        <v/>
      </c>
      <c r="AK94" s="1277" t="str">
        <f>IF($K$94="нет","без дифференциации",IF($N$94=0,"",$N$94))</f>
        <v/>
      </c>
      <c r="AL94" s="1277" t="str">
        <f>IF($O$94="нет","без дифференциации",IF($R$94=0,"",$R$94))</f>
        <v/>
      </c>
      <c r="AM94" s="1277" t="str">
        <f>IF($S$94="нет","без дифференциации",IF($V$94=0,"",$V$94))</f>
        <v/>
      </c>
      <c r="AN94" s="1782">
        <f>$I$94</f>
        <v>0</v>
      </c>
      <c r="AO94" s="1277" t="str">
        <f>$I$94&amp;"."&amp;$M$94</f>
        <v>.</v>
      </c>
      <c r="AP94" s="1269" t="str">
        <f>$I$94&amp;"."&amp;$M$94&amp;"."&amp;$Q$94</f>
        <v>..</v>
      </c>
      <c r="AQ94" s="1269" t="str">
        <f>$I$94&amp;"."&amp;$M$94&amp;"."&amp;$Q$94&amp;"."&amp;$U$94</f>
        <v>...</v>
      </c>
      <c r="AR94" s="1360">
        <v>0</v>
      </c>
    </row>
    <row s="1863" customFormat="1" customHeight="1" ht="17.25" hidden="1">
      <c r="A95" s="331"/>
      <c r="C95" s="330"/>
      <c r="D95" s="2145"/>
      <c r="E95" s="2153"/>
      <c r="F95" s="2156"/>
      <c r="G95" s="2153"/>
      <c r="H95" s="2159"/>
      <c r="I95" s="2161"/>
      <c r="J95" s="2163"/>
      <c r="K95" s="2148"/>
      <c r="L95" s="2148"/>
      <c r="M95" s="2148"/>
      <c r="N95" s="2150"/>
      <c r="O95" s="2148"/>
      <c r="P95" s="2148"/>
      <c r="Q95" s="2148"/>
      <c r="R95" s="2151"/>
      <c r="S95" s="2148"/>
      <c r="T95" s="1307"/>
      <c r="U95" s="1307"/>
      <c r="V95" s="1307"/>
      <c r="W95" s="1308"/>
      <c r="X95" s="1269"/>
      <c r="Y95" s="1269"/>
      <c r="Z95" s="1269"/>
      <c r="AA95" s="1269"/>
      <c r="AB95" s="1269"/>
      <c r="AC95" s="1269"/>
      <c r="AD95" s="1269"/>
      <c r="AE95" s="1269"/>
      <c r="AF95" s="1269"/>
      <c r="AG95" s="1269"/>
      <c r="AH95" s="1269"/>
      <c r="AI95" s="1269"/>
      <c r="AJ95" s="1269"/>
      <c r="AK95" s="1269"/>
      <c r="AL95" s="1269"/>
      <c r="AM95" s="1269"/>
      <c r="AN95" s="1269"/>
      <c r="AO95" s="1269"/>
      <c r="AP95" s="1269"/>
      <c r="AQ95" s="1269"/>
      <c r="AR95" s="1360">
        <v>0</v>
      </c>
    </row>
    <row s="1863" customFormat="1" customHeight="1" ht="17.25" hidden="1">
      <c r="A96" s="331"/>
      <c r="C96" s="330"/>
      <c r="D96" s="2146"/>
      <c r="E96" s="2154"/>
      <c r="F96" s="2156"/>
      <c r="G96" s="2154"/>
      <c r="H96" s="2159"/>
      <c r="I96" s="2161"/>
      <c r="J96" s="2164"/>
      <c r="K96" s="2148"/>
      <c r="L96" s="2148"/>
      <c r="M96" s="2148"/>
      <c r="N96" s="2151"/>
      <c r="O96" s="2148"/>
      <c r="P96" s="1454"/>
      <c r="Q96" s="1307"/>
      <c r="R96" s="1307"/>
      <c r="S96" s="339"/>
      <c r="T96" s="339"/>
      <c r="U96" s="339"/>
      <c r="V96" s="339"/>
      <c r="W96" s="1308"/>
      <c r="X96" s="1269"/>
      <c r="Y96" s="1269"/>
      <c r="Z96" s="1269"/>
      <c r="AA96" s="1269"/>
      <c r="AB96" s="1269"/>
      <c r="AC96" s="1269"/>
      <c r="AD96" s="1269"/>
      <c r="AE96" s="1269"/>
      <c r="AF96" s="1269"/>
      <c r="AG96" s="1269"/>
      <c r="AH96" s="1269"/>
      <c r="AI96" s="1269"/>
      <c r="AJ96" s="1269"/>
      <c r="AK96" s="1269"/>
      <c r="AL96" s="1269"/>
      <c r="AM96" s="1269"/>
      <c r="AN96" s="1269"/>
      <c r="AO96" s="1269"/>
      <c r="AP96" s="1269"/>
      <c r="AQ96" s="1269"/>
      <c r="AR96" s="1360">
        <v>0</v>
      </c>
    </row>
    <row s="1863" customFormat="1" customHeight="1" ht="17.25" hidden="1">
      <c r="A97" s="331"/>
      <c r="C97" s="330"/>
      <c r="D97" s="2146"/>
      <c r="E97" s="2154"/>
      <c r="F97" s="2156"/>
      <c r="G97" s="2154"/>
      <c r="H97" s="2159"/>
      <c r="I97" s="2161"/>
      <c r="J97" s="2164"/>
      <c r="K97" s="2148"/>
      <c r="L97" s="1307"/>
      <c r="M97" s="1307"/>
      <c r="N97" s="1307"/>
      <c r="O97" s="1307"/>
      <c r="P97" s="1307"/>
      <c r="Q97" s="1307"/>
      <c r="R97" s="1307"/>
      <c r="S97" s="339"/>
      <c r="T97" s="339"/>
      <c r="U97" s="339"/>
      <c r="V97" s="339"/>
      <c r="W97" s="1308"/>
      <c r="X97" s="1269"/>
      <c r="Y97" s="1269"/>
      <c r="Z97" s="1269"/>
      <c r="AA97" s="1269"/>
      <c r="AB97" s="1269"/>
      <c r="AC97" s="1269"/>
      <c r="AD97" s="1269"/>
      <c r="AE97" s="1269"/>
      <c r="AF97" s="1269"/>
      <c r="AG97" s="1269"/>
      <c r="AH97" s="1269"/>
      <c r="AI97" s="1269"/>
      <c r="AJ97" s="1269"/>
      <c r="AK97" s="1269"/>
      <c r="AL97" s="1269"/>
      <c r="AM97" s="1269"/>
      <c r="AN97" s="1269"/>
      <c r="AO97" s="1269"/>
      <c r="AP97" s="1269"/>
      <c r="AQ97" s="1269"/>
      <c r="AR97" s="1360">
        <v>0</v>
      </c>
    </row>
    <row s="1863" customFormat="1" customHeight="1" ht="17.25" hidden="1">
      <c r="A98" s="331"/>
      <c r="C98" s="330"/>
      <c r="D98" s="2146"/>
      <c r="E98" s="2154"/>
      <c r="F98" s="2157"/>
      <c r="G98" s="2154"/>
      <c r="H98" s="1309"/>
      <c r="I98" s="1310"/>
      <c r="J98" s="1310"/>
      <c r="K98" s="1310"/>
      <c r="L98" s="1310"/>
      <c r="M98" s="1310"/>
      <c r="N98" s="1310"/>
      <c r="O98" s="1310"/>
      <c r="P98" s="1310"/>
      <c r="Q98" s="1310"/>
      <c r="R98" s="1310"/>
      <c r="S98" s="1311"/>
      <c r="T98" s="1311"/>
      <c r="U98" s="1311"/>
      <c r="V98" s="1311"/>
      <c r="W98" s="1312"/>
      <c r="X98" s="1269"/>
      <c r="Y98" s="1269"/>
      <c r="Z98" s="1269"/>
      <c r="AA98" s="1269"/>
      <c r="AB98" s="1269"/>
      <c r="AC98" s="1269"/>
      <c r="AD98" s="1269"/>
      <c r="AE98" s="1269"/>
      <c r="AF98" s="1269"/>
      <c r="AG98" s="1269"/>
      <c r="AH98" s="1269"/>
      <c r="AI98" s="1269"/>
      <c r="AJ98" s="1269"/>
      <c r="AK98" s="1269"/>
      <c r="AL98" s="1269"/>
      <c r="AM98" s="1269"/>
      <c r="AN98" s="1269"/>
      <c r="AO98" s="1269"/>
      <c r="AP98" s="1269"/>
      <c r="AQ98" s="1269"/>
      <c r="AR98" s="1360">
        <v>0</v>
      </c>
    </row>
    <row s="1863" customFormat="1" customHeight="1" ht="17.25" hidden="1">
      <c r="A99" s="331"/>
      <c r="C99" s="219"/>
      <c r="D99" s="2145">
        <v>5</v>
      </c>
      <c r="E99" s="2153" t="s">
        <v>266</v>
      </c>
      <c r="F99" s="2155" t="s">
        <v>19</v>
      </c>
      <c r="G99" s="2153"/>
      <c r="H99" s="2158"/>
      <c r="I99" s="2160"/>
      <c r="J99" s="2162"/>
      <c r="K99" s="2147"/>
      <c r="L99" s="2147"/>
      <c r="M99" s="2147"/>
      <c r="N99" s="2149"/>
      <c r="O99" s="2147"/>
      <c r="P99" s="2147"/>
      <c r="Q99" s="2147"/>
      <c r="R99" s="2152"/>
      <c r="S99" s="2147"/>
      <c r="T99" s="1953"/>
      <c r="U99" s="1953"/>
      <c r="V99" s="1955"/>
      <c r="W99" s="1306"/>
      <c r="X99" s="1277"/>
      <c r="Y99" s="1277"/>
      <c r="Z99" s="1277"/>
      <c r="AA99" s="1277"/>
      <c r="AB99" s="1277"/>
      <c r="AC99" s="1277" t="s">
        <v>267</v>
      </c>
      <c r="AD99" s="1277" t="s">
        <v>268</v>
      </c>
      <c r="AE99" s="1277" t="s">
        <v>269</v>
      </c>
      <c r="AF99" s="1277" t="s">
        <v>270</v>
      </c>
      <c r="AG99" s="1277"/>
      <c r="AH99" s="1277" t="str">
        <f>IF($E$99=0,"",$E$99)</f>
        <v>Тариф на подключение (технологическое присоединение) к централизованной системе холодного водоснабжения</v>
      </c>
      <c r="AI99" s="1277" t="str">
        <f>IF($G$99=0,"",$G$99)</f>
        <v/>
      </c>
      <c r="AJ99" s="1277" t="str">
        <f>IF($J$99=0,"",$J$99)</f>
        <v/>
      </c>
      <c r="AK99" s="1277" t="str">
        <f>IF($K$99="нет","без дифференциации",IF($N$99=0,"",$N$99))</f>
        <v/>
      </c>
      <c r="AL99" s="1277" t="str">
        <f>IF($O$99="нет","без дифференциации",IF($R$99=0,"",$R$99))</f>
        <v/>
      </c>
      <c r="AM99" s="1277" t="str">
        <f>IF($S$99="нет","без дифференциации",IF($V$99=0,"",$V$99))</f>
        <v/>
      </c>
      <c r="AN99" s="1782">
        <f>$I$99</f>
        <v>0</v>
      </c>
      <c r="AO99" s="1277" t="str">
        <f>$I$99&amp;"."&amp;$M$99</f>
        <v>.</v>
      </c>
      <c r="AP99" s="1276" t="str">
        <f>$I$99&amp;"."&amp;$M$99&amp;"."&amp;$Q$99</f>
        <v>..</v>
      </c>
      <c r="AQ99" s="1276" t="str">
        <f>$I$99&amp;"."&amp;$M$99&amp;"."&amp;$Q$99&amp;"."&amp;$U$99</f>
        <v>...</v>
      </c>
      <c r="AR99" s="1477">
        <v>0</v>
      </c>
    </row>
    <row s="1863" customFormat="1" customHeight="1" ht="17.25" hidden="1">
      <c r="A100" s="331"/>
      <c r="C100" s="330"/>
      <c r="D100" s="2145"/>
      <c r="E100" s="2153"/>
      <c r="F100" s="2156"/>
      <c r="G100" s="2153"/>
      <c r="H100" s="2159"/>
      <c r="I100" s="2161"/>
      <c r="J100" s="2163"/>
      <c r="K100" s="2148"/>
      <c r="L100" s="2148"/>
      <c r="M100" s="2148"/>
      <c r="N100" s="2150"/>
      <c r="O100" s="2148"/>
      <c r="P100" s="2148"/>
      <c r="Q100" s="2148"/>
      <c r="R100" s="2151"/>
      <c r="S100" s="2148"/>
      <c r="T100" s="1958"/>
      <c r="U100" s="1958"/>
      <c r="V100" s="1958"/>
      <c r="W100" s="1959"/>
      <c r="X100" s="1276"/>
      <c r="Y100" s="1276"/>
      <c r="Z100" s="1276"/>
      <c r="AA100" s="1276"/>
      <c r="AB100" s="1276"/>
      <c r="AC100" s="1276"/>
      <c r="AD100" s="1276"/>
      <c r="AE100" s="1276"/>
      <c r="AF100" s="1276"/>
      <c r="AG100" s="1276"/>
      <c r="AH100" s="1276"/>
      <c r="AI100" s="1276"/>
      <c r="AJ100" s="1276"/>
      <c r="AK100" s="1276"/>
      <c r="AL100" s="1276"/>
      <c r="AM100" s="1276"/>
      <c r="AN100" s="1276"/>
      <c r="AO100" s="1276"/>
      <c r="AP100" s="1276"/>
      <c r="AQ100" s="1276"/>
      <c r="AR100" s="1477">
        <v>0</v>
      </c>
    </row>
    <row s="1863" customFormat="1" customHeight="1" ht="17.25" hidden="1">
      <c r="A101" s="331"/>
      <c r="C101" s="330"/>
      <c r="D101" s="2146"/>
      <c r="E101" s="2154"/>
      <c r="F101" s="2156"/>
      <c r="G101" s="2154"/>
      <c r="H101" s="2159"/>
      <c r="I101" s="2161"/>
      <c r="J101" s="2164"/>
      <c r="K101" s="2148"/>
      <c r="L101" s="2148"/>
      <c r="M101" s="2148"/>
      <c r="N101" s="2151"/>
      <c r="O101" s="2148"/>
      <c r="P101" s="1954"/>
      <c r="Q101" s="1958"/>
      <c r="R101" s="1958"/>
      <c r="S101" s="339"/>
      <c r="T101" s="339"/>
      <c r="U101" s="339"/>
      <c r="V101" s="339"/>
      <c r="W101" s="1959"/>
      <c r="X101" s="1276"/>
      <c r="Y101" s="1276"/>
      <c r="Z101" s="1276"/>
      <c r="AA101" s="1276"/>
      <c r="AB101" s="1276"/>
      <c r="AC101" s="1276"/>
      <c r="AD101" s="1276"/>
      <c r="AE101" s="1276"/>
      <c r="AF101" s="1276"/>
      <c r="AG101" s="1276"/>
      <c r="AH101" s="1276"/>
      <c r="AI101" s="1276"/>
      <c r="AJ101" s="1276"/>
      <c r="AK101" s="1276"/>
      <c r="AL101" s="1276"/>
      <c r="AM101" s="1276"/>
      <c r="AN101" s="1276"/>
      <c r="AO101" s="1276"/>
      <c r="AP101" s="1276"/>
      <c r="AQ101" s="1276"/>
      <c r="AR101" s="1477">
        <v>0</v>
      </c>
    </row>
    <row s="1863" customFormat="1" customHeight="1" ht="17.25" hidden="1">
      <c r="A102" s="331"/>
      <c r="C102" s="330"/>
      <c r="D102" s="2146"/>
      <c r="E102" s="2154"/>
      <c r="F102" s="2156"/>
      <c r="G102" s="2154"/>
      <c r="H102" s="2159"/>
      <c r="I102" s="2161"/>
      <c r="J102" s="2164"/>
      <c r="K102" s="2148"/>
      <c r="L102" s="1958"/>
      <c r="M102" s="1958"/>
      <c r="N102" s="1958"/>
      <c r="O102" s="1958"/>
      <c r="P102" s="1958"/>
      <c r="Q102" s="1958"/>
      <c r="R102" s="1958"/>
      <c r="S102" s="339"/>
      <c r="T102" s="339"/>
      <c r="U102" s="339"/>
      <c r="V102" s="339"/>
      <c r="W102" s="1959"/>
      <c r="X102" s="1276"/>
      <c r="Y102" s="1276"/>
      <c r="Z102" s="1276"/>
      <c r="AA102" s="1276"/>
      <c r="AB102" s="1276"/>
      <c r="AC102" s="1276"/>
      <c r="AD102" s="1276"/>
      <c r="AE102" s="1276"/>
      <c r="AF102" s="1276"/>
      <c r="AG102" s="1276"/>
      <c r="AH102" s="1276"/>
      <c r="AI102" s="1276"/>
      <c r="AJ102" s="1276"/>
      <c r="AK102" s="1276"/>
      <c r="AL102" s="1276"/>
      <c r="AM102" s="1276"/>
      <c r="AN102" s="1276"/>
      <c r="AO102" s="1276"/>
      <c r="AP102" s="1276"/>
      <c r="AQ102" s="1276"/>
      <c r="AR102" s="1477">
        <v>0</v>
      </c>
    </row>
    <row s="1863" customFormat="1" customHeight="1" ht="17.25" hidden="1">
      <c r="A103" s="331"/>
      <c r="C103" s="330"/>
      <c r="D103" s="2146"/>
      <c r="E103" s="2154"/>
      <c r="F103" s="2157"/>
      <c r="G103" s="2154"/>
      <c r="H103" s="1309"/>
      <c r="I103" s="1956"/>
      <c r="J103" s="1956"/>
      <c r="K103" s="1956"/>
      <c r="L103" s="1956"/>
      <c r="M103" s="1956"/>
      <c r="N103" s="1956"/>
      <c r="O103" s="1956"/>
      <c r="P103" s="1956"/>
      <c r="Q103" s="1956"/>
      <c r="R103" s="1956"/>
      <c r="S103" s="1311"/>
      <c r="T103" s="1311"/>
      <c r="U103" s="1311"/>
      <c r="V103" s="1311"/>
      <c r="W103" s="1957"/>
      <c r="X103" s="1276"/>
      <c r="Y103" s="1276"/>
      <c r="Z103" s="1276"/>
      <c r="AA103" s="1276"/>
      <c r="AB103" s="1276"/>
      <c r="AC103" s="1276"/>
      <c r="AD103" s="1276"/>
      <c r="AE103" s="1276"/>
      <c r="AF103" s="1276"/>
      <c r="AG103" s="1276"/>
      <c r="AH103" s="1276"/>
      <c r="AI103" s="1276"/>
      <c r="AJ103" s="1276"/>
      <c r="AK103" s="1276"/>
      <c r="AL103" s="1276"/>
      <c r="AM103" s="1276"/>
      <c r="AN103" s="1276"/>
      <c r="AO103" s="1276"/>
      <c r="AP103" s="1276"/>
      <c r="AQ103" s="1276"/>
      <c r="AR103" s="1477">
        <v>0</v>
      </c>
    </row>
    <row s="1863" customFormat="1" customHeight="1" ht="11.25" hidden="1">
      <c r="A104" s="287"/>
      <c r="B104" s="287"/>
      <c r="Y104" s="1269"/>
      <c r="Z104" s="1269"/>
      <c r="AA104" s="1269"/>
      <c r="AB104" s="1269"/>
      <c r="AC104" s="1269"/>
      <c r="AD104" s="1269"/>
      <c r="AE104" s="1269"/>
      <c r="AF104" s="1269"/>
      <c r="AG104" s="1269"/>
      <c r="AH104" s="1269"/>
      <c r="AI104" s="1269"/>
      <c r="AJ104" s="1269"/>
      <c r="AK104" s="1269"/>
      <c r="AL104" s="1269"/>
      <c r="AM104" s="1269"/>
      <c r="AN104" s="1269"/>
      <c r="AO104" s="1269"/>
      <c r="AP104" s="1269"/>
      <c r="AQ104" s="1269"/>
      <c r="AR104" s="1477">
        <v>0</v>
      </c>
    </row>
    <row s="1863" customFormat="1" customHeight="1" ht="17.25" hidden="1">
      <c r="A105" s="331"/>
      <c r="C105" s="219"/>
      <c r="D105" s="2145">
        <v>1</v>
      </c>
      <c r="E105" s="2153" t="s">
        <v>271</v>
      </c>
      <c r="F105" s="2155" t="s">
        <v>19</v>
      </c>
      <c r="G105" s="2153"/>
      <c r="H105" s="2158"/>
      <c r="I105" s="2160"/>
      <c r="J105" s="2162"/>
      <c r="K105" s="2147"/>
      <c r="L105" s="2147"/>
      <c r="M105" s="2147"/>
      <c r="N105" s="2149"/>
      <c r="O105" s="2147"/>
      <c r="P105" s="2147"/>
      <c r="Q105" s="2147"/>
      <c r="R105" s="2152"/>
      <c r="S105" s="2147"/>
      <c r="T105" s="1480"/>
      <c r="U105" s="1480"/>
      <c r="V105" s="1482"/>
      <c r="W105" s="1306"/>
      <c r="Y105" s="1277"/>
      <c r="Z105" s="1277"/>
      <c r="AA105" s="1277"/>
      <c r="AB105" s="1277"/>
      <c r="AC105" s="1277" t="s">
        <v>272</v>
      </c>
      <c r="AD105" s="1277" t="s">
        <v>273</v>
      </c>
      <c r="AE105" s="1277" t="s">
        <v>274</v>
      </c>
      <c r="AF105" s="1277" t="s">
        <v>275</v>
      </c>
      <c r="AG105" s="1277"/>
      <c r="AH105" s="1277" t="str">
        <f>IF($E$105=0,"",$E$105)</f>
        <v>Тариф на горячую воду (горячее водоснабжение)</v>
      </c>
      <c r="AI105" s="1277" t="str">
        <f>IF($G$105=0,"",$G$105)</f>
        <v/>
      </c>
      <c r="AJ105" s="1277" t="str">
        <f>IF($J$105=0,"",$J$105)</f>
        <v/>
      </c>
      <c r="AK105" s="1277" t="str">
        <f>IF($K$105="нет","без дифференциации",IF($N$105=0,"",$N$105))</f>
        <v/>
      </c>
      <c r="AL105" s="1277" t="str">
        <f>IF($O$105="нет","без дифференциации",IF($R$105=0,"",$R$105))</f>
        <v/>
      </c>
      <c r="AM105" s="1277" t="str">
        <f>IF($S$105="нет","без дифференциации",IF($V$105=0,"",$V$105))</f>
        <v/>
      </c>
      <c r="AN105" s="1277">
        <f>$I$105</f>
        <v>0</v>
      </c>
      <c r="AO105" s="1277" t="str">
        <f>$I$105&amp;"."&amp;$M$105</f>
        <v>.</v>
      </c>
      <c r="AP105" s="1277" t="str">
        <f>$I$105&amp;"."&amp;$M$105&amp;"."&amp;$Q$105</f>
        <v>..</v>
      </c>
      <c r="AQ105" s="1277" t="str">
        <f>$I$105&amp;"."&amp;$M$105&amp;"."&amp;$Q$105&amp;"."&amp;$U$105</f>
        <v>...</v>
      </c>
      <c r="AR105" s="1477">
        <v>0</v>
      </c>
    </row>
    <row s="1863" customFormat="1" customHeight="1" ht="17.25" hidden="1">
      <c r="A106" s="331"/>
      <c r="C106" s="330"/>
      <c r="D106" s="2145"/>
      <c r="E106" s="2153"/>
      <c r="F106" s="2156"/>
      <c r="G106" s="2153"/>
      <c r="H106" s="2159"/>
      <c r="I106" s="2161"/>
      <c r="J106" s="2163"/>
      <c r="K106" s="2148"/>
      <c r="L106" s="2148"/>
      <c r="M106" s="2148"/>
      <c r="N106" s="2150"/>
      <c r="O106" s="2148"/>
      <c r="P106" s="2148"/>
      <c r="Q106" s="2148"/>
      <c r="R106" s="2151"/>
      <c r="S106" s="2148"/>
      <c r="T106" s="1307"/>
      <c r="U106" s="1307"/>
      <c r="V106" s="1307"/>
      <c r="W106" s="1308"/>
      <c r="Y106" s="1269"/>
      <c r="Z106" s="1269"/>
      <c r="AA106" s="1269"/>
      <c r="AB106" s="1269"/>
      <c r="AC106" s="1269"/>
      <c r="AD106" s="1269"/>
      <c r="AE106" s="1269"/>
      <c r="AF106" s="1269"/>
      <c r="AG106" s="1269"/>
      <c r="AH106" s="1269"/>
      <c r="AI106" s="1269"/>
      <c r="AJ106" s="1269"/>
      <c r="AK106" s="1269"/>
      <c r="AL106" s="1269"/>
      <c r="AM106" s="1269"/>
      <c r="AN106" s="1269"/>
      <c r="AO106" s="1269"/>
      <c r="AP106" s="1269"/>
      <c r="AQ106" s="1269"/>
      <c r="AR106" s="1477">
        <v>0</v>
      </c>
    </row>
    <row s="1863" customFormat="1" customHeight="1" ht="17.25" hidden="1">
      <c r="A107" s="331"/>
      <c r="C107" s="219"/>
      <c r="D107" s="2145"/>
      <c r="E107" s="2153"/>
      <c r="F107" s="2156"/>
      <c r="G107" s="2153"/>
      <c r="H107" s="2159"/>
      <c r="I107" s="2161"/>
      <c r="J107" s="2164"/>
      <c r="K107" s="2148"/>
      <c r="L107" s="2148"/>
      <c r="M107" s="2148"/>
      <c r="N107" s="2151"/>
      <c r="O107" s="2148"/>
      <c r="P107" s="1481"/>
      <c r="Q107" s="1307"/>
      <c r="R107" s="1307"/>
      <c r="S107" s="339"/>
      <c r="T107" s="339"/>
      <c r="U107" s="339"/>
      <c r="V107" s="339"/>
      <c r="W107" s="1308"/>
      <c r="Y107" s="1277"/>
      <c r="Z107" s="1277"/>
      <c r="AA107" s="1277"/>
      <c r="AB107" s="1277"/>
      <c r="AC107" s="1277"/>
      <c r="AD107" s="1277"/>
      <c r="AE107" s="1277"/>
      <c r="AF107" s="1277"/>
      <c r="AG107" s="1277"/>
      <c r="AH107" s="1277"/>
      <c r="AI107" s="1277"/>
      <c r="AJ107" s="1277"/>
      <c r="AK107" s="1277"/>
      <c r="AL107" s="1277"/>
      <c r="AM107" s="1277"/>
      <c r="AN107" s="1277"/>
      <c r="AO107" s="1277"/>
      <c r="AP107" s="1277"/>
      <c r="AQ107" s="1277"/>
      <c r="AR107" s="1477">
        <v>0</v>
      </c>
    </row>
    <row s="1863" customFormat="1" customHeight="1" ht="17.25" hidden="1">
      <c r="A108" s="331"/>
      <c r="C108" s="330"/>
      <c r="D108" s="2145"/>
      <c r="E108" s="2153"/>
      <c r="F108" s="2156"/>
      <c r="G108" s="2153"/>
      <c r="H108" s="2159"/>
      <c r="I108" s="2161"/>
      <c r="J108" s="2164"/>
      <c r="K108" s="2148"/>
      <c r="L108" s="1307"/>
      <c r="M108" s="1307"/>
      <c r="N108" s="1307"/>
      <c r="O108" s="1307"/>
      <c r="P108" s="1307"/>
      <c r="Q108" s="1307"/>
      <c r="R108" s="1307"/>
      <c r="S108" s="339"/>
      <c r="T108" s="339"/>
      <c r="U108" s="339"/>
      <c r="V108" s="339"/>
      <c r="W108" s="1308"/>
      <c r="Y108" s="1269"/>
      <c r="Z108" s="1269"/>
      <c r="AA108" s="1269"/>
      <c r="AB108" s="1269"/>
      <c r="AC108" s="1269"/>
      <c r="AD108" s="1269"/>
      <c r="AE108" s="1269"/>
      <c r="AF108" s="1269"/>
      <c r="AG108" s="1269"/>
      <c r="AH108" s="1269"/>
      <c r="AI108" s="1269"/>
      <c r="AJ108" s="1269"/>
      <c r="AK108" s="1269"/>
      <c r="AL108" s="1269"/>
      <c r="AM108" s="1269"/>
      <c r="AN108" s="1269"/>
      <c r="AO108" s="1269"/>
      <c r="AP108" s="1269"/>
      <c r="AQ108" s="1269"/>
      <c r="AR108" s="1477">
        <v>0</v>
      </c>
    </row>
    <row s="1863" customFormat="1" customHeight="1" ht="17.25" hidden="1">
      <c r="A109" s="331"/>
      <c r="C109" s="330"/>
      <c r="D109" s="2146"/>
      <c r="E109" s="2154"/>
      <c r="F109" s="2157"/>
      <c r="G109" s="2154"/>
      <c r="H109" s="1309"/>
      <c r="I109" s="1310"/>
      <c r="J109" s="1310"/>
      <c r="K109" s="1310"/>
      <c r="L109" s="1310"/>
      <c r="M109" s="1310"/>
      <c r="N109" s="1310"/>
      <c r="O109" s="1310"/>
      <c r="P109" s="1310"/>
      <c r="Q109" s="1310"/>
      <c r="R109" s="1310"/>
      <c r="S109" s="1311"/>
      <c r="T109" s="1311"/>
      <c r="U109" s="1311"/>
      <c r="V109" s="1311"/>
      <c r="W109" s="1312"/>
      <c r="Y109" s="1269"/>
      <c r="Z109" s="1269"/>
      <c r="AA109" s="1269"/>
      <c r="AB109" s="1269"/>
      <c r="AC109" s="1269"/>
      <c r="AD109" s="1269"/>
      <c r="AE109" s="1269"/>
      <c r="AF109" s="1269"/>
      <c r="AG109" s="1269"/>
      <c r="AH109" s="1269"/>
      <c r="AI109" s="1269"/>
      <c r="AJ109" s="1269"/>
      <c r="AK109" s="1269"/>
      <c r="AL109" s="1269"/>
      <c r="AM109" s="1269"/>
      <c r="AN109" s="1269"/>
      <c r="AO109" s="1269"/>
      <c r="AP109" s="1269"/>
      <c r="AQ109" s="1269"/>
      <c r="AR109" s="1477">
        <v>0</v>
      </c>
    </row>
    <row s="1863" customFormat="1" customHeight="1" ht="17.25" hidden="1">
      <c r="A110" s="331"/>
      <c r="C110" s="219"/>
      <c r="D110" s="2145">
        <v>2</v>
      </c>
      <c r="E110" s="2153" t="s">
        <v>276</v>
      </c>
      <c r="F110" s="2155" t="s">
        <v>19</v>
      </c>
      <c r="G110" s="2153"/>
      <c r="H110" s="2158"/>
      <c r="I110" s="2160"/>
      <c r="J110" s="2162"/>
      <c r="K110" s="2147"/>
      <c r="L110" s="2147"/>
      <c r="M110" s="2147"/>
      <c r="N110" s="2149"/>
      <c r="O110" s="2147"/>
      <c r="P110" s="2147"/>
      <c r="Q110" s="2147"/>
      <c r="R110" s="2152"/>
      <c r="S110" s="2147"/>
      <c r="T110" s="1480"/>
      <c r="U110" s="1480"/>
      <c r="V110" s="1482"/>
      <c r="W110" s="1306"/>
      <c r="X110" s="1277"/>
      <c r="Y110" s="1277"/>
      <c r="Z110" s="1277"/>
      <c r="AA110" s="1277"/>
      <c r="AB110" s="1277"/>
      <c r="AC110" s="1277" t="s">
        <v>277</v>
      </c>
      <c r="AD110" s="1277" t="s">
        <v>278</v>
      </c>
      <c r="AE110" s="1277" t="s">
        <v>279</v>
      </c>
      <c r="AF110" s="1277" t="s">
        <v>280</v>
      </c>
      <c r="AG110" s="1277"/>
      <c r="AH110" s="1277" t="str">
        <f>IF($E$110=0,"",$E$110)</f>
        <v>Тариф на транспортировку горячей воды</v>
      </c>
      <c r="AI110" s="1277" t="str">
        <f>IF($G$110=0,"",$G$110)</f>
        <v/>
      </c>
      <c r="AJ110" s="1277" t="str">
        <f>IF($J$110=0,"",$J$110)</f>
        <v/>
      </c>
      <c r="AK110" s="1277" t="str">
        <f>IF($K$110="нет","без дифференциации",IF($N$110=0,"",$N$110))</f>
        <v/>
      </c>
      <c r="AL110" s="1277" t="str">
        <f>IF($O$110="нет","без дифференциации",IF($R$110=0,"",$R$110))</f>
        <v/>
      </c>
      <c r="AM110" s="1277" t="str">
        <f>IF($S$110="нет","без дифференциации",IF($V$110=0,"",$V$110))</f>
        <v/>
      </c>
      <c r="AN110" s="1782">
        <f>$I$110</f>
        <v>0</v>
      </c>
      <c r="AO110" s="1277" t="str">
        <f>$I$110&amp;"."&amp;$M$110</f>
        <v>.</v>
      </c>
      <c r="AP110" s="1269" t="str">
        <f>$I$110&amp;"."&amp;$M$110&amp;"."&amp;$Q$110</f>
        <v>..</v>
      </c>
      <c r="AQ110" s="1269" t="str">
        <f>$I$110&amp;"."&amp;$M$110&amp;"."&amp;$Q$110&amp;"."&amp;$U$110</f>
        <v>...</v>
      </c>
      <c r="AR110" s="1477">
        <v>0</v>
      </c>
    </row>
    <row s="1863" customFormat="1" customHeight="1" ht="17.25" hidden="1">
      <c r="A111" s="331"/>
      <c r="C111" s="330"/>
      <c r="D111" s="2145"/>
      <c r="E111" s="2153"/>
      <c r="F111" s="2156"/>
      <c r="G111" s="2153"/>
      <c r="H111" s="2159"/>
      <c r="I111" s="2161"/>
      <c r="J111" s="2163"/>
      <c r="K111" s="2148"/>
      <c r="L111" s="2148"/>
      <c r="M111" s="2148"/>
      <c r="N111" s="2150"/>
      <c r="O111" s="2148"/>
      <c r="P111" s="2148"/>
      <c r="Q111" s="2148"/>
      <c r="R111" s="2151"/>
      <c r="S111" s="2148"/>
      <c r="T111" s="1307"/>
      <c r="U111" s="1307"/>
      <c r="V111" s="1307"/>
      <c r="W111" s="1308"/>
      <c r="X111" s="1269"/>
      <c r="Y111" s="1269"/>
      <c r="Z111" s="1269"/>
      <c r="AA111" s="1269"/>
      <c r="AB111" s="1269"/>
      <c r="AC111" s="1269"/>
      <c r="AD111" s="1269"/>
      <c r="AE111" s="1269"/>
      <c r="AF111" s="1269"/>
      <c r="AG111" s="1269"/>
      <c r="AH111" s="1269"/>
      <c r="AI111" s="1269"/>
      <c r="AJ111" s="1269"/>
      <c r="AK111" s="1269"/>
      <c r="AL111" s="1269"/>
      <c r="AM111" s="1269"/>
      <c r="AN111" s="1269"/>
      <c r="AO111" s="1269"/>
      <c r="AP111" s="1269"/>
      <c r="AQ111" s="1269"/>
      <c r="AR111" s="1477">
        <v>0</v>
      </c>
    </row>
    <row s="1863" customFormat="1" customHeight="1" ht="17.25" hidden="1">
      <c r="A112" s="331"/>
      <c r="C112" s="330"/>
      <c r="D112" s="2146"/>
      <c r="E112" s="2154"/>
      <c r="F112" s="2156"/>
      <c r="G112" s="2154"/>
      <c r="H112" s="2159"/>
      <c r="I112" s="2161"/>
      <c r="J112" s="2164"/>
      <c r="K112" s="2148"/>
      <c r="L112" s="2148"/>
      <c r="M112" s="2148"/>
      <c r="N112" s="2151"/>
      <c r="O112" s="2148"/>
      <c r="P112" s="1481"/>
      <c r="Q112" s="1307"/>
      <c r="R112" s="1307"/>
      <c r="S112" s="339"/>
      <c r="T112" s="339"/>
      <c r="U112" s="339"/>
      <c r="V112" s="339"/>
      <c r="W112" s="1308"/>
      <c r="X112" s="1269"/>
      <c r="Y112" s="1269"/>
      <c r="Z112" s="1269"/>
      <c r="AA112" s="1269"/>
      <c r="AB112" s="1269"/>
      <c r="AC112" s="1269"/>
      <c r="AD112" s="1269"/>
      <c r="AE112" s="1269"/>
      <c r="AF112" s="1269"/>
      <c r="AG112" s="1269"/>
      <c r="AH112" s="1269"/>
      <c r="AI112" s="1269"/>
      <c r="AJ112" s="1269"/>
      <c r="AK112" s="1269"/>
      <c r="AL112" s="1269"/>
      <c r="AM112" s="1269"/>
      <c r="AN112" s="1269"/>
      <c r="AO112" s="1269"/>
      <c r="AP112" s="1269"/>
      <c r="AQ112" s="1269"/>
      <c r="AR112" s="1477">
        <v>0</v>
      </c>
    </row>
    <row s="1863" customFormat="1" customHeight="1" ht="17.25" hidden="1">
      <c r="A113" s="331"/>
      <c r="C113" s="330"/>
      <c r="D113" s="2146"/>
      <c r="E113" s="2154"/>
      <c r="F113" s="2156"/>
      <c r="G113" s="2154"/>
      <c r="H113" s="2159"/>
      <c r="I113" s="2161"/>
      <c r="J113" s="2164"/>
      <c r="K113" s="2148"/>
      <c r="L113" s="1307"/>
      <c r="M113" s="1307"/>
      <c r="N113" s="1307"/>
      <c r="O113" s="1307"/>
      <c r="P113" s="1307"/>
      <c r="Q113" s="1307"/>
      <c r="R113" s="1307"/>
      <c r="S113" s="339"/>
      <c r="T113" s="339"/>
      <c r="U113" s="339"/>
      <c r="V113" s="339"/>
      <c r="W113" s="1308"/>
      <c r="X113" s="1269"/>
      <c r="Y113" s="1269"/>
      <c r="Z113" s="1269"/>
      <c r="AA113" s="1269"/>
      <c r="AB113" s="1269"/>
      <c r="AC113" s="1269"/>
      <c r="AD113" s="1269"/>
      <c r="AE113" s="1269"/>
      <c r="AF113" s="1269"/>
      <c r="AG113" s="1269"/>
      <c r="AH113" s="1269"/>
      <c r="AI113" s="1269"/>
      <c r="AJ113" s="1269"/>
      <c r="AK113" s="1269"/>
      <c r="AL113" s="1269"/>
      <c r="AM113" s="1269"/>
      <c r="AN113" s="1269"/>
      <c r="AO113" s="1269"/>
      <c r="AP113" s="1269"/>
      <c r="AQ113" s="1269"/>
      <c r="AR113" s="1477">
        <v>0</v>
      </c>
    </row>
    <row s="1863" customFormat="1" customHeight="1" ht="17.25" hidden="1">
      <c r="A114" s="331"/>
      <c r="C114" s="330"/>
      <c r="D114" s="2146"/>
      <c r="E114" s="2154"/>
      <c r="F114" s="2157"/>
      <c r="G114" s="2154"/>
      <c r="H114" s="1309"/>
      <c r="I114" s="1310"/>
      <c r="J114" s="1310"/>
      <c r="K114" s="1310"/>
      <c r="L114" s="1310"/>
      <c r="M114" s="1310"/>
      <c r="N114" s="1310"/>
      <c r="O114" s="1310"/>
      <c r="P114" s="1310"/>
      <c r="Q114" s="1310"/>
      <c r="R114" s="1310"/>
      <c r="S114" s="1311"/>
      <c r="T114" s="1311"/>
      <c r="U114" s="1311"/>
      <c r="V114" s="1311"/>
      <c r="W114" s="1312"/>
      <c r="X114" s="1269"/>
      <c r="Y114" s="1269"/>
      <c r="Z114" s="1269"/>
      <c r="AA114" s="1269"/>
      <c r="AB114" s="1269"/>
      <c r="AC114" s="1269"/>
      <c r="AD114" s="1269"/>
      <c r="AE114" s="1269"/>
      <c r="AF114" s="1269"/>
      <c r="AG114" s="1269"/>
      <c r="AH114" s="1269"/>
      <c r="AI114" s="1269"/>
      <c r="AJ114" s="1269"/>
      <c r="AK114" s="1269"/>
      <c r="AL114" s="1269"/>
      <c r="AM114" s="1269"/>
      <c r="AN114" s="1269"/>
      <c r="AO114" s="1269"/>
      <c r="AP114" s="1269"/>
      <c r="AQ114" s="1269"/>
      <c r="AR114" s="1477">
        <v>0</v>
      </c>
    </row>
    <row s="1863" customFormat="1" customHeight="1" ht="17.25" hidden="1">
      <c r="A115" s="331"/>
      <c r="C115" s="219"/>
      <c r="D115" s="2145">
        <v>3</v>
      </c>
      <c r="E115" s="2153" t="s">
        <v>281</v>
      </c>
      <c r="F115" s="2155" t="s">
        <v>19</v>
      </c>
      <c r="G115" s="2153"/>
      <c r="H115" s="2158"/>
      <c r="I115" s="2160"/>
      <c r="J115" s="2162"/>
      <c r="K115" s="2147"/>
      <c r="L115" s="2147"/>
      <c r="M115" s="2147"/>
      <c r="N115" s="2149"/>
      <c r="O115" s="2147"/>
      <c r="P115" s="2147"/>
      <c r="Q115" s="2147"/>
      <c r="R115" s="2152"/>
      <c r="S115" s="2147"/>
      <c r="T115" s="1953"/>
      <c r="U115" s="1953"/>
      <c r="V115" s="1955"/>
      <c r="W115" s="1306"/>
      <c r="X115" s="1277"/>
      <c r="Y115" s="1277"/>
      <c r="Z115" s="1277"/>
      <c r="AA115" s="1277"/>
      <c r="AB115" s="1277"/>
      <c r="AC115" s="1277" t="s">
        <v>282</v>
      </c>
      <c r="AD115" s="1277" t="s">
        <v>283</v>
      </c>
      <c r="AE115" s="1277" t="s">
        <v>284</v>
      </c>
      <c r="AF115" s="1277" t="s">
        <v>285</v>
      </c>
      <c r="AG115" s="1277"/>
      <c r="AH115" s="1277" t="str">
        <f>IF($E$115=0,"",$E$115)</f>
        <v>Тариф на подключение (технологическое присоединение) к централизованной системе горячего водоснабжения</v>
      </c>
      <c r="AI115" s="1277" t="str">
        <f>IF($G$115=0,"",$G$115)</f>
        <v/>
      </c>
      <c r="AJ115" s="1277" t="str">
        <f>IF($J$115=0,"",$J$115)</f>
        <v/>
      </c>
      <c r="AK115" s="1277" t="str">
        <f>IF($K$115="нет","без дифференциации",IF($N$115=0,"",$N$115))</f>
        <v/>
      </c>
      <c r="AL115" s="1277" t="str">
        <f>IF($O$115="нет","без дифференциации",IF($R$115=0,"",$R$115))</f>
        <v/>
      </c>
      <c r="AM115" s="1277" t="str">
        <f>IF($S$115="нет","без дифференциации",IF($V$115=0,"",$V$115))</f>
        <v/>
      </c>
      <c r="AN115" s="1782">
        <f>$I$115</f>
        <v>0</v>
      </c>
      <c r="AO115" s="1277" t="str">
        <f>$I$115&amp;"."&amp;$M$115</f>
        <v>.</v>
      </c>
      <c r="AP115" s="1276" t="str">
        <f>$I$115&amp;"."&amp;$M$115&amp;"."&amp;$Q$115</f>
        <v>..</v>
      </c>
      <c r="AQ115" s="1276" t="str">
        <f>$I$115&amp;"."&amp;$M$115&amp;"."&amp;$Q$115&amp;"."&amp;$U$115</f>
        <v>...</v>
      </c>
      <c r="AR115" s="1477">
        <v>0</v>
      </c>
    </row>
    <row s="1863" customFormat="1" customHeight="1" ht="17.25" hidden="1">
      <c r="A116" s="331"/>
      <c r="C116" s="330"/>
      <c r="D116" s="2145"/>
      <c r="E116" s="2153"/>
      <c r="F116" s="2156"/>
      <c r="G116" s="2153"/>
      <c r="H116" s="2159"/>
      <c r="I116" s="2161"/>
      <c r="J116" s="2163"/>
      <c r="K116" s="2148"/>
      <c r="L116" s="2148"/>
      <c r="M116" s="2148"/>
      <c r="N116" s="2150"/>
      <c r="O116" s="2148"/>
      <c r="P116" s="2148"/>
      <c r="Q116" s="2148"/>
      <c r="R116" s="2151"/>
      <c r="S116" s="2148"/>
      <c r="T116" s="1958"/>
      <c r="U116" s="1958"/>
      <c r="V116" s="1958"/>
      <c r="W116" s="1959"/>
      <c r="X116" s="1276"/>
      <c r="Y116" s="1276"/>
      <c r="Z116" s="1276"/>
      <c r="AA116" s="1276"/>
      <c r="AB116" s="1276"/>
      <c r="AC116" s="1276"/>
      <c r="AD116" s="1276"/>
      <c r="AE116" s="1276"/>
      <c r="AF116" s="1276"/>
      <c r="AG116" s="1276"/>
      <c r="AH116" s="1276"/>
      <c r="AI116" s="1276"/>
      <c r="AJ116" s="1276"/>
      <c r="AK116" s="1276"/>
      <c r="AL116" s="1276"/>
      <c r="AM116" s="1276"/>
      <c r="AN116" s="1276"/>
      <c r="AO116" s="1276"/>
      <c r="AP116" s="1276"/>
      <c r="AQ116" s="1276"/>
      <c r="AR116" s="1477">
        <v>0</v>
      </c>
    </row>
    <row s="1863" customFormat="1" customHeight="1" ht="17.25" hidden="1">
      <c r="A117" s="331"/>
      <c r="C117" s="330"/>
      <c r="D117" s="2146"/>
      <c r="E117" s="2154"/>
      <c r="F117" s="2156"/>
      <c r="G117" s="2154"/>
      <c r="H117" s="2159"/>
      <c r="I117" s="2161"/>
      <c r="J117" s="2164"/>
      <c r="K117" s="2148"/>
      <c r="L117" s="2148"/>
      <c r="M117" s="2148"/>
      <c r="N117" s="2151"/>
      <c r="O117" s="2148"/>
      <c r="P117" s="1954"/>
      <c r="Q117" s="1958"/>
      <c r="R117" s="1958"/>
      <c r="S117" s="339"/>
      <c r="T117" s="339"/>
      <c r="U117" s="339"/>
      <c r="V117" s="339"/>
      <c r="W117" s="1959"/>
      <c r="X117" s="1276"/>
      <c r="Y117" s="1276"/>
      <c r="Z117" s="1276"/>
      <c r="AA117" s="1276"/>
      <c r="AB117" s="1276"/>
      <c r="AC117" s="1276"/>
      <c r="AD117" s="1276"/>
      <c r="AE117" s="1276"/>
      <c r="AF117" s="1276"/>
      <c r="AG117" s="1276"/>
      <c r="AH117" s="1276"/>
      <c r="AI117" s="1276"/>
      <c r="AJ117" s="1276"/>
      <c r="AK117" s="1276"/>
      <c r="AL117" s="1276"/>
      <c r="AM117" s="1276"/>
      <c r="AN117" s="1276"/>
      <c r="AO117" s="1276"/>
      <c r="AP117" s="1276"/>
      <c r="AQ117" s="1276"/>
      <c r="AR117" s="1477">
        <v>0</v>
      </c>
    </row>
    <row s="1863" customFormat="1" customHeight="1" ht="17.25" hidden="1">
      <c r="A118" s="331"/>
      <c r="C118" s="330"/>
      <c r="D118" s="2146"/>
      <c r="E118" s="2154"/>
      <c r="F118" s="2156"/>
      <c r="G118" s="2154"/>
      <c r="H118" s="2159"/>
      <c r="I118" s="2161"/>
      <c r="J118" s="2164"/>
      <c r="K118" s="2148"/>
      <c r="L118" s="1958"/>
      <c r="M118" s="1958"/>
      <c r="N118" s="1958"/>
      <c r="O118" s="1958"/>
      <c r="P118" s="1958"/>
      <c r="Q118" s="1958"/>
      <c r="R118" s="1958"/>
      <c r="S118" s="339"/>
      <c r="T118" s="339"/>
      <c r="U118" s="339"/>
      <c r="V118" s="339"/>
      <c r="W118" s="1959"/>
      <c r="X118" s="1276"/>
      <c r="Y118" s="1276"/>
      <c r="Z118" s="1276"/>
      <c r="AA118" s="1276"/>
      <c r="AB118" s="1276"/>
      <c r="AC118" s="1276"/>
      <c r="AD118" s="1276"/>
      <c r="AE118" s="1276"/>
      <c r="AF118" s="1276"/>
      <c r="AG118" s="1276"/>
      <c r="AH118" s="1276"/>
      <c r="AI118" s="1276"/>
      <c r="AJ118" s="1276"/>
      <c r="AK118" s="1276"/>
      <c r="AL118" s="1276"/>
      <c r="AM118" s="1276"/>
      <c r="AN118" s="1276"/>
      <c r="AO118" s="1276"/>
      <c r="AP118" s="1276"/>
      <c r="AQ118" s="1276"/>
      <c r="AR118" s="1477">
        <v>0</v>
      </c>
    </row>
    <row s="1863" customFormat="1" customHeight="1" ht="17.25" hidden="1">
      <c r="A119" s="331"/>
      <c r="C119" s="330"/>
      <c r="D119" s="2146"/>
      <c r="E119" s="2154"/>
      <c r="F119" s="2157"/>
      <c r="G119" s="2154"/>
      <c r="H119" s="1309"/>
      <c r="I119" s="1956"/>
      <c r="J119" s="1956"/>
      <c r="K119" s="1956"/>
      <c r="L119" s="1956"/>
      <c r="M119" s="1956"/>
      <c r="N119" s="1956"/>
      <c r="O119" s="1956"/>
      <c r="P119" s="1956"/>
      <c r="Q119" s="1956"/>
      <c r="R119" s="1956"/>
      <c r="S119" s="1311"/>
      <c r="T119" s="1311"/>
      <c r="U119" s="1311"/>
      <c r="V119" s="1311"/>
      <c r="W119" s="1957"/>
      <c r="X119" s="1276"/>
      <c r="Y119" s="1276"/>
      <c r="Z119" s="1276"/>
      <c r="AA119" s="1276"/>
      <c r="AB119" s="1276"/>
      <c r="AC119" s="1276"/>
      <c r="AD119" s="1276"/>
      <c r="AE119" s="1276"/>
      <c r="AF119" s="1276"/>
      <c r="AG119" s="1276"/>
      <c r="AH119" s="1276"/>
      <c r="AI119" s="1276"/>
      <c r="AJ119" s="1276"/>
      <c r="AK119" s="1276"/>
      <c r="AL119" s="1276"/>
      <c r="AM119" s="1276"/>
      <c r="AN119" s="1276"/>
      <c r="AO119" s="1276"/>
      <c r="AP119" s="1276"/>
      <c r="AQ119" s="1276"/>
      <c r="AR119" s="1477">
        <v>0</v>
      </c>
    </row>
    <row s="1863" customFormat="1" customHeight="1" ht="11.25" hidden="1">
      <c r="A120" s="287"/>
      <c r="B120" s="287"/>
      <c r="Y120" s="1269"/>
      <c r="Z120" s="1269"/>
      <c r="AA120" s="1269"/>
      <c r="AB120" s="1269"/>
      <c r="AC120" s="1269"/>
      <c r="AD120" s="1269"/>
      <c r="AE120" s="1269"/>
      <c r="AF120" s="1269"/>
      <c r="AG120" s="1269"/>
      <c r="AH120" s="1269"/>
      <c r="AI120" s="1269"/>
      <c r="AJ120" s="1269"/>
      <c r="AK120" s="1269"/>
      <c r="AL120" s="1269"/>
      <c r="AM120" s="1269"/>
      <c r="AN120" s="1269"/>
      <c r="AO120" s="1269"/>
      <c r="AP120" s="1269"/>
      <c r="AQ120" s="1269"/>
      <c r="AR120" s="1477">
        <v>0</v>
      </c>
    </row>
    <row s="1863" customFormat="1" customHeight="1" ht="17.25" hidden="1">
      <c r="A121" s="331"/>
      <c r="C121" s="219"/>
      <c r="D121" s="2145">
        <v>1</v>
      </c>
      <c r="E121" s="2153" t="s">
        <v>286</v>
      </c>
      <c r="F121" s="2155" t="s">
        <v>19</v>
      </c>
      <c r="G121" s="2153"/>
      <c r="H121" s="2158"/>
      <c r="I121" s="2160"/>
      <c r="J121" s="2162"/>
      <c r="K121" s="2147"/>
      <c r="L121" s="2147"/>
      <c r="M121" s="2147"/>
      <c r="N121" s="2149"/>
      <c r="O121" s="2147"/>
      <c r="P121" s="2147"/>
      <c r="Q121" s="2147"/>
      <c r="R121" s="2152"/>
      <c r="S121" s="2147"/>
      <c r="T121" s="1480"/>
      <c r="U121" s="1480"/>
      <c r="V121" s="1482"/>
      <c r="W121" s="1306"/>
      <c r="Y121" s="1277"/>
      <c r="Z121" s="1277"/>
      <c r="AA121" s="1277"/>
      <c r="AB121" s="1277"/>
      <c r="AC121" s="1277" t="s">
        <v>287</v>
      </c>
      <c r="AD121" s="1277" t="s">
        <v>288</v>
      </c>
      <c r="AE121" s="1277" t="s">
        <v>289</v>
      </c>
      <c r="AF121" s="1277" t="s">
        <v>290</v>
      </c>
      <c r="AG121" s="1277"/>
      <c r="AH121" s="1277" t="str">
        <f>IF($E$121=0,"",$E$121)</f>
        <v>Тариф на водоотведение</v>
      </c>
      <c r="AI121" s="1277" t="str">
        <f>IF($G$121=0,"",$G$121)</f>
        <v/>
      </c>
      <c r="AJ121" s="1277" t="str">
        <f>IF($J$121=0,"",$J$121)</f>
        <v/>
      </c>
      <c r="AK121" s="1277" t="str">
        <f>IF($K$121="нет","без дифференциации",IF($N$121=0,"",$N$121))</f>
        <v/>
      </c>
      <c r="AL121" s="1277" t="str">
        <f>IF($O$121="нет","без дифференциации",IF($R$121=0,"",$R$121))</f>
        <v/>
      </c>
      <c r="AM121" s="1277" t="str">
        <f>IF($S$121="нет","без дифференциации",IF($V$121=0,"",$V$121))</f>
        <v/>
      </c>
      <c r="AN121" s="1277">
        <f>$I$121</f>
        <v>0</v>
      </c>
      <c r="AO121" s="1277" t="str">
        <f>$I$121&amp;"."&amp;$M$121</f>
        <v>.</v>
      </c>
      <c r="AP121" s="1277" t="str">
        <f>$I$121&amp;"."&amp;$M$121&amp;"."&amp;$Q$121</f>
        <v>..</v>
      </c>
      <c r="AQ121" s="1277" t="str">
        <f>$I$121&amp;"."&amp;$M$121&amp;"."&amp;$Q$121&amp;"."&amp;$U$121</f>
        <v>...</v>
      </c>
      <c r="AR121" s="1477">
        <v>0</v>
      </c>
    </row>
    <row s="1863" customFormat="1" customHeight="1" ht="17.25" hidden="1">
      <c r="A122" s="331"/>
      <c r="C122" s="330"/>
      <c r="D122" s="2145"/>
      <c r="E122" s="2153"/>
      <c r="F122" s="2156"/>
      <c r="G122" s="2153"/>
      <c r="H122" s="2159"/>
      <c r="I122" s="2161"/>
      <c r="J122" s="2163"/>
      <c r="K122" s="2148"/>
      <c r="L122" s="2148"/>
      <c r="M122" s="2148"/>
      <c r="N122" s="2150"/>
      <c r="O122" s="2148"/>
      <c r="P122" s="2148"/>
      <c r="Q122" s="2148"/>
      <c r="R122" s="2151"/>
      <c r="S122" s="2148"/>
      <c r="T122" s="1307"/>
      <c r="U122" s="1307"/>
      <c r="V122" s="1307"/>
      <c r="W122" s="1308"/>
      <c r="Y122" s="1269"/>
      <c r="Z122" s="1269"/>
      <c r="AA122" s="1269"/>
      <c r="AB122" s="1269"/>
      <c r="AC122" s="1269"/>
      <c r="AD122" s="1269"/>
      <c r="AE122" s="1269"/>
      <c r="AF122" s="1269"/>
      <c r="AG122" s="1269"/>
      <c r="AH122" s="1269"/>
      <c r="AI122" s="1269"/>
      <c r="AJ122" s="1269"/>
      <c r="AK122" s="1269"/>
      <c r="AL122" s="1269"/>
      <c r="AM122" s="1269"/>
      <c r="AN122" s="1269"/>
      <c r="AO122" s="1269"/>
      <c r="AP122" s="1269"/>
      <c r="AQ122" s="1269"/>
      <c r="AR122" s="1477">
        <v>0</v>
      </c>
    </row>
    <row s="1863" customFormat="1" customHeight="1" ht="17.25" hidden="1">
      <c r="A123" s="331"/>
      <c r="C123" s="219"/>
      <c r="D123" s="2145"/>
      <c r="E123" s="2153"/>
      <c r="F123" s="2156"/>
      <c r="G123" s="2153"/>
      <c r="H123" s="2159"/>
      <c r="I123" s="2161"/>
      <c r="J123" s="2164"/>
      <c r="K123" s="2148"/>
      <c r="L123" s="2148"/>
      <c r="M123" s="2148"/>
      <c r="N123" s="2151"/>
      <c r="O123" s="2148"/>
      <c r="P123" s="1481"/>
      <c r="Q123" s="1307"/>
      <c r="R123" s="1307"/>
      <c r="S123" s="339"/>
      <c r="T123" s="339"/>
      <c r="U123" s="339"/>
      <c r="V123" s="339"/>
      <c r="W123" s="1308"/>
      <c r="Y123" s="1277"/>
      <c r="Z123" s="1277"/>
      <c r="AA123" s="1277"/>
      <c r="AB123" s="1277"/>
      <c r="AC123" s="1277"/>
      <c r="AD123" s="1277"/>
      <c r="AE123" s="1277"/>
      <c r="AF123" s="1277"/>
      <c r="AG123" s="1277"/>
      <c r="AH123" s="1277"/>
      <c r="AI123" s="1277"/>
      <c r="AJ123" s="1277"/>
      <c r="AK123" s="1277"/>
      <c r="AL123" s="1277"/>
      <c r="AM123" s="1277"/>
      <c r="AN123" s="1277"/>
      <c r="AO123" s="1277"/>
      <c r="AP123" s="1277"/>
      <c r="AQ123" s="1277"/>
      <c r="AR123" s="1477">
        <v>0</v>
      </c>
    </row>
    <row s="1863" customFormat="1" customHeight="1" ht="17.25" hidden="1">
      <c r="A124" s="331"/>
      <c r="C124" s="330"/>
      <c r="D124" s="2145"/>
      <c r="E124" s="2153"/>
      <c r="F124" s="2156"/>
      <c r="G124" s="2153"/>
      <c r="H124" s="2159"/>
      <c r="I124" s="2161"/>
      <c r="J124" s="2164"/>
      <c r="K124" s="2148"/>
      <c r="L124" s="1307"/>
      <c r="M124" s="1307"/>
      <c r="N124" s="1307"/>
      <c r="O124" s="1307"/>
      <c r="P124" s="1307"/>
      <c r="Q124" s="1307"/>
      <c r="R124" s="1307"/>
      <c r="S124" s="339"/>
      <c r="T124" s="339"/>
      <c r="U124" s="339"/>
      <c r="V124" s="339"/>
      <c r="W124" s="1308"/>
      <c r="Y124" s="1269"/>
      <c r="Z124" s="1269"/>
      <c r="AA124" s="1269"/>
      <c r="AB124" s="1269"/>
      <c r="AC124" s="1269"/>
      <c r="AD124" s="1269"/>
      <c r="AE124" s="1269"/>
      <c r="AF124" s="1269"/>
      <c r="AG124" s="1269"/>
      <c r="AH124" s="1269"/>
      <c r="AI124" s="1269"/>
      <c r="AJ124" s="1269"/>
      <c r="AK124" s="1269"/>
      <c r="AL124" s="1269"/>
      <c r="AM124" s="1269"/>
      <c r="AN124" s="1269"/>
      <c r="AO124" s="1269"/>
      <c r="AP124" s="1269"/>
      <c r="AQ124" s="1269"/>
      <c r="AR124" s="1477">
        <v>0</v>
      </c>
    </row>
    <row s="1863" customFormat="1" customHeight="1" ht="17.25" hidden="1">
      <c r="A125" s="331"/>
      <c r="C125" s="330"/>
      <c r="D125" s="2146"/>
      <c r="E125" s="2154"/>
      <c r="F125" s="2157"/>
      <c r="G125" s="2154"/>
      <c r="H125" s="1309"/>
      <c r="I125" s="1310"/>
      <c r="J125" s="1310"/>
      <c r="K125" s="1310"/>
      <c r="L125" s="1310"/>
      <c r="M125" s="1310"/>
      <c r="N125" s="1310"/>
      <c r="O125" s="1310"/>
      <c r="P125" s="1310"/>
      <c r="Q125" s="1310"/>
      <c r="R125" s="1310"/>
      <c r="S125" s="1311"/>
      <c r="T125" s="1311"/>
      <c r="U125" s="1311"/>
      <c r="V125" s="1311"/>
      <c r="W125" s="1312"/>
      <c r="Y125" s="1269"/>
      <c r="Z125" s="1269"/>
      <c r="AA125" s="1269"/>
      <c r="AB125" s="1269"/>
      <c r="AC125" s="1269"/>
      <c r="AD125" s="1269"/>
      <c r="AE125" s="1269"/>
      <c r="AF125" s="1269"/>
      <c r="AG125" s="1269"/>
      <c r="AH125" s="1269"/>
      <c r="AI125" s="1269"/>
      <c r="AJ125" s="1269"/>
      <c r="AK125" s="1269"/>
      <c r="AL125" s="1269"/>
      <c r="AM125" s="1269"/>
      <c r="AN125" s="1269"/>
      <c r="AO125" s="1269"/>
      <c r="AP125" s="1269"/>
      <c r="AQ125" s="1269"/>
      <c r="AR125" s="1477">
        <v>0</v>
      </c>
    </row>
    <row s="1863" customFormat="1" customHeight="1" ht="17.25" hidden="1">
      <c r="A126" s="331"/>
      <c r="C126" s="219"/>
      <c r="D126" s="2145">
        <v>2</v>
      </c>
      <c r="E126" s="2153" t="s">
        <v>291</v>
      </c>
      <c r="F126" s="2155" t="s">
        <v>19</v>
      </c>
      <c r="G126" s="2153"/>
      <c r="H126" s="2158"/>
      <c r="I126" s="2160"/>
      <c r="J126" s="2162"/>
      <c r="K126" s="2147"/>
      <c r="L126" s="2147"/>
      <c r="M126" s="2147"/>
      <c r="N126" s="2149"/>
      <c r="O126" s="2147"/>
      <c r="P126" s="2147"/>
      <c r="Q126" s="2147"/>
      <c r="R126" s="2152"/>
      <c r="S126" s="2147"/>
      <c r="T126" s="1480"/>
      <c r="U126" s="1480"/>
      <c r="V126" s="1482"/>
      <c r="W126" s="1306"/>
      <c r="X126" s="1277"/>
      <c r="Y126" s="1277"/>
      <c r="Z126" s="1277"/>
      <c r="AA126" s="1277"/>
      <c r="AB126" s="1277"/>
      <c r="AC126" s="1277" t="s">
        <v>292</v>
      </c>
      <c r="AD126" s="1277" t="s">
        <v>293</v>
      </c>
      <c r="AE126" s="1277" t="s">
        <v>294</v>
      </c>
      <c r="AF126" s="1277" t="s">
        <v>295</v>
      </c>
      <c r="AG126" s="1277"/>
      <c r="AH126" s="1277" t="str">
        <f>IF($E$126=0,"",$E$126)</f>
        <v>Тариф на транспортировку сточных вод</v>
      </c>
      <c r="AI126" s="1277" t="str">
        <f>IF($G$126=0,"",$G$126)</f>
        <v/>
      </c>
      <c r="AJ126" s="1277" t="str">
        <f>IF($J$126=0,"",$J$126)</f>
        <v/>
      </c>
      <c r="AK126" s="1277" t="str">
        <f>IF($K$126="нет","без дифференциации",IF($N$126=0,"",$N$126))</f>
        <v/>
      </c>
      <c r="AL126" s="1277" t="str">
        <f>IF($O$126="нет","без дифференциации",IF($R$126=0,"",$R$126))</f>
        <v/>
      </c>
      <c r="AM126" s="1277" t="str">
        <f>IF($S$126="нет","без дифференциации",IF($V$126=0,"",$V$126))</f>
        <v/>
      </c>
      <c r="AN126" s="1782">
        <f>$I$126</f>
        <v>0</v>
      </c>
      <c r="AO126" s="1277" t="str">
        <f>$I$126&amp;"."&amp;$M$126</f>
        <v>.</v>
      </c>
      <c r="AP126" s="1269" t="str">
        <f>$I$126&amp;"."&amp;$M$126&amp;"."&amp;$Q$126</f>
        <v>..</v>
      </c>
      <c r="AQ126" s="1269" t="str">
        <f>$I$126&amp;"."&amp;$M$126&amp;"."&amp;$Q$126&amp;"."&amp;$U$126</f>
        <v>...</v>
      </c>
      <c r="AR126" s="1477">
        <v>0</v>
      </c>
    </row>
    <row s="1863" customFormat="1" customHeight="1" ht="17.25" hidden="1">
      <c r="A127" s="331"/>
      <c r="C127" s="330"/>
      <c r="D127" s="2145"/>
      <c r="E127" s="2153"/>
      <c r="F127" s="2156"/>
      <c r="G127" s="2153"/>
      <c r="H127" s="2159"/>
      <c r="I127" s="2161"/>
      <c r="J127" s="2163"/>
      <c r="K127" s="2148"/>
      <c r="L127" s="2148"/>
      <c r="M127" s="2148"/>
      <c r="N127" s="2150"/>
      <c r="O127" s="2148"/>
      <c r="P127" s="2148"/>
      <c r="Q127" s="2148"/>
      <c r="R127" s="2151"/>
      <c r="S127" s="2148"/>
      <c r="T127" s="1307"/>
      <c r="U127" s="1307"/>
      <c r="V127" s="1307"/>
      <c r="W127" s="1308"/>
      <c r="X127" s="1269"/>
      <c r="Y127" s="1269"/>
      <c r="Z127" s="1269"/>
      <c r="AA127" s="1269"/>
      <c r="AB127" s="1269"/>
      <c r="AC127" s="1269"/>
      <c r="AD127" s="1269"/>
      <c r="AE127" s="1269"/>
      <c r="AF127" s="1269"/>
      <c r="AG127" s="1269"/>
      <c r="AH127" s="1269"/>
      <c r="AI127" s="1269"/>
      <c r="AJ127" s="1269"/>
      <c r="AK127" s="1269"/>
      <c r="AL127" s="1269"/>
      <c r="AM127" s="1269"/>
      <c r="AN127" s="1269"/>
      <c r="AO127" s="1269"/>
      <c r="AP127" s="1269"/>
      <c r="AQ127" s="1269"/>
      <c r="AR127" s="1477">
        <v>0</v>
      </c>
    </row>
    <row s="1863" customFormat="1" customHeight="1" ht="17.25" hidden="1">
      <c r="A128" s="331"/>
      <c r="C128" s="330"/>
      <c r="D128" s="2146"/>
      <c r="E128" s="2154"/>
      <c r="F128" s="2156"/>
      <c r="G128" s="2154"/>
      <c r="H128" s="2159"/>
      <c r="I128" s="2161"/>
      <c r="J128" s="2164"/>
      <c r="K128" s="2148"/>
      <c r="L128" s="2148"/>
      <c r="M128" s="2148"/>
      <c r="N128" s="2151"/>
      <c r="O128" s="2148"/>
      <c r="P128" s="1481"/>
      <c r="Q128" s="1307"/>
      <c r="R128" s="1307"/>
      <c r="S128" s="339"/>
      <c r="T128" s="339"/>
      <c r="U128" s="339"/>
      <c r="V128" s="339"/>
      <c r="W128" s="1308"/>
      <c r="X128" s="1269"/>
      <c r="Y128" s="1269"/>
      <c r="Z128" s="1269"/>
      <c r="AA128" s="1269"/>
      <c r="AB128" s="1269"/>
      <c r="AC128" s="1269"/>
      <c r="AD128" s="1269"/>
      <c r="AE128" s="1269"/>
      <c r="AF128" s="1269"/>
      <c r="AG128" s="1269"/>
      <c r="AH128" s="1269"/>
      <c r="AI128" s="1269"/>
      <c r="AJ128" s="1269"/>
      <c r="AK128" s="1269"/>
      <c r="AL128" s="1269"/>
      <c r="AM128" s="1269"/>
      <c r="AN128" s="1269"/>
      <c r="AO128" s="1269"/>
      <c r="AP128" s="1269"/>
      <c r="AQ128" s="1269"/>
      <c r="AR128" s="1477">
        <v>0</v>
      </c>
    </row>
    <row s="1863" customFormat="1" customHeight="1" ht="17.25" hidden="1">
      <c r="A129" s="331"/>
      <c r="C129" s="330"/>
      <c r="D129" s="2146"/>
      <c r="E129" s="2154"/>
      <c r="F129" s="2156"/>
      <c r="G129" s="2154"/>
      <c r="H129" s="2159"/>
      <c r="I129" s="2161"/>
      <c r="J129" s="2164"/>
      <c r="K129" s="2148"/>
      <c r="L129" s="1307"/>
      <c r="M129" s="1307"/>
      <c r="N129" s="1307"/>
      <c r="O129" s="1307"/>
      <c r="P129" s="1307"/>
      <c r="Q129" s="1307"/>
      <c r="R129" s="1307"/>
      <c r="S129" s="339"/>
      <c r="T129" s="339"/>
      <c r="U129" s="339"/>
      <c r="V129" s="339"/>
      <c r="W129" s="1308"/>
      <c r="X129" s="1269"/>
      <c r="Y129" s="1269"/>
      <c r="Z129" s="1269"/>
      <c r="AA129" s="1269"/>
      <c r="AB129" s="1269"/>
      <c r="AC129" s="1269"/>
      <c r="AD129" s="1269"/>
      <c r="AE129" s="1269"/>
      <c r="AF129" s="1269"/>
      <c r="AG129" s="1269"/>
      <c r="AH129" s="1269"/>
      <c r="AI129" s="1269"/>
      <c r="AJ129" s="1269"/>
      <c r="AK129" s="1269"/>
      <c r="AL129" s="1269"/>
      <c r="AM129" s="1269"/>
      <c r="AN129" s="1269"/>
      <c r="AO129" s="1269"/>
      <c r="AP129" s="1269"/>
      <c r="AQ129" s="1269"/>
      <c r="AR129" s="1477">
        <v>0</v>
      </c>
    </row>
    <row s="1863" customFormat="1" customHeight="1" ht="17.25" hidden="1">
      <c r="A130" s="331"/>
      <c r="C130" s="330"/>
      <c r="D130" s="2146"/>
      <c r="E130" s="2154"/>
      <c r="F130" s="2157"/>
      <c r="G130" s="2154"/>
      <c r="H130" s="1309"/>
      <c r="I130" s="1310"/>
      <c r="J130" s="1310"/>
      <c r="K130" s="1310"/>
      <c r="L130" s="1310"/>
      <c r="M130" s="1310"/>
      <c r="N130" s="1310"/>
      <c r="O130" s="1310"/>
      <c r="P130" s="1310"/>
      <c r="Q130" s="1310"/>
      <c r="R130" s="1310"/>
      <c r="S130" s="1311"/>
      <c r="T130" s="1311"/>
      <c r="U130" s="1311"/>
      <c r="V130" s="1311"/>
      <c r="W130" s="1312"/>
      <c r="X130" s="1269"/>
      <c r="Y130" s="1269"/>
      <c r="Z130" s="1269"/>
      <c r="AA130" s="1269"/>
      <c r="AB130" s="1269"/>
      <c r="AC130" s="1269"/>
      <c r="AD130" s="1269"/>
      <c r="AE130" s="1269"/>
      <c r="AF130" s="1269"/>
      <c r="AG130" s="1269"/>
      <c r="AH130" s="1269"/>
      <c r="AI130" s="1269"/>
      <c r="AJ130" s="1269"/>
      <c r="AK130" s="1269"/>
      <c r="AL130" s="1269"/>
      <c r="AM130" s="1269"/>
      <c r="AN130" s="1269"/>
      <c r="AO130" s="1269"/>
      <c r="AP130" s="1269"/>
      <c r="AQ130" s="1269"/>
      <c r="AR130" s="1477">
        <v>0</v>
      </c>
    </row>
    <row s="1863" customFormat="1" customHeight="1" ht="17.25" hidden="1">
      <c r="A131" s="331"/>
      <c r="C131" s="219"/>
      <c r="D131" s="2145">
        <v>3</v>
      </c>
      <c r="E131" s="2153" t="s">
        <v>296</v>
      </c>
      <c r="F131" s="2155" t="s">
        <v>19</v>
      </c>
      <c r="G131" s="2153"/>
      <c r="H131" s="2158"/>
      <c r="I131" s="2160"/>
      <c r="J131" s="2162"/>
      <c r="K131" s="2147"/>
      <c r="L131" s="2147"/>
      <c r="M131" s="2147"/>
      <c r="N131" s="2149"/>
      <c r="O131" s="2147"/>
      <c r="P131" s="2147"/>
      <c r="Q131" s="2147"/>
      <c r="R131" s="2152"/>
      <c r="S131" s="2147"/>
      <c r="T131" s="1953"/>
      <c r="U131" s="1953"/>
      <c r="V131" s="1955"/>
      <c r="W131" s="1306"/>
      <c r="X131" s="1277"/>
      <c r="Y131" s="1277"/>
      <c r="Z131" s="1277"/>
      <c r="AA131" s="1277"/>
      <c r="AB131" s="1277"/>
      <c r="AC131" s="1277" t="s">
        <v>297</v>
      </c>
      <c r="AD131" s="1277" t="s">
        <v>298</v>
      </c>
      <c r="AE131" s="1277" t="s">
        <v>299</v>
      </c>
      <c r="AF131" s="1277" t="s">
        <v>300</v>
      </c>
      <c r="AG131" s="1277"/>
      <c r="AH131" s="1277" t="str">
        <f>IF($E$131=0,"",$E$131)</f>
        <v>Тариф на подключение (технологическое присоединение) к централизованной системе водоотведения</v>
      </c>
      <c r="AI131" s="1277" t="str">
        <f>IF($G$131=0,"",$G$131)</f>
        <v/>
      </c>
      <c r="AJ131" s="1277" t="str">
        <f>IF($J$131=0,"",$J$131)</f>
        <v/>
      </c>
      <c r="AK131" s="1277" t="str">
        <f>IF($K$131="нет","без дифференциации",IF($N$131=0,"",$N$131))</f>
        <v/>
      </c>
      <c r="AL131" s="1277" t="str">
        <f>IF($O$131="нет","без дифференциации",IF($R$131=0,"",$R$131))</f>
        <v/>
      </c>
      <c r="AM131" s="1277" t="str">
        <f>IF($S$131="нет","без дифференциации",IF($V$131=0,"",$V$131))</f>
        <v/>
      </c>
      <c r="AN131" s="1782">
        <f>$I$131</f>
        <v>0</v>
      </c>
      <c r="AO131" s="1277" t="str">
        <f>$I$131&amp;"."&amp;$M$131</f>
        <v>.</v>
      </c>
      <c r="AP131" s="1276" t="str">
        <f>$I$131&amp;"."&amp;$M$131&amp;"."&amp;$Q$131</f>
        <v>..</v>
      </c>
      <c r="AQ131" s="1276" t="str">
        <f>$I$131&amp;"."&amp;$M$131&amp;"."&amp;$Q$131&amp;"."&amp;$U$131</f>
        <v>...</v>
      </c>
      <c r="AR131" s="1477">
        <v>0</v>
      </c>
    </row>
    <row s="1863" customFormat="1" customHeight="1" ht="17.25" hidden="1">
      <c r="A132" s="331"/>
      <c r="C132" s="330"/>
      <c r="D132" s="2145"/>
      <c r="E132" s="2153"/>
      <c r="F132" s="2156"/>
      <c r="G132" s="2153"/>
      <c r="H132" s="2159"/>
      <c r="I132" s="2161"/>
      <c r="J132" s="2163"/>
      <c r="K132" s="2148"/>
      <c r="L132" s="2148"/>
      <c r="M132" s="2148"/>
      <c r="N132" s="2150"/>
      <c r="O132" s="2148"/>
      <c r="P132" s="2148"/>
      <c r="Q132" s="2148"/>
      <c r="R132" s="2151"/>
      <c r="S132" s="2148"/>
      <c r="T132" s="1958"/>
      <c r="U132" s="1958"/>
      <c r="V132" s="1958"/>
      <c r="W132" s="1959"/>
      <c r="X132" s="1276"/>
      <c r="Y132" s="1276"/>
      <c r="Z132" s="1276"/>
      <c r="AA132" s="1276"/>
      <c r="AB132" s="1276"/>
      <c r="AC132" s="1276"/>
      <c r="AD132" s="1276"/>
      <c r="AE132" s="1276"/>
      <c r="AF132" s="1276"/>
      <c r="AG132" s="1276"/>
      <c r="AH132" s="1276"/>
      <c r="AI132" s="1276"/>
      <c r="AJ132" s="1276"/>
      <c r="AK132" s="1276"/>
      <c r="AL132" s="1276"/>
      <c r="AM132" s="1276"/>
      <c r="AN132" s="1276"/>
      <c r="AO132" s="1276"/>
      <c r="AP132" s="1276"/>
      <c r="AQ132" s="1276"/>
      <c r="AR132" s="1477">
        <v>0</v>
      </c>
    </row>
    <row s="1863" customFormat="1" customHeight="1" ht="17.25" hidden="1">
      <c r="A133" s="331"/>
      <c r="C133" s="330"/>
      <c r="D133" s="2146"/>
      <c r="E133" s="2154"/>
      <c r="F133" s="2156"/>
      <c r="G133" s="2154"/>
      <c r="H133" s="2159"/>
      <c r="I133" s="2161"/>
      <c r="J133" s="2164"/>
      <c r="K133" s="2148"/>
      <c r="L133" s="2148"/>
      <c r="M133" s="2148"/>
      <c r="N133" s="2151"/>
      <c r="O133" s="2148"/>
      <c r="P133" s="1954"/>
      <c r="Q133" s="1958"/>
      <c r="R133" s="1958"/>
      <c r="S133" s="339"/>
      <c r="T133" s="339"/>
      <c r="U133" s="339"/>
      <c r="V133" s="339"/>
      <c r="W133" s="1959"/>
      <c r="X133" s="1276"/>
      <c r="Y133" s="1276"/>
      <c r="Z133" s="1276"/>
      <c r="AA133" s="1276"/>
      <c r="AB133" s="1276"/>
      <c r="AC133" s="1276"/>
      <c r="AD133" s="1276"/>
      <c r="AE133" s="1276"/>
      <c r="AF133" s="1276"/>
      <c r="AG133" s="1276"/>
      <c r="AH133" s="1276"/>
      <c r="AI133" s="1276"/>
      <c r="AJ133" s="1276"/>
      <c r="AK133" s="1276"/>
      <c r="AL133" s="1276"/>
      <c r="AM133" s="1276"/>
      <c r="AN133" s="1276"/>
      <c r="AO133" s="1276"/>
      <c r="AP133" s="1276"/>
      <c r="AQ133" s="1276"/>
      <c r="AR133" s="1477">
        <v>0</v>
      </c>
    </row>
    <row s="1863" customFormat="1" customHeight="1" ht="17.25" hidden="1">
      <c r="A134" s="331"/>
      <c r="C134" s="330"/>
      <c r="D134" s="2146"/>
      <c r="E134" s="2154"/>
      <c r="F134" s="2156"/>
      <c r="G134" s="2154"/>
      <c r="H134" s="2159"/>
      <c r="I134" s="2161"/>
      <c r="J134" s="2164"/>
      <c r="K134" s="2148"/>
      <c r="L134" s="1958"/>
      <c r="M134" s="1958"/>
      <c r="N134" s="1958"/>
      <c r="O134" s="1958"/>
      <c r="P134" s="1958"/>
      <c r="Q134" s="1958"/>
      <c r="R134" s="1958"/>
      <c r="S134" s="339"/>
      <c r="T134" s="339"/>
      <c r="U134" s="339"/>
      <c r="V134" s="339"/>
      <c r="W134" s="1959"/>
      <c r="X134" s="1276"/>
      <c r="Y134" s="1276"/>
      <c r="Z134" s="1276"/>
      <c r="AA134" s="1276"/>
      <c r="AB134" s="1276"/>
      <c r="AC134" s="1276"/>
      <c r="AD134" s="1276"/>
      <c r="AE134" s="1276"/>
      <c r="AF134" s="1276"/>
      <c r="AG134" s="1276"/>
      <c r="AH134" s="1276"/>
      <c r="AI134" s="1276"/>
      <c r="AJ134" s="1276"/>
      <c r="AK134" s="1276"/>
      <c r="AL134" s="1276"/>
      <c r="AM134" s="1276"/>
      <c r="AN134" s="1276"/>
      <c r="AO134" s="1276"/>
      <c r="AP134" s="1276"/>
      <c r="AQ134" s="1276"/>
      <c r="AR134" s="1477">
        <v>0</v>
      </c>
    </row>
    <row s="1863" customFormat="1" customHeight="1" ht="17.25" hidden="1">
      <c r="A135" s="331"/>
      <c r="C135" s="330"/>
      <c r="D135" s="2146"/>
      <c r="E135" s="2154"/>
      <c r="F135" s="2157"/>
      <c r="G135" s="2154"/>
      <c r="H135" s="1309"/>
      <c r="I135" s="1956"/>
      <c r="J135" s="1956"/>
      <c r="K135" s="1956"/>
      <c r="L135" s="1956"/>
      <c r="M135" s="1956"/>
      <c r="N135" s="1956"/>
      <c r="O135" s="1956"/>
      <c r="P135" s="1956"/>
      <c r="Q135" s="1956"/>
      <c r="R135" s="1956"/>
      <c r="S135" s="1311"/>
      <c r="T135" s="1311"/>
      <c r="U135" s="1311"/>
      <c r="V135" s="1311"/>
      <c r="W135" s="1957"/>
      <c r="X135" s="1276"/>
      <c r="Y135" s="1276"/>
      <c r="Z135" s="1276"/>
      <c r="AA135" s="1276"/>
      <c r="AB135" s="1276"/>
      <c r="AC135" s="1276"/>
      <c r="AD135" s="1276"/>
      <c r="AE135" s="1276"/>
      <c r="AF135" s="1276"/>
      <c r="AG135" s="1276"/>
      <c r="AH135" s="1276"/>
      <c r="AI135" s="1276"/>
      <c r="AJ135" s="1276"/>
      <c r="AK135" s="1276"/>
      <c r="AL135" s="1276"/>
      <c r="AM135" s="1276"/>
      <c r="AN135" s="1276"/>
      <c r="AO135" s="1276"/>
      <c r="AP135" s="1276"/>
      <c r="AQ135" s="1276"/>
      <c r="AR135" s="1477">
        <v>0</v>
      </c>
    </row>
    <row customHeight="1" ht="11.549999999999999">
      <c r="AR136" s="114">
        <v>11</v>
      </c>
    </row>
    <row customHeight="1" ht="11.549999999999999">
      <c r="AR137" s="114">
        <v>11</v>
      </c>
    </row>
    <row customHeight="1" ht="11.549999999999999">
      <c r="AR138" s="114">
        <v>11</v>
      </c>
    </row>
    <row customHeight="1" ht="11.549999999999999">
      <c r="E139" s="1360"/>
      <c r="AR139" s="114">
        <v>11</v>
      </c>
    </row>
    <row customHeight="1" ht="11.549999999999999">
      <c r="E140" s="1360"/>
      <c r="AR140" s="114">
        <v>11</v>
      </c>
    </row>
    <row customHeight="1" ht="11.549999999999999">
      <c r="E141" s="1360"/>
      <c r="AR141" s="114">
        <v>11</v>
      </c>
    </row>
    <row customHeight="1" ht="11.549999999999999">
      <c r="E142" s="1360"/>
      <c r="AR142" s="114">
        <v>11</v>
      </c>
    </row>
    <row customHeight="1" ht="11.549999999999999">
      <c r="E143" s="1360"/>
      <c r="AR143" s="114">
        <v>11</v>
      </c>
    </row>
    <row customHeight="1" ht="11.549999999999999">
      <c r="E144" s="1360"/>
      <c r="AR144" s="114">
        <v>11</v>
      </c>
    </row>
    <row customHeight="1" ht="11.549999999999999">
      <c r="E145" s="1360"/>
      <c r="AR145" s="114">
        <v>11</v>
      </c>
    </row>
    <row customHeight="1" ht="11.25" hidden="1">
      <c r="A146" s="163" t="s">
        <v>82</v>
      </c>
      <c r="B146" s="163">
        <v>0</v>
      </c>
      <c r="C146" s="114">
        <v>3</v>
      </c>
      <c r="D146" s="114">
        <v>6</v>
      </c>
      <c r="E146" s="114">
        <v>42</v>
      </c>
      <c r="F146" s="1293">
        <v>14</v>
      </c>
      <c r="G146" s="114">
        <v>42</v>
      </c>
      <c r="H146" s="114">
        <v>3</v>
      </c>
      <c r="I146" s="114">
        <v>5</v>
      </c>
      <c r="J146" s="114">
        <v>47</v>
      </c>
      <c r="K146" s="114">
        <v>3</v>
      </c>
      <c r="L146" s="114">
        <v>3</v>
      </c>
      <c r="M146" s="114">
        <v>5</v>
      </c>
      <c r="N146" s="114">
        <v>28</v>
      </c>
      <c r="O146" s="114">
        <v>3</v>
      </c>
      <c r="P146" s="114">
        <v>3</v>
      </c>
      <c r="Q146" s="114">
        <v>5</v>
      </c>
      <c r="R146" s="114">
        <v>34</v>
      </c>
      <c r="S146" s="292">
        <v>0</v>
      </c>
      <c r="T146" s="292">
        <v>0</v>
      </c>
      <c r="U146" s="292">
        <v>0</v>
      </c>
      <c r="V146" s="292">
        <v>0</v>
      </c>
      <c r="W146" s="114">
        <v>30</v>
      </c>
      <c r="X146" s="114">
        <v>3</v>
      </c>
      <c r="Y146" s="1269">
        <v>0</v>
      </c>
      <c r="Z146" s="1269">
        <v>0</v>
      </c>
      <c r="AA146" s="1269">
        <v>0</v>
      </c>
      <c r="AB146" s="1269">
        <v>0</v>
      </c>
      <c r="AC146" s="1269">
        <v>0</v>
      </c>
      <c r="AD146" s="1269">
        <v>0</v>
      </c>
      <c r="AE146" s="1269">
        <v>0</v>
      </c>
      <c r="AF146" s="1269">
        <v>0</v>
      </c>
      <c r="AG146" s="1269">
        <v>0</v>
      </c>
      <c r="AH146" s="1269">
        <v>0</v>
      </c>
      <c r="AI146" s="1269">
        <v>0</v>
      </c>
      <c r="AJ146" s="1269">
        <v>0</v>
      </c>
      <c r="AK146" s="1269">
        <v>0</v>
      </c>
      <c r="AL146" s="1269">
        <v>0</v>
      </c>
      <c r="AM146" s="1269">
        <v>0</v>
      </c>
      <c r="AN146" s="1269">
        <v>0</v>
      </c>
      <c r="AO146" s="1269">
        <v>0</v>
      </c>
      <c r="AP146" s="1269">
        <v>0</v>
      </c>
      <c r="AQ146" s="1269">
        <v>0</v>
      </c>
      <c r="AR146" s="114">
        <v>11</v>
      </c>
    </row>
  </sheetData>
  <sheetProtection sheet="1" formatColumns="0" formatRows="0" autoFilter="0" sort="1" insertRows="1" insertColumns="1" deleteRows="1" deleteColumns="1"/>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53FA9D-7953-5164-324A-0.8C6F35A9}" mc:Ignorable="x14ac xr xr2 xr3">
  <sheetPr>
    <tabColor theme="2" tint="-0.1"/>
  </sheetPr>
  <dimension ref="A1:AB30"/>
  <sheetViews>
    <sheetView showGridLines="0" zoomScale="90" workbookViewId="0">
      <pane xSplit="8" ySplit="18" topLeftCell="I19" activePane="bottomRight" state="frozen"/>
      <selection pane="bottomLeft" activeCell="A19" sqref="A19"/>
      <selection pane="topRight" activeCell="I1" sqref="I1"/>
      <selection pane="bottomRight" activeCell="O8" sqref="O8"/>
    </sheetView>
  </sheetViews>
  <sheetFormatPr defaultColWidth="10.57421875" customHeight="1" defaultRowHeight="15"/>
  <cols>
    <col min="1" max="1" style="1642" width="9.140625" hidden="1" customWidth="1"/>
    <col min="2" max="2" style="1645" width="9.140625" hidden="1" customWidth="1"/>
    <col min="3" max="3" style="693" width="4.00390625" customWidth="1"/>
    <col min="4" max="4" style="1645" width="6.00390625" customWidth="1"/>
    <col min="5" max="5" style="1645" width="47.00390625" customWidth="1"/>
    <col min="6" max="6" style="1645" width="9.00390625" customWidth="1"/>
    <col min="7" max="7" style="1645" width="25.7109375" hidden="1" customWidth="1"/>
    <col min="8" max="8" style="1645" width="34.00390625" hidden="1" customWidth="1"/>
    <col min="9" max="9" style="1645" width="25.7109375" customWidth="1"/>
    <col min="10" max="10" style="1645" width="33.00390625" customWidth="1"/>
    <col min="11" max="11" style="1645" width="25.7109375" customWidth="1"/>
    <col min="12" max="12" style="1645" width="34.00390625" customWidth="1"/>
    <col min="13" max="13" style="1645" width="25.7109375" customWidth="1"/>
    <col min="14" max="14" style="1645" width="34.00390625" customWidth="1"/>
    <col min="15" max="15" style="1645" width="25.7109375" customWidth="1"/>
    <col min="16" max="16" style="1645" width="34.00390625" customWidth="1"/>
    <col min="17" max="17" style="1376" width="50.00390625" customWidth="1"/>
    <col min="18" max="26" style="1645" width="10.00390625" customWidth="1"/>
    <col min="27" max="27" style="685" width="10.00390625" customWidth="1"/>
    <col min="28" max="28" style="1645" width="10.57421875" hidden="1"/>
  </cols>
  <sheetData>
    <row s="1376" customFormat="1" customHeight="1" ht="22.5" hidden="1">
      <c r="C1" s="682"/>
      <c r="G1" s="427">
        <v>4</v>
      </c>
      <c r="I1" s="427">
        <v>4</v>
      </c>
      <c r="K1" s="1376">
        <v>4</v>
      </c>
      <c r="L1" s="1376"/>
      <c r="M1" s="1376">
        <v>4</v>
      </c>
      <c r="N1" s="1376"/>
      <c r="O1" s="1376">
        <v>4</v>
      </c>
      <c r="P1" s="1376"/>
      <c r="AA1" s="430"/>
      <c r="AB1" s="427" t="s">
        <v>14</v>
      </c>
    </row>
    <row s="1645" customFormat="1" customHeight="1" ht="15" hidden="1">
      <c r="A2" s="372"/>
      <c r="C2" s="186"/>
      <c r="D2" s="356"/>
      <c r="E2" s="683"/>
      <c r="F2" s="532"/>
      <c r="G2" s="626"/>
      <c r="H2" s="626"/>
      <c r="I2" s="626"/>
      <c r="J2" s="626"/>
      <c r="K2" s="626"/>
      <c r="L2" s="626"/>
      <c r="M2" s="626"/>
      <c r="N2" s="626"/>
      <c r="O2" s="626"/>
      <c r="P2" s="626"/>
      <c r="AA2" s="684"/>
      <c r="AB2" s="519">
        <v>0</v>
      </c>
    </row>
    <row s="1376" customFormat="1" customHeight="1" ht="15" hidden="1">
      <c r="C3" s="682"/>
      <c r="K3" s="1376"/>
      <c r="L3" s="1376"/>
      <c r="M3" s="1376"/>
      <c r="N3" s="1376"/>
      <c r="O3" s="1376"/>
      <c r="P3" s="1376"/>
      <c r="AA3" s="430"/>
      <c r="AB3" s="427">
        <v>0</v>
      </c>
    </row>
    <row customHeight="1" ht="15.75">
      <c r="C4" s="186"/>
      <c r="D4" s="519"/>
      <c r="E4" s="519"/>
      <c r="F4" s="519"/>
      <c r="G4" s="519"/>
      <c r="H4" s="519"/>
      <c r="I4" s="519"/>
      <c r="J4" s="519"/>
      <c r="K4" s="1645"/>
      <c r="L4" s="1645"/>
      <c r="M4" s="1645"/>
      <c r="N4" s="1645"/>
      <c r="O4" s="1645"/>
      <c r="P4" s="1645"/>
      <c r="AB4" s="515">
        <v>15</v>
      </c>
    </row>
    <row customHeight="1" ht="66">
      <c r="C5" s="186"/>
      <c r="D5" s="2247" t="s">
        <v>1438</v>
      </c>
      <c r="E5" s="2247"/>
      <c r="F5" s="2247"/>
      <c r="G5" s="2247"/>
      <c r="H5" s="2247"/>
      <c r="I5" s="2247"/>
      <c r="J5" s="2247"/>
      <c r="K5" s="2258"/>
      <c r="L5" s="2258"/>
      <c r="M5" s="2258"/>
      <c r="N5" s="2258"/>
      <c r="O5" s="2258"/>
      <c r="P5" s="2258"/>
      <c r="AB5" s="515">
        <v>63</v>
      </c>
    </row>
    <row customHeight="1" ht="15.75">
      <c r="C6" s="186"/>
      <c r="D6" s="2186" t="str">
        <f>IF(org=0,"Не определено",org)</f>
        <v>АО «ДГК» СП «Нерюнгринская ГРЭС»</v>
      </c>
      <c r="E6" s="2186"/>
      <c r="F6" s="2186"/>
      <c r="G6" s="2186"/>
      <c r="H6" s="2186"/>
      <c r="I6" s="2186"/>
      <c r="J6" s="2186"/>
      <c r="K6" s="2259"/>
      <c r="L6" s="2259"/>
      <c r="M6" s="2259"/>
      <c r="N6" s="2259"/>
      <c r="O6" s="2259"/>
      <c r="P6" s="2259"/>
      <c r="Q6" s="547"/>
      <c r="AB6" s="515">
        <v>15</v>
      </c>
    </row>
    <row customHeight="1" ht="15.75">
      <c r="C7" s="186"/>
      <c r="D7" s="762"/>
      <c r="E7" s="519"/>
      <c r="F7" s="519"/>
      <c r="G7" s="547">
        <v>22</v>
      </c>
      <c r="I7" s="547">
        <v>1</v>
      </c>
      <c r="J7" s="762"/>
      <c r="K7" s="1376" t="s">
        <v>22</v>
      </c>
      <c r="L7" s="1645"/>
      <c r="M7" s="1376" t="s">
        <v>22</v>
      </c>
      <c r="N7" s="1645"/>
      <c r="O7" s="1376" t="s">
        <v>22</v>
      </c>
      <c r="P7" s="1645"/>
      <c r="AB7" s="515">
        <v>15</v>
      </c>
    </row>
    <row s="1645" customFormat="1" customHeight="1" ht="1.05">
      <c r="A8" s="769"/>
      <c r="C8" s="186"/>
      <c r="D8" s="519"/>
      <c r="E8" s="519"/>
      <c r="F8" s="519"/>
      <c r="G8" s="547"/>
      <c r="H8" s="762"/>
      <c r="I8" s="547" t="s">
        <v>132</v>
      </c>
      <c r="J8" s="762"/>
      <c r="K8" s="1376" t="s">
        <v>138</v>
      </c>
      <c r="L8" s="762"/>
      <c r="M8" s="1376" t="s">
        <v>141</v>
      </c>
      <c r="N8" s="762"/>
      <c r="O8" s="1376" t="s">
        <v>143</v>
      </c>
      <c r="P8" s="762"/>
      <c r="Q8" s="427"/>
      <c r="AA8" s="685"/>
      <c r="AB8" s="768">
        <v>1</v>
      </c>
    </row>
    <row customHeight="1" ht="15.75">
      <c r="C9" s="186"/>
      <c r="D9" s="721"/>
      <c r="E9" s="2377" t="s">
        <v>120</v>
      </c>
      <c r="F9" s="2378"/>
      <c r="G9" s="2405" t="str">
        <f>IF(G8="","",INDEX(DIFFERENTIATION_UNMERGE_VD,MATCH(G8,DIFFERENTIATION_ID_DIFF,0)))</f>
        <v/>
      </c>
      <c r="H9" s="2406"/>
      <c r="I9" s="2405" t="str">
        <f>IF(I8="","",INDEX(DIFFERENTIATION_UNMERGE_VD,MATCH(I8,DIFFERENTIATION_ID_DIFF,0)))</f>
        <v>Производство тепловой энергии. Некомбинированная выработка</v>
      </c>
      <c r="J9" s="2406"/>
      <c r="K9" s="2405" t="str">
        <f>IF(K8="","",INDEX(DIFFERENTIATION_UNMERGE_VD,MATCH(K8,DIFFERENTIATION_ID_DIFF,0)))</f>
        <v>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L9" s="2406"/>
      <c r="M9" s="2405" t="str">
        <f>IF(M8="","",INDEX(DIFFERENTIATION_UNMERGE_VD,MATCH(M8,DIFFERENTIATION_ID_DIFF,0)))</f>
        <v>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N9" s="2406"/>
      <c r="O9" s="2405" t="str">
        <f>IF(O8="","",INDEX(DIFFERENTIATION_UNMERGE_VD,MATCH(O8,DIFFERENTIATION_ID_DIFF,0)))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 Передача. Тепловая энергия; Передача. Теплоноситель; Сбыт. Тепловая энергия; Сбыт. Теплоноситель</v>
      </c>
      <c r="P9" s="2406"/>
      <c r="Q9" s="2185" t="s">
        <v>323</v>
      </c>
      <c r="AB9" s="515">
        <v>15</v>
      </c>
    </row>
    <row s="1645" customFormat="1" customHeight="1" ht="15.75">
      <c r="A10" s="769"/>
      <c r="C10" s="186"/>
      <c r="D10" s="721"/>
      <c r="E10" s="2377" t="s">
        <v>586</v>
      </c>
      <c r="F10" s="2378"/>
      <c r="G10" s="2405" t="str">
        <f>IF(G8="","",INDEX(DIFFERENTIATION_UNMERGE_AREA,MATCH(G8,DIFFERENTIATION_ID_DIFF,0)))</f>
        <v/>
      </c>
      <c r="H10" s="2406"/>
      <c r="I10" s="2405" t="str">
        <f>IF(I8="","",INDEX(DIFFERENTIATION_UNMERGE_AREA,MATCH(I8,DIFFERENTIATION_ID_DIFF,0)))</f>
        <v>Территория 1</v>
      </c>
      <c r="J10" s="2406"/>
      <c r="K10" s="2405" t="str">
        <f>IF(K8="","",INDEX(DIFFERENTIATION_UNMERGE_AREA,MATCH(K8,DIFFERENTIATION_ID_DIFF,0)))</f>
        <v>Территория 2</v>
      </c>
      <c r="L10" s="2406"/>
      <c r="M10" s="2405" t="str">
        <f>IF(M8="","",INDEX(DIFFERENTIATION_UNMERGE_AREA,MATCH(M8,DIFFERENTIATION_ID_DIFF,0)))</f>
        <v>Территория 3</v>
      </c>
      <c r="N10" s="2406"/>
      <c r="O10" s="2405" t="str">
        <f>IF(O8="","",INDEX(DIFFERENTIATION_UNMERGE_AREA,MATCH(O8,DIFFERENTIATION_ID_DIFF,0)))</f>
        <v>Территория 4</v>
      </c>
      <c r="P10" s="2406"/>
      <c r="Q10" s="2209"/>
      <c r="AA10" s="685"/>
      <c r="AB10" s="768">
        <v>15</v>
      </c>
    </row>
    <row s="1645" customFormat="1" customHeight="1" ht="15.75">
      <c r="A11" s="769"/>
      <c r="C11" s="186"/>
      <c r="D11" s="721"/>
      <c r="E11" s="2377" t="s">
        <v>587</v>
      </c>
      <c r="F11" s="2378"/>
      <c r="G11" s="2405" t="str">
        <f>IF(G8="","",INDEX(DIFFERENTIATION_UNMERGE_SYSTEM,MATCH(G8,DIFFERENTIATION_ID_DIFF,0)))</f>
        <v/>
      </c>
      <c r="H11" s="2406"/>
      <c r="I11" s="2405" t="str">
        <f>IF(I8="","",INDEX(DIFFERENTIATION_UNMERGE_SYSTEM,MATCH(I8,DIFFERENTIATION_ID_DIFF,0)))</f>
        <v>Нерюнгринская ГРЭС (г. Нерюнгри)</v>
      </c>
      <c r="J11" s="2406"/>
      <c r="K11" s="2405" t="str">
        <f>IF(K8="","",INDEX(DIFFERENTIATION_UNMERGE_SYSTEM,MATCH(K8,DIFFERENTIATION_ID_DIFF,0)))</f>
        <v>Нерюнгринская ГРЭС (п. Серебряный Бор)</v>
      </c>
      <c r="L11" s="2406"/>
      <c r="M11" s="2405" t="str">
        <f>IF(M8="","",INDEX(DIFFERENTIATION_UNMERGE_SYSTEM,MATCH(M8,DIFFERENTIATION_ID_DIFF,0)))</f>
        <v>Нерюнгринская ГРЭС (п. Беркакит)</v>
      </c>
      <c r="N11" s="2406"/>
      <c r="O11" s="2405" t="str">
        <f>IF(O8="","",INDEX(DIFFERENTIATION_UNMERGE_SYSTEM,MATCH(O8,DIFFERENTIATION_ID_DIFF,0)))</f>
        <v>Чульманская ТЭЦ (п. Чульман)</v>
      </c>
      <c r="P11" s="2406"/>
      <c r="Q11" s="2209"/>
      <c r="AA11" s="685"/>
      <c r="AB11" s="768">
        <v>15</v>
      </c>
    </row>
    <row s="1645" customFormat="1" customHeight="1" ht="15.75">
      <c r="A12" s="769"/>
      <c r="C12" s="186"/>
      <c r="D12" s="2379" t="s">
        <v>322</v>
      </c>
      <c r="E12" s="2380"/>
      <c r="F12" s="2380"/>
      <c r="G12" s="897"/>
      <c r="H12" s="897"/>
      <c r="I12" s="897"/>
      <c r="J12" s="897"/>
      <c r="K12" s="2377"/>
      <c r="L12" s="2377"/>
      <c r="M12" s="2377"/>
      <c r="N12" s="2377"/>
      <c r="O12" s="2377"/>
      <c r="P12" s="2377"/>
      <c r="Q12" s="2209"/>
      <c r="AA12" s="685"/>
      <c r="AB12" s="768">
        <v>15</v>
      </c>
    </row>
    <row customHeight="1" ht="35.699999999999996">
      <c r="C13" s="186"/>
      <c r="D13" s="815" t="s">
        <v>88</v>
      </c>
      <c r="E13" s="817" t="s">
        <v>324</v>
      </c>
      <c r="F13" s="817" t="s">
        <v>588</v>
      </c>
      <c r="G13" s="818" t="s">
        <v>325</v>
      </c>
      <c r="H13" s="817" t="s">
        <v>412</v>
      </c>
      <c r="I13" s="818" t="s">
        <v>325</v>
      </c>
      <c r="J13" s="817" t="s">
        <v>412</v>
      </c>
      <c r="K13" s="2272" t="s">
        <v>325</v>
      </c>
      <c r="L13" s="2322" t="s">
        <v>412</v>
      </c>
      <c r="M13" s="2272" t="s">
        <v>325</v>
      </c>
      <c r="N13" s="2322" t="s">
        <v>412</v>
      </c>
      <c r="O13" s="2272" t="s">
        <v>325</v>
      </c>
      <c r="P13" s="2322" t="s">
        <v>412</v>
      </c>
      <c r="Q13" s="2242"/>
      <c r="AB13" s="515">
        <v>34</v>
      </c>
    </row>
    <row customHeight="1" ht="15" hidden="1">
      <c r="C14" s="186"/>
      <c r="D14" s="603" t="s">
        <v>124</v>
      </c>
      <c r="E14" s="603" t="s">
        <v>104</v>
      </c>
      <c r="F14" s="603" t="s">
        <v>90</v>
      </c>
      <c r="G14" s="669" t="str">
        <f>G1&amp;".1"</f>
        <v>4.1</v>
      </c>
      <c r="H14" s="669"/>
      <c r="I14" s="669" t="str">
        <f>I1&amp;".1"</f>
        <v>4.1</v>
      </c>
      <c r="J14" s="669"/>
      <c r="K14" s="693" t="str">
        <f>K1&amp;".1"</f>
        <v>4.1</v>
      </c>
      <c r="L14" s="693"/>
      <c r="M14" s="693" t="str">
        <f>M1&amp;".1"</f>
        <v>4.1</v>
      </c>
      <c r="N14" s="693"/>
      <c r="O14" s="693" t="str">
        <f>O1&amp;".1"</f>
        <v>4.1</v>
      </c>
      <c r="P14" s="693"/>
      <c r="Q14" s="299"/>
      <c r="AB14" s="515">
        <v>0</v>
      </c>
    </row>
    <row customHeight="1" ht="22.5" hidden="1">
      <c r="A15" s="515"/>
      <c r="C15" s="536"/>
      <c r="D15" s="531">
        <v>1</v>
      </c>
      <c r="E15" s="687" t="s">
        <v>833</v>
      </c>
      <c r="F15" s="531" t="s">
        <v>834</v>
      </c>
      <c r="G15" s="688"/>
      <c r="H15" s="688"/>
      <c r="I15" s="688"/>
      <c r="J15" s="688"/>
      <c r="K15" s="688"/>
      <c r="L15" s="688"/>
      <c r="M15" s="688"/>
      <c r="N15" s="688"/>
      <c r="O15" s="688"/>
      <c r="P15" s="688"/>
      <c r="Q15" s="299" t="s">
        <v>835</v>
      </c>
      <c r="AB15" s="515">
        <v>0</v>
      </c>
    </row>
    <row customHeight="1" ht="22.5" hidden="1">
      <c r="A16" s="515"/>
      <c r="C16" s="536"/>
      <c r="D16" s="531">
        <v>2</v>
      </c>
      <c r="E16" s="289" t="s">
        <v>836</v>
      </c>
      <c r="F16" s="531" t="s">
        <v>837</v>
      </c>
      <c r="G16" s="688"/>
      <c r="H16" s="688"/>
      <c r="I16" s="688"/>
      <c r="J16" s="688"/>
      <c r="K16" s="688"/>
      <c r="L16" s="688"/>
      <c r="M16" s="688"/>
      <c r="N16" s="688"/>
      <c r="O16" s="688"/>
      <c r="P16" s="688"/>
      <c r="Q16" s="299" t="s">
        <v>838</v>
      </c>
      <c r="AB16" s="515">
        <v>0</v>
      </c>
    </row>
    <row customHeight="1" ht="123.75" hidden="1">
      <c r="A17" s="515"/>
      <c r="C17" s="536"/>
      <c r="D17" s="531">
        <v>3</v>
      </c>
      <c r="E17" s="289" t="s">
        <v>1439</v>
      </c>
      <c r="F17" s="531" t="s">
        <v>328</v>
      </c>
      <c r="G17" s="688"/>
      <c r="H17" s="688"/>
      <c r="I17" s="688"/>
      <c r="J17" s="688"/>
      <c r="K17" s="688"/>
      <c r="L17" s="688"/>
      <c r="M17" s="688"/>
      <c r="N17" s="688"/>
      <c r="O17" s="688"/>
      <c r="P17" s="688"/>
      <c r="Q17" s="299" t="s">
        <v>1440</v>
      </c>
      <c r="AB17" s="515">
        <v>0</v>
      </c>
    </row>
    <row customHeight="1" ht="48.29999999999999">
      <c r="A18" s="515"/>
      <c r="C18" s="536"/>
      <c r="D18" s="531">
        <v>3</v>
      </c>
      <c r="E18" s="289" t="s">
        <v>839</v>
      </c>
      <c r="F18" s="531" t="s">
        <v>328</v>
      </c>
      <c r="G18" s="819" t="s">
        <v>328</v>
      </c>
      <c r="H18" s="820" t="s">
        <v>328</v>
      </c>
      <c r="I18" s="531" t="s">
        <v>328</v>
      </c>
      <c r="J18" s="588" t="s">
        <v>328</v>
      </c>
      <c r="K18" s="2322" t="s">
        <v>328</v>
      </c>
      <c r="L18" s="2270" t="s">
        <v>328</v>
      </c>
      <c r="M18" s="2322" t="s">
        <v>328</v>
      </c>
      <c r="N18" s="2270" t="s">
        <v>328</v>
      </c>
      <c r="O18" s="2322" t="s">
        <v>328</v>
      </c>
      <c r="P18" s="2270" t="s">
        <v>328</v>
      </c>
      <c r="Q18" s="299" t="s">
        <v>1441</v>
      </c>
      <c r="AB18" s="515">
        <v>46</v>
      </c>
    </row>
    <row customHeight="1" ht="35.699999999999996">
      <c r="A19" s="515"/>
      <c r="C19" s="536"/>
      <c r="D19" s="549" t="s">
        <v>346</v>
      </c>
      <c r="E19" s="569" t="s">
        <v>841</v>
      </c>
      <c r="F19" s="531" t="s">
        <v>842</v>
      </c>
      <c r="G19" s="827"/>
      <c r="H19" s="116"/>
      <c r="I19" s="827"/>
      <c r="J19" s="828"/>
      <c r="K19" s="827"/>
      <c r="L19" s="2511"/>
      <c r="M19" s="827"/>
      <c r="N19" s="2511"/>
      <c r="O19" s="827"/>
      <c r="P19" s="2511"/>
      <c r="Q19" s="689"/>
      <c r="AB19" s="515">
        <v>34</v>
      </c>
    </row>
    <row customHeight="1" ht="35.699999999999996">
      <c r="A20" s="515"/>
      <c r="C20" s="536"/>
      <c r="D20" s="1900" t="s">
        <v>354</v>
      </c>
      <c r="E20" s="569" t="s">
        <v>843</v>
      </c>
      <c r="F20" s="531" t="s">
        <v>844</v>
      </c>
      <c r="G20" s="827"/>
      <c r="H20" s="116"/>
      <c r="I20" s="827"/>
      <c r="J20" s="116"/>
      <c r="K20" s="827"/>
      <c r="L20" s="2511"/>
      <c r="M20" s="827"/>
      <c r="N20" s="2511"/>
      <c r="O20" s="827"/>
      <c r="P20" s="2511"/>
      <c r="Q20" s="689"/>
      <c r="AB20" s="515">
        <v>34</v>
      </c>
    </row>
    <row customHeight="1" ht="48.29999999999999">
      <c r="A21" s="515"/>
      <c r="C21" s="536"/>
      <c r="D21" s="1900" t="s">
        <v>356</v>
      </c>
      <c r="E21" s="569" t="s">
        <v>845</v>
      </c>
      <c r="F21" s="531" t="s">
        <v>593</v>
      </c>
      <c r="G21" s="690"/>
      <c r="H21" s="116"/>
      <c r="I21" s="690"/>
      <c r="J21" s="116"/>
      <c r="K21" s="690"/>
      <c r="L21" s="2511"/>
      <c r="M21" s="690"/>
      <c r="N21" s="2511"/>
      <c r="O21" s="690"/>
      <c r="P21" s="2511"/>
      <c r="Q21" s="689"/>
      <c r="AB21" s="515">
        <v>46</v>
      </c>
    </row>
    <row customHeight="1" ht="67.5" hidden="1">
      <c r="A22" s="515"/>
      <c r="C22" s="536"/>
      <c r="D22" s="531">
        <v>5</v>
      </c>
      <c r="E22" s="289" t="s">
        <v>1442</v>
      </c>
      <c r="F22" s="531" t="s">
        <v>580</v>
      </c>
      <c r="G22" s="691"/>
      <c r="H22" s="692"/>
      <c r="I22" s="691"/>
      <c r="J22" s="692"/>
      <c r="K22" s="691"/>
      <c r="L22" s="1449"/>
      <c r="M22" s="691"/>
      <c r="N22" s="1449"/>
      <c r="O22" s="691"/>
      <c r="P22" s="1449"/>
      <c r="Q22" s="299" t="s">
        <v>1443</v>
      </c>
      <c r="AB22" s="515">
        <v>0</v>
      </c>
    </row>
    <row customHeight="1" ht="33.75" hidden="1">
      <c r="C23" s="461"/>
      <c r="D23" s="531">
        <v>6</v>
      </c>
      <c r="E23" s="289" t="s">
        <v>1444</v>
      </c>
      <c r="F23" s="531" t="s">
        <v>1445</v>
      </c>
      <c r="G23" s="691"/>
      <c r="H23" s="691"/>
      <c r="I23" s="691"/>
      <c r="J23" s="691"/>
      <c r="K23" s="691"/>
      <c r="L23" s="691"/>
      <c r="M23" s="691"/>
      <c r="N23" s="691"/>
      <c r="O23" s="691"/>
      <c r="P23" s="691"/>
      <c r="Q23" s="299" t="s">
        <v>1446</v>
      </c>
      <c r="AB23" s="515">
        <v>0</v>
      </c>
    </row>
    <row customHeight="1" ht="15.75">
      <c r="K24" s="1645"/>
      <c r="L24" s="1645"/>
      <c r="M24" s="1645"/>
      <c r="N24" s="1645"/>
      <c r="O24" s="1645"/>
      <c r="P24" s="1645"/>
      <c r="AB24" s="515">
        <v>15</v>
      </c>
    </row>
    <row customHeight="1" ht="15.75">
      <c r="K25" s="1645"/>
      <c r="L25" s="1645"/>
      <c r="M25" s="1645"/>
      <c r="N25" s="1645"/>
      <c r="O25" s="1645"/>
      <c r="P25" s="1645"/>
      <c r="AB25" s="515">
        <v>15</v>
      </c>
    </row>
    <row customHeight="1" ht="15.75">
      <c r="K26" s="1645"/>
      <c r="L26" s="1645"/>
      <c r="M26" s="1645"/>
      <c r="N26" s="1645"/>
      <c r="O26" s="1645"/>
      <c r="P26" s="1645"/>
      <c r="AB26" s="515">
        <v>15</v>
      </c>
    </row>
    <row customHeight="1" ht="15.75">
      <c r="K27" s="1645"/>
      <c r="L27" s="1645"/>
      <c r="M27" s="1645"/>
      <c r="N27" s="1645"/>
      <c r="O27" s="1645"/>
      <c r="P27" s="1645"/>
      <c r="AB27" s="515">
        <v>15</v>
      </c>
    </row>
    <row customHeight="1" ht="15.75">
      <c r="K28" s="1645"/>
      <c r="L28" s="1645"/>
      <c r="M28" s="1645"/>
      <c r="N28" s="1645"/>
      <c r="O28" s="1645"/>
      <c r="P28" s="1645"/>
      <c r="AB28" s="515">
        <v>15</v>
      </c>
    </row>
    <row customHeight="1" ht="15.75">
      <c r="J29" s="829"/>
      <c r="K29" s="1645"/>
      <c r="L29" s="1645"/>
      <c r="M29" s="1645"/>
      <c r="N29" s="1645"/>
      <c r="O29" s="1645"/>
      <c r="P29" s="1645"/>
      <c r="AB29" s="515">
        <v>15</v>
      </c>
    </row>
    <row customHeight="1" ht="22.5" hidden="1">
      <c r="A30" s="459" t="s">
        <v>82</v>
      </c>
      <c r="B30" s="515">
        <v>0</v>
      </c>
      <c r="C30" s="693">
        <v>4</v>
      </c>
      <c r="D30" s="515">
        <v>6</v>
      </c>
      <c r="E30" s="515">
        <v>47</v>
      </c>
      <c r="F30" s="515">
        <v>9</v>
      </c>
      <c r="G30" s="768">
        <v>0</v>
      </c>
      <c r="H30" s="768">
        <v>0</v>
      </c>
      <c r="I30" s="515">
        <v>25</v>
      </c>
      <c r="J30" s="515">
        <v>33</v>
      </c>
      <c r="K30" s="1645">
        <v>0</v>
      </c>
      <c r="L30" s="1645">
        <v>0</v>
      </c>
      <c r="M30" s="1645">
        <v>0</v>
      </c>
      <c r="N30" s="1645">
        <v>0</v>
      </c>
      <c r="O30" s="1645">
        <v>0</v>
      </c>
      <c r="P30" s="1645">
        <v>0</v>
      </c>
      <c r="Q30" s="427">
        <v>50</v>
      </c>
      <c r="R30" s="515">
        <v>10</v>
      </c>
      <c r="S30" s="515">
        <v>10</v>
      </c>
      <c r="T30" s="515">
        <v>10</v>
      </c>
      <c r="U30" s="515">
        <v>10</v>
      </c>
      <c r="V30" s="515">
        <v>10</v>
      </c>
      <c r="W30" s="515">
        <v>10</v>
      </c>
      <c r="X30" s="515">
        <v>10</v>
      </c>
      <c r="Y30" s="515">
        <v>10</v>
      </c>
      <c r="Z30" s="515">
        <v>10</v>
      </c>
      <c r="AA30" s="685">
        <v>10</v>
      </c>
      <c r="AB30" s="515">
        <v>23</v>
      </c>
    </row>
  </sheetData>
  <sheetProtection sheet="1" formatColumns="0" formatRows="0" autoFilter="0" sort="1" insertRows="1" insertColumns="1" deleteRows="1" deleteColumns="1"/>
  <mergeCells count="22">
    <mergeCell ref="D5:J5"/>
    <mergeCell ref="D6:J6"/>
    <mergeCell ref="Q9:Q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 ref="O9:P9"/>
    <mergeCell ref="O10:P10"/>
    <mergeCell ref="O11:P11"/>
  </mergeCells>
  <dataValidations count="4">
    <dataValidation type="textLength" operator="lessThanOrEqual" allowBlank="1" showInputMessage="1" showErrorMessage="1" errorTitle="Ошибка" error="Допускается ввод не более 900 символов!" sqref="H19:H21 J19:J21 L19:L21 N19:N21 P19:P21">
      <formula1>900</formula1>
    </dataValidation>
    <dataValidation type="whole" allowBlank="1" showErrorMessage="1" errorTitle="Ошибка" error="Допускается ввод только неотрицательных целых чисел!" sqref="G19:G20 I19:I20 K19 K20 M19 M20 O19 O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K21 M21 O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AC9C773-C5F4-4E13-F088-0.F2E3EF55}"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12" width="32.57421875" customWidth="1"/>
    <col min="2" max="2" style="1860" width="11.00390625" customWidth="1"/>
    <col min="3" max="3" style="1860" width="9.140625"/>
    <col min="4" max="4" style="1860" width="26.57421875" customWidth="1"/>
    <col min="5" max="5" style="1833" width="36.8515625" customWidth="1"/>
    <col min="6" max="6" style="1833" width="23.57421875" customWidth="1"/>
    <col min="7" max="7" style="1833" width="31.421875" customWidth="1"/>
    <col min="8" max="8" style="1833" width="40.8515625" customWidth="1"/>
    <col min="9" max="9" style="1833" width="14.57421875" customWidth="1"/>
    <col min="10" max="10" style="1833" width="26.8515625" customWidth="1"/>
    <col min="11" max="11" style="1833" width="50.00390625" customWidth="1"/>
    <col min="12" max="12" style="1833" width="52.421875" customWidth="1"/>
    <col min="13" max="13" style="1833" width="10.7109375" customWidth="1"/>
    <col min="14" max="14" style="1833" width="55.140625" customWidth="1"/>
    <col min="15" max="15" style="1833" width="31.8515625" customWidth="1"/>
    <col min="16" max="16" style="1833" width="23.8515625" customWidth="1"/>
    <col min="17" max="17" style="1833" width="46.57421875" customWidth="1"/>
    <col min="18" max="18" style="1833" width="24.00390625" customWidth="1"/>
    <col min="19" max="19" style="1833" width="20.57421875" customWidth="1"/>
    <col min="20" max="20" style="1833" width="22.00390625" customWidth="1"/>
    <col min="21" max="22" style="1833" width="26.421875" customWidth="1"/>
    <col min="23" max="23" style="1833" width="8.28125" hidden="1" customWidth="1"/>
    <col min="24" max="24" style="1833" width="59.7109375" customWidth="1"/>
    <col min="25" max="25" style="1833" width="49.140625" customWidth="1"/>
    <col min="26" max="26" style="1833" width="11.140625" customWidth="1"/>
    <col min="27" max="30" style="1833" width="29.00390625" customWidth="1"/>
    <col min="31" max="31" style="1833" width="9.140625"/>
    <col min="32" max="32" style="1833" width="34.7109375" customWidth="1"/>
    <col min="33" max="33" style="1833" width="9.140625"/>
    <col min="34" max="35" style="1833" width="34.421875" customWidth="1"/>
    <col min="36" max="36" style="1833" width="9.140625"/>
    <col min="37" max="37" style="1833" width="24.57421875" customWidth="1"/>
    <col min="38" max="38" style="1833" width="9.140625"/>
    <col min="39" max="39" style="1833" width="26.140625" customWidth="1"/>
    <col min="40" max="40" style="1833" width="1.7109375" customWidth="1"/>
    <col min="41" max="41" style="1833" width="9.140625"/>
    <col min="42" max="43" style="1833" width="47.8515625" customWidth="1"/>
    <col min="44" max="44" style="1833" width="1.7109375" customWidth="1"/>
    <col min="45" max="45" style="1833" width="21.421875" customWidth="1"/>
    <col min="46" max="46" style="1833" width="1.7109375" customWidth="1"/>
    <col min="47" max="47" style="1833" width="31.28125" customWidth="1"/>
    <col min="48" max="48" style="1833" width="1.7109375" customWidth="1"/>
    <col min="49" max="50" style="1833" width="9.140625"/>
    <col min="51" max="51" style="1833" width="3.7109375" customWidth="1"/>
    <col min="52" max="52" style="1833" width="60.8515625" customWidth="1"/>
    <col min="53" max="53" style="1833" width="49.28125" customWidth="1"/>
    <col min="54" max="54" style="1833" width="35.140625" customWidth="1"/>
    <col min="55" max="55" style="1833" width="9.140625"/>
    <col min="56" max="56" style="1833" width="1.7109375" customWidth="1"/>
    <col min="57" max="57" style="1076" width="12.57421875" customWidth="1"/>
    <col min="58" max="58" style="1076" width="14.28125" customWidth="1"/>
    <col min="59" max="59" style="1833" width="30.7109375" customWidth="1"/>
    <col min="60" max="60" style="1850" width="40.7109375" customWidth="1"/>
    <col min="61" max="61" style="1850" width="15.00390625" customWidth="1"/>
    <col min="62" max="62" style="1850" width="40.7109375" customWidth="1"/>
    <col min="63" max="63" style="1850" width="2.7109375" customWidth="1"/>
    <col min="64" max="64" style="1850" width="44.7109375" customWidth="1"/>
    <col min="65" max="65" style="1850" width="2.7109375" customWidth="1"/>
    <col min="66" max="66" style="1850" width="40.7109375" customWidth="1"/>
    <col min="67" max="68" style="1833" width="9.140625"/>
    <col min="69" max="69" style="1833" width="18.140625" customWidth="1"/>
    <col min="70" max="70" style="1833" width="57.8515625" customWidth="1"/>
    <col min="71" max="71" style="1833" width="1.7109375" customWidth="1"/>
    <col min="72" max="72" style="1833" width="22.57421875" customWidth="1"/>
    <col min="73" max="73" style="1833" width="57.8515625" customWidth="1"/>
    <col min="74" max="74" style="1833" width="1.7109375" customWidth="1"/>
    <col min="75" max="75" style="1833" width="22.57421875" customWidth="1"/>
    <col min="76" max="76" style="1833" width="57.8515625" customWidth="1"/>
    <col min="77" max="77" style="1833" width="1.7109375" customWidth="1"/>
    <col min="78" max="78" style="1833" width="22.57421875" customWidth="1"/>
    <col min="79" max="79" style="1833" width="57.8515625" customWidth="1"/>
    <col min="80" max="81" style="1833" width="9.140625"/>
    <col min="82" max="82" style="1833" width="49.57421875" customWidth="1"/>
  </cols>
  <sheetData>
    <row s="1437" customFormat="1" customHeight="1" ht="11.25">
      <c r="A1" s="1077" t="s">
        <v>1447</v>
      </c>
      <c r="B1" s="1077" t="s">
        <v>1448</v>
      </c>
      <c r="C1" s="1077" t="s">
        <v>1449</v>
      </c>
      <c r="D1" s="1077" t="s">
        <v>1450</v>
      </c>
      <c r="E1" s="1077" t="s">
        <v>1451</v>
      </c>
      <c r="F1" s="1077" t="s">
        <v>1452</v>
      </c>
      <c r="G1" s="1077" t="s">
        <v>1453</v>
      </c>
      <c r="H1" s="1077" t="s">
        <v>1454</v>
      </c>
      <c r="I1" s="1077" t="s">
        <v>1455</v>
      </c>
      <c r="J1" s="1077" t="s">
        <v>1456</v>
      </c>
      <c r="K1" s="1077" t="s">
        <v>1457</v>
      </c>
      <c r="L1" s="1077" t="s">
        <v>1458</v>
      </c>
      <c r="M1" s="1077"/>
      <c r="N1" s="1077" t="s">
        <v>1459</v>
      </c>
      <c r="O1" s="1077" t="s">
        <v>1460</v>
      </c>
      <c r="P1" s="1077" t="s">
        <v>1461</v>
      </c>
      <c r="Q1" s="1077" t="s">
        <v>1462</v>
      </c>
      <c r="R1" s="1077" t="s">
        <v>1463</v>
      </c>
      <c r="S1" s="1077" t="s">
        <v>1464</v>
      </c>
      <c r="T1" s="1077" t="s">
        <v>1465</v>
      </c>
      <c r="U1" s="1077" t="s">
        <v>1466</v>
      </c>
      <c r="V1" s="1077"/>
      <c r="W1" s="807" t="s">
        <v>1467</v>
      </c>
      <c r="X1" s="1077" t="s">
        <v>1468</v>
      </c>
      <c r="Y1" s="1077" t="s">
        <v>1469</v>
      </c>
      <c r="Z1" s="1077"/>
      <c r="AA1" s="1077" t="s">
        <v>1470</v>
      </c>
      <c r="AB1" s="1077"/>
      <c r="AC1" s="1077" t="s">
        <v>1471</v>
      </c>
      <c r="AD1" s="1077"/>
      <c r="AF1" s="1077" t="s">
        <v>1472</v>
      </c>
      <c r="AH1" s="1077" t="s">
        <v>1473</v>
      </c>
      <c r="AI1" s="1077" t="s">
        <v>1474</v>
      </c>
      <c r="AK1" s="1077" t="s">
        <v>1475</v>
      </c>
      <c r="AM1" s="1077" t="s">
        <v>1476</v>
      </c>
      <c r="AP1" s="1077" t="s">
        <v>1477</v>
      </c>
      <c r="AQ1" s="1077" t="s">
        <v>1478</v>
      </c>
      <c r="AS1" s="1077" t="s">
        <v>1479</v>
      </c>
      <c r="AU1" s="1077" t="s">
        <v>1480</v>
      </c>
      <c r="AW1" s="1077" t="s">
        <v>1481</v>
      </c>
      <c r="AX1" s="1077" t="s">
        <v>1482</v>
      </c>
      <c r="AZ1" s="1162" t="s">
        <v>1483</v>
      </c>
      <c r="BB1" s="1077" t="s">
        <v>1484</v>
      </c>
      <c r="BC1" s="1077"/>
      <c r="BE1" s="1077" t="s">
        <v>1485</v>
      </c>
      <c r="BF1" s="1077" t="s">
        <v>1486</v>
      </c>
      <c r="BH1" s="1079" t="s">
        <v>832</v>
      </c>
      <c r="BI1" s="1080"/>
      <c r="BJ1" s="1081" t="s">
        <v>1487</v>
      </c>
      <c r="BK1" s="1080"/>
      <c r="BL1" s="1082" t="s">
        <v>931</v>
      </c>
      <c r="BM1" s="1080"/>
      <c r="BN1" s="1083" t="s">
        <v>1488</v>
      </c>
      <c r="BS1" s="1437"/>
    </row>
    <row customHeight="1" ht="11.25">
      <c r="A2" s="1084" t="s">
        <v>1489</v>
      </c>
      <c r="B2" s="1085">
        <v>2000</v>
      </c>
      <c r="C2" s="1085">
        <v>2022</v>
      </c>
      <c r="D2" s="1085" t="s">
        <v>66</v>
      </c>
      <c r="E2" s="1086" t="s">
        <v>1490</v>
      </c>
      <c r="F2" s="1086" t="s">
        <v>1491</v>
      </c>
      <c r="G2" s="1086" t="s">
        <v>1492</v>
      </c>
      <c r="H2" s="1087" t="s">
        <v>55</v>
      </c>
      <c r="I2" s="1086" t="s">
        <v>124</v>
      </c>
      <c r="J2" s="1086" t="s">
        <v>1493</v>
      </c>
      <c r="K2" s="1088" t="s">
        <v>1494</v>
      </c>
      <c r="L2" s="1089"/>
      <c r="M2" s="1088">
        <v>1</v>
      </c>
      <c r="N2" s="1172" t="s">
        <v>1495</v>
      </c>
      <c r="O2" s="1087" t="s">
        <v>1496</v>
      </c>
      <c r="P2" s="1090" t="s">
        <v>38</v>
      </c>
      <c r="Q2" s="1091" t="s">
        <v>1497</v>
      </c>
      <c r="R2" s="153" t="s">
        <v>1498</v>
      </c>
      <c r="S2" s="153" t="s">
        <v>1499</v>
      </c>
      <c r="T2" s="1092" t="s">
        <v>1500</v>
      </c>
      <c r="U2" s="1089" t="s">
        <v>1501</v>
      </c>
      <c r="V2" s="1093">
        <v>1</v>
      </c>
      <c r="W2" s="1094"/>
      <c r="X2" s="1094" t="s">
        <v>1502</v>
      </c>
      <c r="Y2" s="1085" t="s">
        <v>1503</v>
      </c>
      <c r="Z2" s="1095"/>
      <c r="AA2" s="1085" t="s">
        <v>1504</v>
      </c>
      <c r="AB2" s="1096" t="s">
        <v>1504</v>
      </c>
      <c r="AC2" s="1085" t="s">
        <v>1505</v>
      </c>
      <c r="AD2" s="1096" t="s">
        <v>1505</v>
      </c>
      <c r="AF2" s="1087" t="s">
        <v>1501</v>
      </c>
      <c r="AH2" s="1086" t="s">
        <v>1506</v>
      </c>
      <c r="AI2" s="1086" t="s">
        <v>1506</v>
      </c>
      <c r="AK2" s="1086" t="s">
        <v>1507</v>
      </c>
      <c r="AM2" s="1086" t="s">
        <v>1508</v>
      </c>
      <c r="AP2" s="1097" t="s">
        <v>1502</v>
      </c>
      <c r="AQ2" s="1098" t="s">
        <v>1502</v>
      </c>
      <c r="AS2" s="1085" t="s">
        <v>1509</v>
      </c>
      <c r="AU2" s="1130" t="s">
        <v>1510</v>
      </c>
      <c r="AW2" s="1130" t="s">
        <v>1511</v>
      </c>
      <c r="AX2" s="1130" t="s">
        <v>1511</v>
      </c>
      <c r="AZ2" s="1130" t="s">
        <v>53</v>
      </c>
      <c r="BB2" s="1130" t="s">
        <v>1512</v>
      </c>
      <c r="BC2" s="1130" t="s">
        <v>1513</v>
      </c>
      <c r="BE2" s="1130">
        <v>2000</v>
      </c>
      <c r="BF2" s="1130" t="s">
        <v>1514</v>
      </c>
    </row>
    <row customHeight="1" ht="11.25">
      <c r="A3" s="1084" t="s">
        <v>1515</v>
      </c>
      <c r="B3" s="1085">
        <v>2001</v>
      </c>
      <c r="C3" s="1085">
        <v>2023</v>
      </c>
      <c r="D3" s="1085" t="s">
        <v>19</v>
      </c>
      <c r="E3" s="1086" t="s">
        <v>1516</v>
      </c>
      <c r="F3" s="1086" t="s">
        <v>35</v>
      </c>
      <c r="G3" s="1086" t="s">
        <v>1517</v>
      </c>
      <c r="H3" s="1087" t="s">
        <v>1518</v>
      </c>
      <c r="I3" s="1086" t="s">
        <v>104</v>
      </c>
      <c r="J3" s="1086" t="s">
        <v>578</v>
      </c>
      <c r="K3" s="1088" t="s">
        <v>1519</v>
      </c>
      <c r="L3" s="1089">
        <f>_xlfn.IFERROR(MATCH(K3,OFFER_METHOD,0),0)</f>
        <v>0</v>
      </c>
      <c r="M3" s="1088">
        <v>2</v>
      </c>
      <c r="N3" s="1172" t="s">
        <v>1520</v>
      </c>
      <c r="O3" s="1087" t="s">
        <v>1521</v>
      </c>
      <c r="P3" s="1090" t="s">
        <v>1522</v>
      </c>
      <c r="Q3" s="1091" t="s">
        <v>1523</v>
      </c>
      <c r="R3" s="153" t="s">
        <v>1524</v>
      </c>
      <c r="S3" s="153" t="s">
        <v>1525</v>
      </c>
      <c r="T3" s="1092" t="s">
        <v>1526</v>
      </c>
      <c r="U3" s="1089" t="s">
        <v>1527</v>
      </c>
      <c r="V3" s="1093">
        <v>2</v>
      </c>
      <c r="W3" s="1094"/>
      <c r="X3" s="1094" t="s">
        <v>1528</v>
      </c>
      <c r="Y3" s="1085" t="s">
        <v>1503</v>
      </c>
      <c r="Z3" s="1095"/>
      <c r="AA3" s="1085" t="s">
        <v>1529</v>
      </c>
      <c r="AB3" s="1096" t="s">
        <v>1529</v>
      </c>
      <c r="AC3" s="1085" t="s">
        <v>1530</v>
      </c>
      <c r="AD3" s="1096" t="s">
        <v>1530</v>
      </c>
      <c r="AF3" s="1087" t="s">
        <v>1527</v>
      </c>
      <c r="AH3" s="1086" t="s">
        <v>1531</v>
      </c>
      <c r="AI3" s="1086" t="s">
        <v>1532</v>
      </c>
      <c r="AK3" s="1086" t="s">
        <v>1533</v>
      </c>
      <c r="AM3" s="1086" t="s">
        <v>1534</v>
      </c>
      <c r="AP3" s="1097" t="s">
        <v>1535</v>
      </c>
      <c r="AQ3" s="1098" t="s">
        <v>1535</v>
      </c>
      <c r="AS3" s="1085" t="s">
        <v>1536</v>
      </c>
      <c r="AU3" s="1130" t="s">
        <v>1537</v>
      </c>
      <c r="AW3" s="1130" t="s">
        <v>1538</v>
      </c>
      <c r="AX3" s="1130" t="s">
        <v>1538</v>
      </c>
      <c r="AZ3" s="1130" t="s">
        <v>1539</v>
      </c>
      <c r="BB3" s="1130" t="s">
        <v>1540</v>
      </c>
      <c r="BC3" s="1130" t="s">
        <v>1513</v>
      </c>
      <c r="BE3" s="1130">
        <v>2001</v>
      </c>
      <c r="BF3" s="1130" t="s">
        <v>1541</v>
      </c>
      <c r="BH3" s="1077" t="s">
        <v>1542</v>
      </c>
      <c r="BJ3" s="1077" t="s">
        <v>1543</v>
      </c>
      <c r="BL3" s="1077" t="s">
        <v>1544</v>
      </c>
      <c r="BN3" s="1077" t="s">
        <v>1545</v>
      </c>
      <c r="BR3" s="1077" t="s">
        <v>1546</v>
      </c>
      <c r="BS3" s="1438"/>
      <c r="BT3" s="1080"/>
      <c r="BU3" s="1077" t="s">
        <v>1547</v>
      </c>
      <c r="BV3" s="1080"/>
      <c r="BW3" s="1700"/>
      <c r="BX3" s="1702" t="s">
        <v>1548</v>
      </c>
      <c r="CA3" s="1077" t="s">
        <v>1549</v>
      </c>
    </row>
    <row customHeight="1" ht="11.25">
      <c r="A4" s="1084" t="s">
        <v>1550</v>
      </c>
      <c r="B4" s="1085">
        <v>2002</v>
      </c>
      <c r="C4" s="1085">
        <v>2024</v>
      </c>
      <c r="E4" s="1086" t="s">
        <v>1551</v>
      </c>
      <c r="F4" s="1086" t="s">
        <v>1552</v>
      </c>
      <c r="H4" s="1087" t="s">
        <v>1553</v>
      </c>
      <c r="I4" s="1086" t="s">
        <v>90</v>
      </c>
      <c r="J4" s="1086" t="s">
        <v>1554</v>
      </c>
      <c r="K4" s="1088" t="s">
        <v>1555</v>
      </c>
      <c r="L4" s="1089">
        <f>_xlfn.IFERROR(MATCH(K4,OFFER_METHOD,0),0)</f>
        <v>0</v>
      </c>
      <c r="M4" s="1088">
        <v>3</v>
      </c>
      <c r="N4" s="1172" t="s">
        <v>1556</v>
      </c>
      <c r="O4" s="1086" t="s">
        <v>1557</v>
      </c>
      <c r="Q4" s="1091" t="s">
        <v>1558</v>
      </c>
      <c r="R4" s="153" t="s">
        <v>1559</v>
      </c>
      <c r="S4" s="153" t="s">
        <v>1560</v>
      </c>
      <c r="T4" s="1092" t="s">
        <v>1561</v>
      </c>
      <c r="U4" s="1089" t="s">
        <v>1562</v>
      </c>
      <c r="V4" s="1093">
        <v>3</v>
      </c>
      <c r="W4" s="1094"/>
      <c r="X4" s="1094" t="s">
        <v>1563</v>
      </c>
      <c r="Y4" s="1085" t="s">
        <v>1503</v>
      </c>
      <c r="Z4" s="1101"/>
      <c r="AC4" s="1085" t="s">
        <v>1564</v>
      </c>
      <c r="AD4" s="1096" t="s">
        <v>1564</v>
      </c>
      <c r="AF4" s="1087" t="s">
        <v>1562</v>
      </c>
      <c r="AH4" s="1087" t="s">
        <v>1565</v>
      </c>
      <c r="AK4" s="1086" t="s">
        <v>1566</v>
      </c>
      <c r="AM4" s="1086" t="s">
        <v>1567</v>
      </c>
      <c r="AP4" s="1097" t="s">
        <v>1528</v>
      </c>
      <c r="AQ4" s="1098" t="s">
        <v>1528</v>
      </c>
      <c r="AS4" s="1085" t="s">
        <v>1568</v>
      </c>
      <c r="AU4" s="1130" t="s">
        <v>1569</v>
      </c>
      <c r="AW4" s="1130" t="s">
        <v>1570</v>
      </c>
      <c r="AX4" s="1130" t="s">
        <v>1570</v>
      </c>
      <c r="AZ4" s="1130" t="s">
        <v>1571</v>
      </c>
      <c r="BB4" s="1130" t="s">
        <v>1572</v>
      </c>
      <c r="BC4" s="1130" t="s">
        <v>1573</v>
      </c>
      <c r="BE4" s="1130">
        <v>2002</v>
      </c>
      <c r="BF4" s="1130" t="s">
        <v>1574</v>
      </c>
      <c r="BH4" s="1078" t="s">
        <v>1575</v>
      </c>
      <c r="BJ4" s="1078" t="s">
        <v>1575</v>
      </c>
      <c r="BL4" s="1078" t="s">
        <v>1575</v>
      </c>
      <c r="BN4" s="1078" t="s">
        <v>1575</v>
      </c>
      <c r="BQ4" s="1442" t="s">
        <v>1576</v>
      </c>
      <c r="BR4" s="1169" t="s">
        <v>1577</v>
      </c>
      <c r="BS4" s="284"/>
      <c r="BT4" s="1442" t="s">
        <v>1578</v>
      </c>
      <c r="BU4" s="1169" t="s">
        <v>1579</v>
      </c>
      <c r="BV4" s="1080"/>
      <c r="BW4" s="1707" t="s">
        <v>1580</v>
      </c>
      <c r="BX4" s="1701" t="s">
        <v>1581</v>
      </c>
      <c r="BZ4" s="1442" t="s">
        <v>1582</v>
      </c>
      <c r="CA4" s="1169" t="s">
        <v>1583</v>
      </c>
    </row>
    <row customHeight="1" ht="11.25">
      <c r="A5" s="1084" t="s">
        <v>1584</v>
      </c>
      <c r="B5" s="1085">
        <v>2003</v>
      </c>
      <c r="C5" s="1085">
        <v>2025</v>
      </c>
      <c r="E5" s="1086" t="s">
        <v>1585</v>
      </c>
      <c r="F5" s="1086" t="s">
        <v>1586</v>
      </c>
      <c r="H5" s="1087" t="s">
        <v>1587</v>
      </c>
      <c r="I5" s="1086" t="s">
        <v>91</v>
      </c>
      <c r="K5" s="1088" t="s">
        <v>1588</v>
      </c>
      <c r="L5" s="1089">
        <f>_xlfn.IFERROR(MATCH(K5,OFFER_METHOD,0),0)</f>
        <v>0</v>
      </c>
      <c r="M5" s="1088">
        <v>4</v>
      </c>
      <c r="N5" s="1102" t="s">
        <v>1589</v>
      </c>
      <c r="O5" s="1086" t="s">
        <v>1590</v>
      </c>
      <c r="Q5" s="1091" t="s">
        <v>1591</v>
      </c>
      <c r="R5" s="153" t="s">
        <v>1592</v>
      </c>
      <c r="T5" s="1087" t="s">
        <v>1593</v>
      </c>
      <c r="U5" s="1089" t="s">
        <v>1594</v>
      </c>
      <c r="V5" s="1093">
        <v>4</v>
      </c>
      <c r="W5" s="1094"/>
      <c r="X5" s="1094" t="s">
        <v>190</v>
      </c>
      <c r="Y5" s="1085" t="s">
        <v>1595</v>
      </c>
      <c r="Z5" s="1101">
        <v>1</v>
      </c>
      <c r="AF5" s="1087" t="s">
        <v>1596</v>
      </c>
      <c r="AH5" s="1086" t="s">
        <v>1597</v>
      </c>
      <c r="AK5" s="1086" t="s">
        <v>1598</v>
      </c>
      <c r="AM5" s="1086" t="s">
        <v>1599</v>
      </c>
      <c r="AP5" s="1097" t="s">
        <v>190</v>
      </c>
      <c r="AQ5" s="1098" t="s">
        <v>190</v>
      </c>
      <c r="AU5" s="1130" t="s">
        <v>1600</v>
      </c>
      <c r="AW5" s="1130" t="s">
        <v>1601</v>
      </c>
      <c r="AX5" s="1130" t="s">
        <v>1601</v>
      </c>
      <c r="AZ5" s="1130" t="s">
        <v>1602</v>
      </c>
      <c r="BB5" s="1130" t="s">
        <v>1603</v>
      </c>
      <c r="BC5" s="1130" t="s">
        <v>1604</v>
      </c>
      <c r="BE5" s="1130">
        <v>2003</v>
      </c>
      <c r="BF5" s="1130" t="s">
        <v>1605</v>
      </c>
      <c r="BH5" s="1078" t="s">
        <v>1606</v>
      </c>
      <c r="BJ5" s="1078" t="s">
        <v>1606</v>
      </c>
      <c r="BL5" s="1078" t="s">
        <v>1606</v>
      </c>
      <c r="BN5" s="1078" t="s">
        <v>1607</v>
      </c>
      <c r="BQ5" s="1291">
        <v>4213775</v>
      </c>
      <c r="BR5" s="1078" t="s">
        <v>1502</v>
      </c>
      <c r="BS5" s="1439"/>
      <c r="BT5" s="1291">
        <v>64236871</v>
      </c>
      <c r="BU5" s="1078" t="s">
        <v>251</v>
      </c>
      <c r="BV5" s="1080"/>
      <c r="BW5" s="1705">
        <v>4213767</v>
      </c>
      <c r="BX5" s="1703" t="s">
        <v>1608</v>
      </c>
      <c r="BZ5" s="1291">
        <v>64237509</v>
      </c>
      <c r="CA5" s="1305" t="s">
        <v>1609</v>
      </c>
    </row>
    <row customHeight="1" ht="11.25">
      <c r="A6" s="1084" t="s">
        <v>1610</v>
      </c>
      <c r="B6" s="1085">
        <v>2004</v>
      </c>
      <c r="C6" s="1085">
        <v>2026</v>
      </c>
      <c r="E6" s="1086" t="s">
        <v>1611</v>
      </c>
      <c r="F6" s="1103"/>
      <c r="H6" s="1087" t="s">
        <v>1612</v>
      </c>
      <c r="I6" s="1086" t="s">
        <v>125</v>
      </c>
      <c r="J6" s="1077" t="s">
        <v>1613</v>
      </c>
      <c r="L6" s="1089">
        <f>SUM(kind_of_control_method_filter)</f>
        <v>0</v>
      </c>
      <c r="N6" s="1102" t="s">
        <v>1614</v>
      </c>
      <c r="O6" s="1086" t="s">
        <v>1615</v>
      </c>
      <c r="R6" s="153" t="s">
        <v>1497</v>
      </c>
      <c r="T6" s="1087" t="s">
        <v>1616</v>
      </c>
      <c r="U6" s="1089" t="s">
        <v>1596</v>
      </c>
      <c r="V6" s="1093">
        <v>5</v>
      </c>
      <c r="W6" s="1094"/>
      <c r="X6" s="1085" t="s">
        <v>196</v>
      </c>
      <c r="Y6" s="1085" t="s">
        <v>1617</v>
      </c>
      <c r="Z6" s="1101"/>
      <c r="AA6" s="1104"/>
      <c r="AH6" s="1086" t="s">
        <v>1618</v>
      </c>
      <c r="AK6" s="1086" t="s">
        <v>1619</v>
      </c>
      <c r="AM6" s="1086" t="s">
        <v>1620</v>
      </c>
      <c r="AP6" s="1097" t="s">
        <v>196</v>
      </c>
      <c r="AQ6" s="1098" t="s">
        <v>196</v>
      </c>
      <c r="AU6" s="1130" t="s">
        <v>1621</v>
      </c>
      <c r="AW6" s="1130" t="s">
        <v>1622</v>
      </c>
      <c r="AX6" s="1130" t="s">
        <v>1622</v>
      </c>
      <c r="BB6" s="1130" t="s">
        <v>1623</v>
      </c>
      <c r="BC6" s="1130" t="s">
        <v>1604</v>
      </c>
      <c r="BE6" s="1130">
        <v>2004</v>
      </c>
      <c r="BF6" s="1130" t="s">
        <v>1624</v>
      </c>
      <c r="BH6" s="1078" t="s">
        <v>1625</v>
      </c>
      <c r="BJ6" s="1078" t="s">
        <v>1626</v>
      </c>
      <c r="BL6" s="1078" t="s">
        <v>1626</v>
      </c>
      <c r="BN6" s="1078" t="s">
        <v>1627</v>
      </c>
      <c r="BQ6" s="1291">
        <v>4213784</v>
      </c>
      <c r="BR6" s="1305" t="s">
        <v>1535</v>
      </c>
      <c r="BS6" s="1440"/>
      <c r="BT6" s="1291">
        <v>64236872</v>
      </c>
      <c r="BU6" s="1078" t="s">
        <v>256</v>
      </c>
      <c r="BV6" s="1080"/>
      <c r="BW6" s="1705">
        <v>4213768</v>
      </c>
      <c r="BX6" s="1703" t="s">
        <v>276</v>
      </c>
      <c r="BZ6" s="1291">
        <v>64237510</v>
      </c>
      <c r="CA6" s="1078" t="s">
        <v>1628</v>
      </c>
    </row>
    <row customHeight="1" ht="11.25">
      <c r="A7" s="1084" t="s">
        <v>1629</v>
      </c>
      <c r="B7" s="1085">
        <v>2005</v>
      </c>
      <c r="E7" s="1086" t="s">
        <v>1630</v>
      </c>
      <c r="F7" s="1103"/>
      <c r="H7" s="1087" t="s">
        <v>1631</v>
      </c>
      <c r="I7" s="1086" t="s">
        <v>92</v>
      </c>
      <c r="J7" s="1086" t="s">
        <v>1632</v>
      </c>
      <c r="N7" s="1106" t="s">
        <v>1633</v>
      </c>
      <c r="O7" s="1086" t="s">
        <v>1634</v>
      </c>
      <c r="U7" s="1089" t="s">
        <v>19</v>
      </c>
      <c r="V7" s="380" t="s">
        <v>92</v>
      </c>
      <c r="W7" s="1094"/>
      <c r="X7" s="1085" t="s">
        <v>202</v>
      </c>
      <c r="Y7" s="1085" t="s">
        <v>1595</v>
      </c>
      <c r="Z7" s="1101"/>
      <c r="AA7" s="1104"/>
      <c r="AH7" s="1086" t="s">
        <v>1635</v>
      </c>
      <c r="AK7" s="1086" t="s">
        <v>1636</v>
      </c>
      <c r="AM7" s="1086" t="s">
        <v>1637</v>
      </c>
      <c r="AP7" s="1097" t="s">
        <v>202</v>
      </c>
      <c r="AQ7" s="1098" t="s">
        <v>202</v>
      </c>
      <c r="AU7" s="1130" t="s">
        <v>1638</v>
      </c>
      <c r="AW7" s="1130" t="s">
        <v>1639</v>
      </c>
      <c r="AX7" s="1130" t="s">
        <v>1639</v>
      </c>
      <c r="AZ7" s="1077" t="s">
        <v>1640</v>
      </c>
      <c r="BB7" s="1130" t="s">
        <v>1641</v>
      </c>
      <c r="BC7" s="1130" t="s">
        <v>1604</v>
      </c>
      <c r="BE7" s="1130">
        <v>2005</v>
      </c>
      <c r="BF7" s="1130" t="s">
        <v>1642</v>
      </c>
      <c r="BH7" s="1078" t="s">
        <v>1643</v>
      </c>
      <c r="BJ7" s="1078" t="s">
        <v>1625</v>
      </c>
      <c r="BL7" s="1078" t="s">
        <v>1625</v>
      </c>
      <c r="BN7" s="1078" t="s">
        <v>1644</v>
      </c>
      <c r="BQ7" s="1291">
        <v>4213781</v>
      </c>
      <c r="BR7" s="1078" t="s">
        <v>1528</v>
      </c>
      <c r="BS7" s="1439"/>
      <c r="BT7" s="1291">
        <v>64236873</v>
      </c>
      <c r="BU7" s="1078" t="s">
        <v>261</v>
      </c>
      <c r="BV7" s="1080"/>
      <c r="BW7" s="1705">
        <v>4213769</v>
      </c>
      <c r="BX7" s="1703" t="s">
        <v>1645</v>
      </c>
      <c r="BZ7" s="1291">
        <v>64237511</v>
      </c>
      <c r="CA7" s="1078" t="s">
        <v>291</v>
      </c>
    </row>
    <row customHeight="1" ht="11.25">
      <c r="A8" s="1084" t="s">
        <v>1646</v>
      </c>
      <c r="B8" s="1085">
        <v>2006</v>
      </c>
      <c r="E8" s="1086" t="s">
        <v>1647</v>
      </c>
      <c r="F8" s="1103"/>
      <c r="H8" s="1087" t="s">
        <v>1648</v>
      </c>
      <c r="I8" s="1086" t="s">
        <v>93</v>
      </c>
      <c r="J8" s="1086" t="s">
        <v>1649</v>
      </c>
      <c r="N8" s="1173" t="s">
        <v>1650</v>
      </c>
      <c r="O8" s="1086" t="s">
        <v>1651</v>
      </c>
      <c r="V8" s="380" t="s">
        <v>93</v>
      </c>
      <c r="W8" s="1094"/>
      <c r="X8" s="1085" t="s">
        <v>208</v>
      </c>
      <c r="Y8" s="1085" t="s">
        <v>1595</v>
      </c>
      <c r="Z8" s="1101"/>
      <c r="AA8" s="1104"/>
      <c r="AK8" s="1086" t="s">
        <v>1652</v>
      </c>
      <c r="AP8" s="1097" t="s">
        <v>208</v>
      </c>
      <c r="AQ8" s="1098" t="s">
        <v>208</v>
      </c>
      <c r="AU8" s="1130" t="s">
        <v>1653</v>
      </c>
      <c r="AW8" s="1130" t="s">
        <v>1654</v>
      </c>
      <c r="AX8" s="1130" t="s">
        <v>1654</v>
      </c>
      <c r="AZ8" s="1130" t="s">
        <v>1655</v>
      </c>
      <c r="BB8" s="1130" t="s">
        <v>1656</v>
      </c>
      <c r="BC8" s="1130" t="s">
        <v>1604</v>
      </c>
      <c r="BE8" s="1130">
        <v>2006</v>
      </c>
      <c r="BF8" s="1130" t="s">
        <v>1657</v>
      </c>
      <c r="BH8" s="1078" t="s">
        <v>1658</v>
      </c>
      <c r="BJ8" s="1078" t="s">
        <v>1659</v>
      </c>
      <c r="BL8" s="1078" t="s">
        <v>1659</v>
      </c>
      <c r="BN8" s="1078" t="s">
        <v>1660</v>
      </c>
      <c r="BQ8" s="1291">
        <v>4213776</v>
      </c>
      <c r="BR8" s="1078" t="s">
        <v>190</v>
      </c>
      <c r="BS8" s="1439"/>
      <c r="BT8" s="1291">
        <v>64236874</v>
      </c>
      <c r="BU8" s="1305" t="s">
        <v>1661</v>
      </c>
      <c r="BV8" s="1080"/>
      <c r="BW8" s="1705">
        <v>4213770</v>
      </c>
      <c r="BX8" s="1706" t="s">
        <v>1662</v>
      </c>
      <c r="BZ8" s="1291">
        <v>64237512</v>
      </c>
      <c r="CA8" s="1078" t="s">
        <v>286</v>
      </c>
    </row>
    <row customHeight="1" ht="11.25">
      <c r="A9" s="1084" t="s">
        <v>1663</v>
      </c>
      <c r="B9" s="1085">
        <v>2007</v>
      </c>
      <c r="E9" s="1086" t="s">
        <v>1664</v>
      </c>
      <c r="F9" s="1103"/>
      <c r="G9" s="1077" t="s">
        <v>1665</v>
      </c>
      <c r="H9" s="1077" t="s">
        <v>1666</v>
      </c>
      <c r="I9" s="1086" t="s">
        <v>126</v>
      </c>
      <c r="O9" s="1086" t="s">
        <v>1667</v>
      </c>
      <c r="V9" s="380" t="s">
        <v>126</v>
      </c>
      <c r="W9" s="1094"/>
      <c r="X9" s="1085" t="s">
        <v>214</v>
      </c>
      <c r="Y9" s="1085" t="s">
        <v>1503</v>
      </c>
      <c r="Z9" s="1101">
        <v>1</v>
      </c>
      <c r="AA9" s="1104"/>
      <c r="AK9" s="1086" t="s">
        <v>1668</v>
      </c>
      <c r="AP9" s="1097" t="s">
        <v>1669</v>
      </c>
      <c r="AQ9" s="1098" t="s">
        <v>1669</v>
      </c>
      <c r="AW9" s="1130" t="s">
        <v>1670</v>
      </c>
      <c r="AX9" s="1130" t="s">
        <v>1670</v>
      </c>
      <c r="AZ9" s="1130" t="s">
        <v>1671</v>
      </c>
      <c r="BB9" s="1130" t="s">
        <v>1672</v>
      </c>
      <c r="BC9" s="1130" t="s">
        <v>1604</v>
      </c>
      <c r="BE9" s="1130">
        <v>2007</v>
      </c>
      <c r="BF9" s="1130" t="s">
        <v>1673</v>
      </c>
      <c r="BH9" s="1078" t="s">
        <v>1674</v>
      </c>
      <c r="BJ9" s="1078" t="s">
        <v>1675</v>
      </c>
      <c r="BL9" s="1078" t="s">
        <v>1675</v>
      </c>
      <c r="BN9" s="1078" t="s">
        <v>1676</v>
      </c>
      <c r="BQ9" s="1291">
        <v>4213777</v>
      </c>
      <c r="BR9" s="1078" t="s">
        <v>196</v>
      </c>
      <c r="BS9" s="1439"/>
      <c r="BT9" s="1291">
        <v>64236875</v>
      </c>
      <c r="BU9" s="1078" t="s">
        <v>266</v>
      </c>
      <c r="BV9" s="1080"/>
      <c r="BW9" s="1700"/>
      <c r="BX9" s="1700"/>
    </row>
    <row customHeight="1" ht="11.25">
      <c r="A10" s="1084" t="s">
        <v>1677</v>
      </c>
      <c r="B10" s="1085">
        <v>2008</v>
      </c>
      <c r="E10" s="1086" t="s">
        <v>1678</v>
      </c>
      <c r="F10" s="1103"/>
      <c r="G10" s="1086" t="s">
        <v>1679</v>
      </c>
      <c r="H10" s="1086" t="s">
        <v>1680</v>
      </c>
      <c r="I10" s="1086" t="s">
        <v>172</v>
      </c>
      <c r="J10" s="1077" t="s">
        <v>1681</v>
      </c>
      <c r="K10" s="1077" t="s">
        <v>1682</v>
      </c>
      <c r="O10" s="1086" t="s">
        <v>1683</v>
      </c>
      <c r="V10" s="381" t="s">
        <v>172</v>
      </c>
      <c r="W10" s="1107"/>
      <c r="X10" s="1107" t="s">
        <v>1684</v>
      </c>
      <c r="Y10" s="1108" t="s">
        <v>1685</v>
      </c>
      <c r="Z10" s="1101"/>
      <c r="AP10" s="1097" t="s">
        <v>1684</v>
      </c>
      <c r="AQ10" s="1098" t="s">
        <v>1684</v>
      </c>
      <c r="AW10" s="1130" t="s">
        <v>1686</v>
      </c>
      <c r="AX10" s="1130" t="s">
        <v>1686</v>
      </c>
      <c r="AZ10" s="1130" t="s">
        <v>1687</v>
      </c>
      <c r="BB10" s="1130" t="s">
        <v>1688</v>
      </c>
      <c r="BC10" s="1130" t="s">
        <v>1604</v>
      </c>
      <c r="BE10" s="1130">
        <v>2008</v>
      </c>
      <c r="BF10" s="1130" t="s">
        <v>1689</v>
      </c>
      <c r="BH10" s="1078" t="s">
        <v>1690</v>
      </c>
      <c r="BJ10" s="1078" t="s">
        <v>1691</v>
      </c>
      <c r="BL10" s="1078" t="s">
        <v>1691</v>
      </c>
      <c r="BN10" s="1078" t="s">
        <v>1692</v>
      </c>
      <c r="BQ10" s="1291">
        <v>4213778</v>
      </c>
      <c r="BR10" s="1078" t="s">
        <v>202</v>
      </c>
      <c r="BS10" s="1439"/>
      <c r="BT10" s="1291">
        <v>64236876</v>
      </c>
      <c r="BU10" s="1078" t="s">
        <v>246</v>
      </c>
      <c r="BV10" s="1080"/>
      <c r="BW10" s="1700"/>
      <c r="BX10" s="1700"/>
    </row>
    <row customHeight="1" ht="11.25">
      <c r="A11" s="1084" t="s">
        <v>1693</v>
      </c>
      <c r="B11" s="1085">
        <v>2009</v>
      </c>
      <c r="E11" s="1086" t="s">
        <v>1694</v>
      </c>
      <c r="F11" s="1103"/>
      <c r="G11" s="1086" t="s">
        <v>1695</v>
      </c>
      <c r="H11" s="1086" t="s">
        <v>1696</v>
      </c>
      <c r="I11" s="1086" t="s">
        <v>173</v>
      </c>
      <c r="J11" s="1087" t="s">
        <v>1697</v>
      </c>
      <c r="K11" s="1109" t="s">
        <v>1698</v>
      </c>
      <c r="O11" s="1087" t="s">
        <v>1699</v>
      </c>
      <c r="V11" s="380" t="s">
        <v>173</v>
      </c>
      <c r="W11" s="285"/>
      <c r="X11" s="1094" t="s">
        <v>1669</v>
      </c>
      <c r="Y11" s="1085" t="s">
        <v>1700</v>
      </c>
      <c r="Z11" s="1101"/>
      <c r="AP11" s="1097" t="s">
        <v>214</v>
      </c>
      <c r="AQ11" s="1099" t="s">
        <v>214</v>
      </c>
      <c r="AW11" s="1130" t="s">
        <v>1701</v>
      </c>
      <c r="AX11" s="1130" t="s">
        <v>1701</v>
      </c>
      <c r="AZ11" s="1130" t="s">
        <v>1702</v>
      </c>
      <c r="BB11" s="1130" t="s">
        <v>1703</v>
      </c>
      <c r="BC11" s="1130" t="s">
        <v>1604</v>
      </c>
      <c r="BE11" s="1130">
        <v>2009</v>
      </c>
      <c r="BF11" s="1130" t="s">
        <v>1704</v>
      </c>
      <c r="BH11" s="1078" t="s">
        <v>1705</v>
      </c>
      <c r="BJ11" s="1078" t="s">
        <v>1674</v>
      </c>
      <c r="BL11" s="1078" t="s">
        <v>1674</v>
      </c>
      <c r="BN11" s="1078" t="s">
        <v>1706</v>
      </c>
      <c r="BQ11" s="1291">
        <v>4213780</v>
      </c>
      <c r="BR11" s="1078" t="s">
        <v>208</v>
      </c>
      <c r="BS11" s="1439"/>
      <c r="BW11" s="1700"/>
      <c r="BX11" s="1700"/>
    </row>
    <row customHeight="1" ht="11.25">
      <c r="A12" s="1084" t="s">
        <v>1707</v>
      </c>
      <c r="B12" s="1085">
        <v>2010</v>
      </c>
      <c r="E12" s="1086" t="s">
        <v>1708</v>
      </c>
      <c r="F12" s="1103"/>
      <c r="G12" s="1086" t="s">
        <v>1696</v>
      </c>
      <c r="I12" s="1086" t="s">
        <v>174</v>
      </c>
      <c r="J12" s="1087" t="s">
        <v>1709</v>
      </c>
      <c r="K12" s="1109" t="s">
        <v>1710</v>
      </c>
      <c r="O12" s="1087" t="s">
        <v>1497</v>
      </c>
      <c r="V12" s="380" t="s">
        <v>174</v>
      </c>
      <c r="W12" s="1099"/>
      <c r="X12" s="1094" t="s">
        <v>1711</v>
      </c>
      <c r="Y12" s="1085" t="s">
        <v>1503</v>
      </c>
      <c r="AP12" s="1097"/>
      <c r="AW12" s="1130" t="s">
        <v>173</v>
      </c>
      <c r="AX12" s="1130" t="s">
        <v>173</v>
      </c>
      <c r="AZ12" s="1130" t="s">
        <v>1712</v>
      </c>
      <c r="BB12" s="1130" t="s">
        <v>1713</v>
      </c>
      <c r="BC12" s="1130" t="s">
        <v>1604</v>
      </c>
      <c r="BE12" s="1130">
        <v>2010</v>
      </c>
      <c r="BF12" s="1130" t="s">
        <v>1714</v>
      </c>
      <c r="BH12" s="1078" t="s">
        <v>1715</v>
      </c>
      <c r="BJ12" s="1078" t="s">
        <v>1716</v>
      </c>
      <c r="BL12" s="1078" t="s">
        <v>1716</v>
      </c>
      <c r="BN12" s="1078" t="s">
        <v>1717</v>
      </c>
      <c r="BQ12" s="1291">
        <v>4213779</v>
      </c>
      <c r="BR12" s="1078" t="s">
        <v>1669</v>
      </c>
      <c r="BS12" s="1439"/>
      <c r="BT12" s="1080"/>
      <c r="BU12" s="1080"/>
      <c r="BV12" s="1080"/>
      <c r="BW12" s="1700"/>
      <c r="BX12" s="1700"/>
    </row>
    <row customHeight="1" ht="11.25">
      <c r="A13" s="1084" t="s">
        <v>1718</v>
      </c>
      <c r="B13" s="1085">
        <v>2011</v>
      </c>
      <c r="E13" s="1086" t="s">
        <v>1719</v>
      </c>
      <c r="F13" s="1103"/>
      <c r="I13" s="1086" t="s">
        <v>175</v>
      </c>
      <c r="K13" s="1109" t="s">
        <v>1668</v>
      </c>
      <c r="V13" s="380" t="s">
        <v>175</v>
      </c>
      <c r="W13" s="1099"/>
      <c r="X13" s="1099"/>
      <c r="Y13" s="1099"/>
      <c r="AW13" s="1130" t="s">
        <v>174</v>
      </c>
      <c r="AX13" s="1130" t="s">
        <v>174</v>
      </c>
      <c r="BB13" s="1130" t="s">
        <v>1720</v>
      </c>
      <c r="BC13" s="1130" t="s">
        <v>1721</v>
      </c>
      <c r="BE13" s="1130">
        <v>2011</v>
      </c>
      <c r="BF13" s="1130" t="s">
        <v>1722</v>
      </c>
      <c r="BH13" s="1078" t="s">
        <v>1723</v>
      </c>
      <c r="BJ13" s="1078" t="s">
        <v>1705</v>
      </c>
      <c r="BL13" s="1078" t="s">
        <v>1705</v>
      </c>
      <c r="BN13" s="1078" t="s">
        <v>1724</v>
      </c>
      <c r="BQ13" s="1291">
        <v>4213783</v>
      </c>
      <c r="BR13" s="1078" t="s">
        <v>1684</v>
      </c>
      <c r="BS13" s="1439"/>
      <c r="BT13" s="1080"/>
      <c r="BU13" s="1080"/>
      <c r="BV13" s="1080"/>
      <c r="BW13" s="1704"/>
      <c r="BX13" s="1700"/>
    </row>
    <row customHeight="1" ht="11.25">
      <c r="A14" s="1084" t="s">
        <v>1725</v>
      </c>
      <c r="B14" s="1085">
        <v>2012</v>
      </c>
      <c r="I14" s="1086" t="s">
        <v>176</v>
      </c>
      <c r="J14" s="1077" t="s">
        <v>1726</v>
      </c>
      <c r="N14" s="1077" t="s">
        <v>1727</v>
      </c>
      <c r="V14" s="1093">
        <v>13</v>
      </c>
      <c r="W14" s="1094"/>
      <c r="X14" s="1094" t="s">
        <v>1535</v>
      </c>
      <c r="Y14" s="1085" t="s">
        <v>1503</v>
      </c>
      <c r="AW14" s="1130" t="s">
        <v>175</v>
      </c>
      <c r="AX14" s="1130" t="s">
        <v>175</v>
      </c>
      <c r="AZ14" s="1077" t="s">
        <v>1728</v>
      </c>
      <c r="BB14" s="1130" t="s">
        <v>1729</v>
      </c>
      <c r="BC14" s="1130" t="s">
        <v>1721</v>
      </c>
      <c r="BE14" s="1130">
        <v>2012</v>
      </c>
      <c r="BH14" s="1078" t="s">
        <v>1644</v>
      </c>
      <c r="BJ14" s="1227" t="s">
        <v>1730</v>
      </c>
      <c r="BL14" s="1227" t="s">
        <v>1730</v>
      </c>
      <c r="BN14" s="1078" t="s">
        <v>1731</v>
      </c>
      <c r="BQ14" s="1291">
        <v>4213782</v>
      </c>
      <c r="BR14" s="1078" t="s">
        <v>214</v>
      </c>
      <c r="BS14" s="1439"/>
      <c r="BT14" s="1080"/>
      <c r="BU14" s="1080"/>
      <c r="BV14" s="1080"/>
      <c r="BW14" s="1704"/>
      <c r="BX14" s="1700"/>
    </row>
    <row customHeight="1" ht="19.5">
      <c r="A15" s="1084" t="s">
        <v>1732</v>
      </c>
      <c r="B15" s="1085">
        <v>2013</v>
      </c>
      <c r="E15" s="1708" t="s">
        <v>1733</v>
      </c>
      <c r="G15" s="1077" t="s">
        <v>1734</v>
      </c>
      <c r="H15" s="1077" t="s">
        <v>1735</v>
      </c>
      <c r="I15" s="1088" t="s">
        <v>177</v>
      </c>
      <c r="J15" s="1099" t="s">
        <v>605</v>
      </c>
      <c r="N15" s="1168" t="s">
        <v>1736</v>
      </c>
      <c r="X15" s="1097"/>
      <c r="AW15" s="1130" t="s">
        <v>176</v>
      </c>
      <c r="AX15" s="1130" t="s">
        <v>176</v>
      </c>
      <c r="AZ15" s="1130" t="s">
        <v>1655</v>
      </c>
      <c r="BB15" s="1130" t="s">
        <v>1737</v>
      </c>
      <c r="BC15" s="1130" t="s">
        <v>1721</v>
      </c>
      <c r="BE15" s="1130">
        <v>2013</v>
      </c>
      <c r="BH15" s="1078" t="s">
        <v>1660</v>
      </c>
      <c r="BJ15" s="1227" t="s">
        <v>1738</v>
      </c>
      <c r="BL15" s="1227" t="s">
        <v>1738</v>
      </c>
      <c r="BN15" s="1078" t="s">
        <v>1739</v>
      </c>
      <c r="BR15" s="1080"/>
      <c r="BS15" s="1441"/>
      <c r="BT15" s="1080"/>
      <c r="BU15" s="1080"/>
      <c r="BV15" s="1080"/>
      <c r="BW15" s="1704"/>
      <c r="BX15" s="1700"/>
    </row>
    <row customHeight="1" ht="21">
      <c r="A16" s="1880" t="s">
        <v>1740</v>
      </c>
      <c r="B16" s="1085">
        <v>2014</v>
      </c>
      <c r="E16" s="1709" t="s">
        <v>1741</v>
      </c>
      <c r="G16" s="1086" t="s">
        <v>1742</v>
      </c>
      <c r="H16" s="1086" t="s">
        <v>1743</v>
      </c>
      <c r="I16" s="1088" t="s">
        <v>1744</v>
      </c>
      <c r="J16" s="1099" t="s">
        <v>578</v>
      </c>
      <c r="N16" s="1168" t="s">
        <v>1745</v>
      </c>
      <c r="AW16" s="1130" t="s">
        <v>177</v>
      </c>
      <c r="AX16" s="1130" t="s">
        <v>177</v>
      </c>
      <c r="AZ16" s="1130" t="s">
        <v>1671</v>
      </c>
      <c r="BB16" s="1130" t="s">
        <v>1746</v>
      </c>
      <c r="BC16" s="1130" t="s">
        <v>1721</v>
      </c>
      <c r="BE16" s="1130">
        <v>2014</v>
      </c>
      <c r="BH16" s="1078" t="s">
        <v>1676</v>
      </c>
      <c r="BJ16" s="1227" t="s">
        <v>1747</v>
      </c>
      <c r="BL16" s="1227" t="s">
        <v>1747</v>
      </c>
      <c r="BN16" s="1078" t="s">
        <v>1748</v>
      </c>
      <c r="BR16" s="1080"/>
      <c r="BS16" s="1441"/>
      <c r="BT16" s="1080"/>
      <c r="BU16" s="1080"/>
      <c r="BV16" s="1080"/>
      <c r="BW16" s="1704"/>
      <c r="BX16" s="1700"/>
    </row>
    <row customHeight="1" ht="21">
      <c r="A17" s="1084" t="s">
        <v>1749</v>
      </c>
      <c r="B17" s="1085">
        <v>2015</v>
      </c>
      <c r="G17" s="1086" t="s">
        <v>1696</v>
      </c>
      <c r="H17" s="1086" t="s">
        <v>1696</v>
      </c>
      <c r="I17" s="1086" t="s">
        <v>1750</v>
      </c>
      <c r="N17" s="1168" t="s">
        <v>1751</v>
      </c>
      <c r="X17" s="1097"/>
      <c r="AW17" s="1130" t="s">
        <v>1744</v>
      </c>
      <c r="AX17" s="1130" t="s">
        <v>1744</v>
      </c>
      <c r="AZ17" s="1130" t="s">
        <v>1752</v>
      </c>
      <c r="BB17" s="1130" t="s">
        <v>1753</v>
      </c>
      <c r="BC17" s="1130" t="s">
        <v>1604</v>
      </c>
      <c r="BE17" s="1130">
        <v>2015</v>
      </c>
      <c r="BH17" s="1078" t="s">
        <v>1692</v>
      </c>
      <c r="BJ17" s="1227" t="s">
        <v>1754</v>
      </c>
      <c r="BL17" s="1227" t="s">
        <v>1754</v>
      </c>
      <c r="BN17" s="1078" t="s">
        <v>1755</v>
      </c>
      <c r="BR17" s="1077" t="s">
        <v>1546</v>
      </c>
      <c r="BS17" s="1438"/>
      <c r="BU17" s="1077" t="s">
        <v>1756</v>
      </c>
      <c r="BV17" s="1080"/>
      <c r="BW17" s="1700"/>
      <c r="BX17" s="1702" t="s">
        <v>1757</v>
      </c>
      <c r="CA17" s="1077" t="s">
        <v>1758</v>
      </c>
      <c r="CD17" s="1077" t="s">
        <v>1759</v>
      </c>
    </row>
    <row customHeight="1" ht="21">
      <c r="A18" s="1084" t="s">
        <v>1760</v>
      </c>
      <c r="B18" s="1085">
        <v>2016</v>
      </c>
      <c r="E18" s="2015" t="s">
        <v>1761</v>
      </c>
      <c r="I18" s="1086" t="s">
        <v>1762</v>
      </c>
      <c r="N18" s="1168" t="s">
        <v>1763</v>
      </c>
      <c r="X18" s="1097"/>
      <c r="AW18" s="1130" t="s">
        <v>1750</v>
      </c>
      <c r="AX18" s="1130" t="s">
        <v>1750</v>
      </c>
      <c r="BB18" s="1130" t="s">
        <v>1764</v>
      </c>
      <c r="BC18" s="1130" t="s">
        <v>1604</v>
      </c>
      <c r="BE18" s="1130">
        <v>2016</v>
      </c>
      <c r="BH18" s="1078" t="s">
        <v>1706</v>
      </c>
      <c r="BJ18" s="1227" t="s">
        <v>1765</v>
      </c>
      <c r="BL18" s="1227" t="s">
        <v>1765</v>
      </c>
      <c r="BN18" s="1078" t="s">
        <v>1766</v>
      </c>
      <c r="BQ18" s="1442" t="s">
        <v>1576</v>
      </c>
      <c r="BR18" s="1169" t="s">
        <v>1577</v>
      </c>
      <c r="BS18" s="284"/>
      <c r="BT18" s="1442" t="s">
        <v>1767</v>
      </c>
      <c r="BU18" s="1169" t="s">
        <v>1768</v>
      </c>
      <c r="BV18" s="1080"/>
      <c r="BW18" s="1707" t="s">
        <v>1769</v>
      </c>
      <c r="BX18" s="1701" t="s">
        <v>1770</v>
      </c>
      <c r="BZ18" s="1442" t="s">
        <v>1771</v>
      </c>
      <c r="CA18" s="1169" t="s">
        <v>1772</v>
      </c>
      <c r="CC18" s="1442" t="s">
        <v>1773</v>
      </c>
      <c r="CD18" s="1169" t="s">
        <v>1774</v>
      </c>
    </row>
    <row customHeight="1" ht="21">
      <c r="A19" s="1880" t="s">
        <v>1775</v>
      </c>
      <c r="B19" s="1085">
        <v>2017</v>
      </c>
      <c r="E19" s="1084" t="s">
        <v>189</v>
      </c>
      <c r="I19" s="1086" t="s">
        <v>1776</v>
      </c>
      <c r="N19" s="1168" t="s">
        <v>1777</v>
      </c>
      <c r="X19" s="1097"/>
      <c r="AW19" s="1130" t="s">
        <v>1762</v>
      </c>
      <c r="AX19" s="1130" t="s">
        <v>1762</v>
      </c>
      <c r="AZ19" s="1077" t="s">
        <v>1778</v>
      </c>
      <c r="BB19" s="1130" t="s">
        <v>1779</v>
      </c>
      <c r="BC19" s="1130" t="s">
        <v>1604</v>
      </c>
      <c r="BE19" s="1130">
        <v>2017</v>
      </c>
      <c r="BH19" s="1078" t="s">
        <v>1780</v>
      </c>
      <c r="BJ19" s="1227" t="s">
        <v>1781</v>
      </c>
      <c r="BL19" s="1227" t="s">
        <v>1781</v>
      </c>
      <c r="BQ19" s="1291">
        <v>4190064</v>
      </c>
      <c r="BR19" s="1078" t="s">
        <v>1782</v>
      </c>
      <c r="BS19" s="1439"/>
      <c r="BT19" s="1291">
        <v>4189671</v>
      </c>
      <c r="BU19" s="1078" t="s">
        <v>1783</v>
      </c>
      <c r="BV19" s="1080"/>
      <c r="BW19" s="1705">
        <v>4189706</v>
      </c>
      <c r="BX19" s="1703" t="s">
        <v>1784</v>
      </c>
      <c r="BZ19" s="1291">
        <v>4189714</v>
      </c>
      <c r="CA19" s="1078" t="s">
        <v>1785</v>
      </c>
      <c r="CC19" s="1291">
        <v>4189708</v>
      </c>
      <c r="CD19" s="1078" t="s">
        <v>1786</v>
      </c>
    </row>
    <row customHeight="1" ht="21">
      <c r="A20" s="1084" t="s">
        <v>1787</v>
      </c>
      <c r="B20" s="1085">
        <v>2018</v>
      </c>
      <c r="E20" s="1084" t="s">
        <v>1535</v>
      </c>
      <c r="I20" s="1086" t="s">
        <v>1788</v>
      </c>
      <c r="N20" s="1168" t="s">
        <v>1789</v>
      </c>
      <c r="AW20" s="1130" t="s">
        <v>1776</v>
      </c>
      <c r="AX20" s="1130" t="s">
        <v>1776</v>
      </c>
      <c r="AZ20" s="1130" t="s">
        <v>1790</v>
      </c>
      <c r="BB20" s="1130" t="s">
        <v>1791</v>
      </c>
      <c r="BC20" s="1130" t="s">
        <v>1721</v>
      </c>
      <c r="BE20" s="1130">
        <v>2018</v>
      </c>
      <c r="BH20" s="1078" t="s">
        <v>1717</v>
      </c>
      <c r="BJ20" s="1078" t="s">
        <v>1644</v>
      </c>
      <c r="BL20" s="1078" t="s">
        <v>1644</v>
      </c>
      <c r="BQ20" s="1291">
        <v>4190065</v>
      </c>
      <c r="BR20" s="1078" t="s">
        <v>1792</v>
      </c>
      <c r="BS20" s="1439"/>
      <c r="BT20" s="1291">
        <v>4189672</v>
      </c>
      <c r="BU20" s="1078" t="s">
        <v>1793</v>
      </c>
      <c r="BV20" s="1080"/>
      <c r="BW20" s="1705">
        <v>4189705</v>
      </c>
      <c r="BX20" s="1703" t="s">
        <v>1794</v>
      </c>
      <c r="BZ20" s="1291">
        <v>4189713</v>
      </c>
      <c r="CA20" s="1078" t="s">
        <v>1794</v>
      </c>
      <c r="CC20" s="1291">
        <v>4189709</v>
      </c>
      <c r="CD20" s="1078" t="s">
        <v>1795</v>
      </c>
    </row>
    <row customHeight="1" ht="21">
      <c r="A21" s="1084" t="s">
        <v>1796</v>
      </c>
      <c r="B21" s="1085">
        <v>2019</v>
      </c>
      <c r="I21" s="1086" t="s">
        <v>1797</v>
      </c>
      <c r="N21" s="1168" t="s">
        <v>1798</v>
      </c>
      <c r="AW21" s="1130" t="s">
        <v>1788</v>
      </c>
      <c r="AX21" s="1130" t="s">
        <v>1788</v>
      </c>
      <c r="AZ21" s="1130" t="s">
        <v>1799</v>
      </c>
      <c r="BB21" s="1130" t="s">
        <v>1800</v>
      </c>
      <c r="BC21" s="1130" t="s">
        <v>1604</v>
      </c>
      <c r="BE21" s="1130">
        <v>2019</v>
      </c>
      <c r="BH21" s="1078" t="s">
        <v>1724</v>
      </c>
      <c r="BJ21" s="1078" t="s">
        <v>1660</v>
      </c>
      <c r="BL21" s="1078" t="s">
        <v>1660</v>
      </c>
      <c r="BQ21" s="1291">
        <v>4190066</v>
      </c>
      <c r="BR21" s="1078" t="s">
        <v>1801</v>
      </c>
      <c r="BS21" s="1439"/>
      <c r="BT21" s="1291">
        <v>4189673</v>
      </c>
      <c r="BU21" s="1078" t="s">
        <v>1802</v>
      </c>
      <c r="BV21" s="1080"/>
      <c r="BW21" s="1705">
        <v>4189707</v>
      </c>
      <c r="BX21" s="1703" t="s">
        <v>1803</v>
      </c>
      <c r="BZ21" s="1291">
        <v>4189712</v>
      </c>
      <c r="CA21" s="1078" t="s">
        <v>1804</v>
      </c>
      <c r="CC21" s="1291">
        <v>4189710</v>
      </c>
      <c r="CD21" s="1078" t="s">
        <v>1805</v>
      </c>
    </row>
    <row customHeight="1" ht="21">
      <c r="A22" s="1084" t="s">
        <v>1806</v>
      </c>
      <c r="B22" s="1085">
        <v>2020</v>
      </c>
      <c r="N22" s="1168" t="s">
        <v>1807</v>
      </c>
      <c r="AW22" s="1130" t="s">
        <v>1797</v>
      </c>
      <c r="AX22" s="1130" t="s">
        <v>1797</v>
      </c>
      <c r="AZ22" s="1130" t="s">
        <v>1808</v>
      </c>
      <c r="BB22" s="1130" t="s">
        <v>1809</v>
      </c>
      <c r="BC22" s="1130" t="s">
        <v>1604</v>
      </c>
      <c r="BE22" s="1130">
        <v>2020</v>
      </c>
      <c r="BH22" s="1078" t="s">
        <v>1731</v>
      </c>
      <c r="BJ22" s="1078" t="s">
        <v>1676</v>
      </c>
      <c r="BL22" s="1078" t="s">
        <v>1676</v>
      </c>
      <c r="BQ22" s="1291">
        <v>4190067</v>
      </c>
      <c r="BR22" s="1078" t="s">
        <v>1810</v>
      </c>
      <c r="BS22" s="1439"/>
      <c r="BT22" s="1291">
        <v>4189674</v>
      </c>
      <c r="BU22" s="1078" t="s">
        <v>1811</v>
      </c>
      <c r="BV22" s="1080"/>
      <c r="BW22" s="1080"/>
      <c r="CC22" s="1291">
        <v>4189711</v>
      </c>
      <c r="CD22" s="1078" t="s">
        <v>315</v>
      </c>
    </row>
    <row customHeight="1" ht="21">
      <c r="A23" s="1084" t="s">
        <v>1812</v>
      </c>
      <c r="B23" s="1085">
        <v>2021</v>
      </c>
      <c r="AW23" s="1130" t="s">
        <v>1813</v>
      </c>
      <c r="AX23" s="1130" t="s">
        <v>1813</v>
      </c>
      <c r="AZ23" s="1130" t="s">
        <v>1814</v>
      </c>
      <c r="BB23" s="1130" t="s">
        <v>1815</v>
      </c>
      <c r="BC23" s="1130" t="s">
        <v>1513</v>
      </c>
      <c r="BE23" s="1130">
        <v>2021</v>
      </c>
      <c r="BH23" s="1078" t="s">
        <v>1739</v>
      </c>
      <c r="BJ23" s="1078" t="s">
        <v>1692</v>
      </c>
      <c r="BL23" s="1078" t="s">
        <v>1692</v>
      </c>
      <c r="BQ23" s="1291">
        <v>4190068</v>
      </c>
      <c r="BR23" s="1078" t="s">
        <v>1816</v>
      </c>
      <c r="BS23" s="1439"/>
      <c r="BT23" s="1291">
        <v>4189675</v>
      </c>
      <c r="BU23" s="1078" t="s">
        <v>1817</v>
      </c>
      <c r="BV23" s="1080"/>
      <c r="BW23" s="1080"/>
      <c r="CC23" s="1291">
        <v>5110778</v>
      </c>
      <c r="CD23" s="1078" t="s">
        <v>1818</v>
      </c>
    </row>
    <row customHeight="1" ht="21">
      <c r="A24" s="1084" t="s">
        <v>1819</v>
      </c>
      <c r="B24" s="1085">
        <v>2022</v>
      </c>
      <c r="AW24" s="1130" t="s">
        <v>1820</v>
      </c>
      <c r="AX24" s="1130" t="s">
        <v>1820</v>
      </c>
      <c r="AZ24" s="1130" t="s">
        <v>1821</v>
      </c>
      <c r="BB24" s="1130" t="s">
        <v>1822</v>
      </c>
      <c r="BC24" s="1130" t="s">
        <v>1823</v>
      </c>
      <c r="BE24" s="1130">
        <v>2022</v>
      </c>
      <c r="BH24" s="1078" t="s">
        <v>1748</v>
      </c>
      <c r="BJ24" s="1078" t="s">
        <v>1706</v>
      </c>
      <c r="BL24" s="1078" t="s">
        <v>1706</v>
      </c>
      <c r="BQ24" s="1291">
        <v>4190069</v>
      </c>
      <c r="BR24" s="1078" t="s">
        <v>1824</v>
      </c>
      <c r="BS24" s="1439"/>
      <c r="BT24" s="1291">
        <v>4189676</v>
      </c>
      <c r="BU24" s="1078" t="s">
        <v>1825</v>
      </c>
      <c r="BV24" s="1080"/>
      <c r="BW24" s="1080"/>
      <c r="CC24" s="1291">
        <v>25575374</v>
      </c>
      <c r="CD24" s="1078" t="s">
        <v>1826</v>
      </c>
    </row>
    <row customHeight="1" ht="11.25">
      <c r="A25" s="1084" t="s">
        <v>1827</v>
      </c>
      <c r="B25" s="1085">
        <v>2023</v>
      </c>
      <c r="AW25" s="1130" t="s">
        <v>1828</v>
      </c>
      <c r="AX25" s="1130" t="s">
        <v>1828</v>
      </c>
      <c r="AZ25" s="1130" t="s">
        <v>1829</v>
      </c>
      <c r="BB25" s="1130" t="s">
        <v>1830</v>
      </c>
      <c r="BC25" s="1130" t="s">
        <v>1823</v>
      </c>
      <c r="BE25" s="1130">
        <v>2023</v>
      </c>
      <c r="BH25" s="1078" t="s">
        <v>1755</v>
      </c>
      <c r="BJ25" s="1078" t="s">
        <v>1780</v>
      </c>
      <c r="BL25" s="1078" t="s">
        <v>1780</v>
      </c>
      <c r="BQ25" s="1291">
        <v>4190070</v>
      </c>
      <c r="BR25" s="1078" t="s">
        <v>1831</v>
      </c>
      <c r="BS25" s="1439"/>
      <c r="BT25" s="1291">
        <v>4189677</v>
      </c>
      <c r="BU25" s="1078" t="s">
        <v>1832</v>
      </c>
      <c r="BV25" s="1080"/>
      <c r="BW25" s="1080"/>
    </row>
    <row customHeight="1" ht="11.25">
      <c r="A26" s="1084" t="s">
        <v>1833</v>
      </c>
      <c r="B26" s="1085">
        <v>2024</v>
      </c>
      <c r="J26" s="1741" t="s">
        <v>1834</v>
      </c>
      <c r="AX26" s="1130" t="s">
        <v>1835</v>
      </c>
      <c r="AZ26" s="1130" t="s">
        <v>1699</v>
      </c>
      <c r="BB26" s="1130" t="s">
        <v>1836</v>
      </c>
      <c r="BC26" s="1130" t="s">
        <v>1823</v>
      </c>
      <c r="BE26" s="1130">
        <v>2024</v>
      </c>
      <c r="BH26" s="1078" t="s">
        <v>1766</v>
      </c>
      <c r="BJ26" s="1078" t="s">
        <v>1717</v>
      </c>
      <c r="BL26" s="1078" t="s">
        <v>1717</v>
      </c>
      <c r="BQ26" s="1291">
        <v>4190071</v>
      </c>
      <c r="BR26" s="1078" t="s">
        <v>1837</v>
      </c>
      <c r="BS26" s="1439"/>
      <c r="BV26" s="1080"/>
      <c r="BW26" s="1080"/>
    </row>
    <row customHeight="1" ht="11.25">
      <c r="A27" s="1084" t="s">
        <v>1838</v>
      </c>
      <c r="B27" s="1085">
        <v>2025</v>
      </c>
      <c r="J27" s="186" t="s">
        <v>105</v>
      </c>
      <c r="AX27" s="1130" t="s">
        <v>1839</v>
      </c>
      <c r="BB27" s="1130" t="s">
        <v>1840</v>
      </c>
      <c r="BC27" s="1130" t="s">
        <v>1823</v>
      </c>
      <c r="BE27" s="1130">
        <v>2025</v>
      </c>
      <c r="BH27" s="1080" t="s">
        <v>22</v>
      </c>
      <c r="BJ27" s="1078" t="s">
        <v>1724</v>
      </c>
      <c r="BL27" s="1078" t="s">
        <v>1724</v>
      </c>
      <c r="BN27" s="1080" t="s">
        <v>22</v>
      </c>
      <c r="BQ27" s="1291">
        <v>4190072</v>
      </c>
      <c r="BR27" s="1078" t="s">
        <v>1841</v>
      </c>
      <c r="BS27" s="1439"/>
      <c r="BV27" s="1080"/>
      <c r="BW27" s="1080"/>
    </row>
    <row customHeight="1" ht="11.25">
      <c r="A28" s="1084" t="s">
        <v>1842</v>
      </c>
      <c r="D28" s="1111"/>
      <c r="E28" s="1112"/>
      <c r="F28" s="1112"/>
      <c r="H28" s="1113" t="s">
        <v>1843</v>
      </c>
      <c r="AX28" s="1130" t="s">
        <v>1844</v>
      </c>
      <c r="AZ28" s="1077" t="s">
        <v>1845</v>
      </c>
      <c r="BB28" s="1130" t="s">
        <v>1846</v>
      </c>
      <c r="BC28" s="1130" t="s">
        <v>1847</v>
      </c>
      <c r="BE28" s="1130">
        <v>2026</v>
      </c>
      <c r="BH28" s="1080" t="s">
        <v>22</v>
      </c>
      <c r="BJ28" s="1078" t="s">
        <v>1731</v>
      </c>
      <c r="BL28" s="1078" t="s">
        <v>1731</v>
      </c>
      <c r="BN28" s="1080" t="s">
        <v>22</v>
      </c>
      <c r="BQ28" s="1291">
        <v>4190073</v>
      </c>
      <c r="BR28" s="1078" t="s">
        <v>1848</v>
      </c>
      <c r="BS28" s="1439"/>
      <c r="BV28" s="1080"/>
      <c r="BW28" s="1080"/>
    </row>
    <row customHeight="1" ht="11.25">
      <c r="A29" s="1084" t="s">
        <v>1849</v>
      </c>
      <c r="D29" s="1114" t="s">
        <v>1850</v>
      </c>
      <c r="E29" s="1115" t="str">
        <f>IF(TEMPLATE_GROUP="","",INDEX(StartDateList,MATCH(TEMPLATE_GROUP,CodeTemplateList,0),1))</f>
        <v>01.04.2026</v>
      </c>
      <c r="F29" s="1115" t="str">
        <f>IF(TEMPLATE_GROUP="","",INDEX(EndDateList,MATCH(TEMPLATE_GROUP,CodeTemplateList,0),1))</f>
        <v>30.06.2026</v>
      </c>
      <c r="H29" s="1116" t="s">
        <v>1851</v>
      </c>
      <c r="AX29" s="1130" t="s">
        <v>1852</v>
      </c>
      <c r="AZ29" s="1130" t="s">
        <v>1498</v>
      </c>
      <c r="BB29" s="1130" t="s">
        <v>1699</v>
      </c>
      <c r="BC29" s="1101"/>
      <c r="BE29" s="1130">
        <v>2027</v>
      </c>
      <c r="BJ29" s="1078" t="s">
        <v>1739</v>
      </c>
      <c r="BL29" s="1078" t="s">
        <v>1739</v>
      </c>
    </row>
    <row customHeight="1" ht="11.25">
      <c r="A30" s="1084" t="s">
        <v>1853</v>
      </c>
      <c r="D30" s="1117"/>
      <c r="E30" s="1118"/>
      <c r="F30" s="1118"/>
      <c r="AX30" s="1130" t="s">
        <v>1854</v>
      </c>
      <c r="AZ30" s="1130" t="s">
        <v>1524</v>
      </c>
      <c r="BE30" s="1130">
        <v>2028</v>
      </c>
      <c r="BJ30" s="1078" t="s">
        <v>1855</v>
      </c>
      <c r="BL30" s="1078" t="s">
        <v>1855</v>
      </c>
    </row>
    <row customHeight="1" ht="12.75">
      <c r="A31" s="1084" t="s">
        <v>1856</v>
      </c>
      <c r="D31" s="1111"/>
      <c r="E31" s="1112"/>
      <c r="F31" s="1112"/>
      <c r="H31" s="1119"/>
      <c r="AX31" s="1130" t="s">
        <v>1857</v>
      </c>
      <c r="AZ31" s="1130" t="s">
        <v>1858</v>
      </c>
      <c r="BE31" s="1130">
        <v>2029</v>
      </c>
      <c r="BJ31" s="1078" t="s">
        <v>1859</v>
      </c>
      <c r="BL31" s="1078" t="s">
        <v>1859</v>
      </c>
    </row>
    <row customHeight="1" ht="11.25">
      <c r="A32" s="1084" t="s">
        <v>1860</v>
      </c>
      <c r="D32" s="1114" t="s">
        <v>1861</v>
      </c>
      <c r="E32" s="1115" t="str">
        <f>IF(TEMPLATE_GROUP="","",INDEX(StartDateList,MATCH(TEMPLATE_GROUP,CodeTemplateList,0),1))</f>
        <v>01.04.2026</v>
      </c>
      <c r="F32" s="1115" t="str">
        <f>IF(TEMPLATE_GROUP="","",INDEX(EndDateList,MATCH(TEMPLATE_GROUP,CodeTemplateList,0),1))</f>
        <v>30.06.2026</v>
      </c>
      <c r="H32" s="1120" t="s">
        <v>1862</v>
      </c>
      <c r="O32" s="1084" t="s">
        <v>1496</v>
      </c>
      <c r="AX32" s="1130" t="s">
        <v>1863</v>
      </c>
      <c r="AZ32" s="1130" t="s">
        <v>1592</v>
      </c>
      <c r="BE32" s="1130">
        <v>2030</v>
      </c>
      <c r="BJ32" s="1078" t="s">
        <v>1748</v>
      </c>
      <c r="BL32" s="1078" t="s">
        <v>1748</v>
      </c>
    </row>
    <row customHeight="1" ht="11.25">
      <c r="A33" s="1084" t="s">
        <v>1864</v>
      </c>
      <c r="O33" s="1084" t="s">
        <v>1521</v>
      </c>
      <c r="AX33" s="1130" t="s">
        <v>1865</v>
      </c>
      <c r="AZ33" s="1130" t="s">
        <v>1497</v>
      </c>
      <c r="BE33" s="1130">
        <v>2031</v>
      </c>
      <c r="BJ33" s="1078" t="s">
        <v>1755</v>
      </c>
      <c r="BL33" s="1078" t="s">
        <v>1755</v>
      </c>
    </row>
    <row customHeight="1" ht="11.25">
      <c r="A34" s="1084" t="s">
        <v>1866</v>
      </c>
      <c r="O34" s="1084" t="s">
        <v>1557</v>
      </c>
      <c r="AX34" s="1130" t="s">
        <v>1867</v>
      </c>
      <c r="BE34" s="1130">
        <v>2032</v>
      </c>
      <c r="BJ34" s="1078" t="s">
        <v>1766</v>
      </c>
      <c r="BL34" s="1078" t="s">
        <v>1766</v>
      </c>
    </row>
    <row customHeight="1" ht="11.25">
      <c r="A35" s="1084" t="s">
        <v>1868</v>
      </c>
      <c r="O35" s="1084" t="s">
        <v>1590</v>
      </c>
      <c r="AX35" s="1130" t="s">
        <v>1869</v>
      </c>
      <c r="AZ35" s="1077" t="s">
        <v>1870</v>
      </c>
      <c r="BE35" s="1130">
        <v>2033</v>
      </c>
      <c r="BL35" s="1078" t="s">
        <v>1871</v>
      </c>
    </row>
    <row customHeight="1" ht="11.25">
      <c r="A36" s="1880" t="s">
        <v>1872</v>
      </c>
      <c r="D36" s="1121" t="s">
        <v>1873</v>
      </c>
      <c r="E36" s="1122" t="s">
        <v>832</v>
      </c>
      <c r="F36" s="1123" t="str">
        <f>INDEX(E37:E41,MATCH(TEMPLATE_SPHERE,F37:F41,0))</f>
        <v>теплоснабжения</v>
      </c>
      <c r="G36" s="1123" t="str">
        <f>INDEX(G37:G41,MATCH(TEMPLATE_SPHERE,F37:F41,0))</f>
        <v>теплоснабжение</v>
      </c>
      <c r="O36" s="1084" t="s">
        <v>1615</v>
      </c>
      <c r="AX36" s="1130" t="s">
        <v>1874</v>
      </c>
      <c r="AZ36" s="1130" t="s">
        <v>1497</v>
      </c>
      <c r="BE36" s="1130">
        <v>2034</v>
      </c>
      <c r="BL36" s="1078" t="s">
        <v>1875</v>
      </c>
    </row>
    <row customHeight="1" ht="11.25">
      <c r="A37" s="1084" t="s">
        <v>1876</v>
      </c>
      <c r="E37" s="417" t="s">
        <v>1877</v>
      </c>
      <c r="F37" s="1124" t="s">
        <v>832</v>
      </c>
      <c r="G37" s="417" t="s">
        <v>1878</v>
      </c>
      <c r="O37" s="1084" t="s">
        <v>1634</v>
      </c>
      <c r="AX37" s="1130" t="s">
        <v>1879</v>
      </c>
      <c r="AZ37" s="1130" t="s">
        <v>1523</v>
      </c>
      <c r="BE37" s="1130">
        <v>2035</v>
      </c>
    </row>
    <row customHeight="1" ht="11.25">
      <c r="A38" s="1084" t="s">
        <v>1880</v>
      </c>
      <c r="E38" s="417" t="s">
        <v>1881</v>
      </c>
      <c r="F38" s="1125" t="s">
        <v>878</v>
      </c>
      <c r="G38" s="417" t="s">
        <v>1882</v>
      </c>
      <c r="O38" s="1084" t="s">
        <v>1651</v>
      </c>
      <c r="AX38" s="1130" t="s">
        <v>1883</v>
      </c>
      <c r="AZ38" s="1130" t="s">
        <v>1558</v>
      </c>
      <c r="BE38" s="1130">
        <v>2036</v>
      </c>
      <c r="BH38" s="1077" t="s">
        <v>1884</v>
      </c>
      <c r="BJ38" s="1077" t="s">
        <v>1885</v>
      </c>
      <c r="BL38" s="1077" t="s">
        <v>1886</v>
      </c>
      <c r="BN38" s="1077" t="s">
        <v>1887</v>
      </c>
    </row>
    <row customHeight="1" ht="11.25">
      <c r="A39" s="1084" t="s">
        <v>1888</v>
      </c>
      <c r="E39" s="417" t="s">
        <v>1889</v>
      </c>
      <c r="F39" s="1125" t="s">
        <v>931</v>
      </c>
      <c r="G39" s="417" t="s">
        <v>1890</v>
      </c>
      <c r="O39" s="1084" t="s">
        <v>1667</v>
      </c>
      <c r="AX39" s="1130" t="s">
        <v>1891</v>
      </c>
      <c r="AZ39" s="1130" t="s">
        <v>1591</v>
      </c>
      <c r="BE39" s="1130">
        <v>2037</v>
      </c>
      <c r="BH39" s="1078" t="s">
        <v>1892</v>
      </c>
      <c r="BJ39" s="1227" t="s">
        <v>1892</v>
      </c>
      <c r="BL39" s="1227" t="s">
        <v>1892</v>
      </c>
      <c r="BN39" s="1078" t="s">
        <v>1893</v>
      </c>
    </row>
    <row customHeight="1" ht="11.25">
      <c r="A40" s="1084" t="s">
        <v>1894</v>
      </c>
      <c r="E40" s="417" t="s">
        <v>1895</v>
      </c>
      <c r="F40" s="1125" t="s">
        <v>918</v>
      </c>
      <c r="G40" s="417" t="s">
        <v>1896</v>
      </c>
      <c r="O40" s="1084" t="s">
        <v>1683</v>
      </c>
      <c r="AX40" s="1130" t="s">
        <v>1897</v>
      </c>
      <c r="BE40" s="1130">
        <v>2038</v>
      </c>
      <c r="BH40" s="1078" t="s">
        <v>1898</v>
      </c>
      <c r="BJ40" s="1227" t="s">
        <v>1309</v>
      </c>
      <c r="BL40" s="1227" t="s">
        <v>1309</v>
      </c>
      <c r="BN40" s="1078" t="s">
        <v>1343</v>
      </c>
    </row>
    <row customHeight="1" ht="11.25">
      <c r="A41" s="1084" t="s">
        <v>1899</v>
      </c>
      <c r="E41" s="417" t="s">
        <v>1900</v>
      </c>
      <c r="F41" s="1125" t="s">
        <v>1901</v>
      </c>
      <c r="G41" s="417" t="s">
        <v>1900</v>
      </c>
      <c r="O41" s="1084" t="s">
        <v>1699</v>
      </c>
      <c r="AX41" s="1130" t="s">
        <v>1902</v>
      </c>
      <c r="AZ41" s="1077" t="s">
        <v>1903</v>
      </c>
      <c r="BE41" s="1130">
        <v>2039</v>
      </c>
      <c r="BH41" s="1078" t="s">
        <v>1904</v>
      </c>
      <c r="BJ41" s="1227" t="s">
        <v>1305</v>
      </c>
      <c r="BL41" s="1227" t="s">
        <v>1305</v>
      </c>
      <c r="BN41" s="1078" t="s">
        <v>1330</v>
      </c>
    </row>
    <row customHeight="1" ht="11.25">
      <c r="A42" s="1084" t="s">
        <v>1905</v>
      </c>
      <c r="AX42" s="1130" t="s">
        <v>1906</v>
      </c>
      <c r="AZ42" s="1130" t="s">
        <v>1496</v>
      </c>
      <c r="BE42" s="1130">
        <v>2040</v>
      </c>
      <c r="BH42" s="1078" t="s">
        <v>1327</v>
      </c>
      <c r="BJ42" s="1227" t="s">
        <v>1307</v>
      </c>
      <c r="BL42" s="1227" t="s">
        <v>1307</v>
      </c>
      <c r="BN42" s="1078" t="s">
        <v>1907</v>
      </c>
    </row>
    <row customHeight="1" ht="11.25">
      <c r="A43" s="1084" t="s">
        <v>1908</v>
      </c>
      <c r="AX43" s="1130" t="s">
        <v>1909</v>
      </c>
      <c r="AZ43" s="1130" t="s">
        <v>1521</v>
      </c>
      <c r="BE43" s="1130">
        <v>2041</v>
      </c>
      <c r="BH43" s="1078" t="s">
        <v>1910</v>
      </c>
      <c r="BJ43" s="1227" t="s">
        <v>1904</v>
      </c>
      <c r="BL43" s="1227" t="s">
        <v>1904</v>
      </c>
      <c r="BN43" s="1078" t="s">
        <v>1911</v>
      </c>
    </row>
    <row customHeight="1" ht="11.25">
      <c r="A44" s="1084" t="s">
        <v>1912</v>
      </c>
      <c r="G44" s="1104">
        <f>YEAR(TODAY())</f>
        <v>2026</v>
      </c>
      <c r="I44" s="809" t="s">
        <v>1913</v>
      </c>
      <c r="J44" s="1099" t="s">
        <v>1914</v>
      </c>
      <c r="K44" s="1099" t="s">
        <v>1915</v>
      </c>
      <c r="AX44" s="1130" t="s">
        <v>1916</v>
      </c>
      <c r="AZ44" s="1130" t="s">
        <v>1557</v>
      </c>
      <c r="BE44" s="1130">
        <v>2042</v>
      </c>
      <c r="BH44" s="1078" t="s">
        <v>1917</v>
      </c>
      <c r="BJ44" s="1227" t="s">
        <v>1327</v>
      </c>
      <c r="BL44" s="1227" t="s">
        <v>1327</v>
      </c>
      <c r="BN44" s="1078" t="s">
        <v>1918</v>
      </c>
    </row>
    <row customHeight="1" ht="11.25">
      <c r="A45" s="1084" t="s">
        <v>1919</v>
      </c>
      <c r="D45" s="1121" t="s">
        <v>1920</v>
      </c>
      <c r="E45" s="1122" t="s">
        <v>1921</v>
      </c>
      <c r="F45" s="807" t="s">
        <v>1922</v>
      </c>
      <c r="G45" s="806" t="s">
        <v>1923</v>
      </c>
      <c r="H45" s="809" t="s">
        <v>1924</v>
      </c>
      <c r="I45" s="1751">
        <f>INDEX(PeriodIsEmptyList,MATCH(TEMPLATE_GROUP,CodeTemplateList,0),1)</f>
        <v>0</v>
      </c>
      <c r="J45" s="1754"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5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30" t="s">
        <v>1925</v>
      </c>
      <c r="AZ45" s="1130" t="s">
        <v>1590</v>
      </c>
      <c r="BE45" s="1130">
        <v>2043</v>
      </c>
      <c r="BH45" s="1078" t="s">
        <v>1926</v>
      </c>
      <c r="BJ45" s="1227" t="s">
        <v>1321</v>
      </c>
      <c r="BL45" s="1227" t="s">
        <v>1321</v>
      </c>
      <c r="BN45" s="1078" t="s">
        <v>1927</v>
      </c>
    </row>
    <row customHeight="1" ht="11.25">
      <c r="A46" s="1084" t="s">
        <v>1928</v>
      </c>
      <c r="E46" s="417" t="s">
        <v>27</v>
      </c>
      <c r="F46" s="1124" t="s">
        <v>1929</v>
      </c>
      <c r="G46" s="1126" t="str">
        <f>_xlfn.IFERROR(IF(TITLE_DATE_FIL="","01.01."&amp;CURRENT_YEAR,"01.01."&amp;YEAR(TITLE_DATE_FIL)),"01.01."&amp;CURRENT_YEAR)</f>
        <v>01.01.2026</v>
      </c>
      <c r="H46" s="1126" t="str">
        <f>_xlfn.IFERROR(IF(TITLE_DATE_FIL="","31.12."&amp;CURRENT_YEAR,"31.12."&amp;YEAR(TITLE_DATE_FIL)),"31.12."&amp;CURRENT_YEAR)</f>
        <v>31.12.2026</v>
      </c>
      <c r="I46" s="1752">
        <f>IF(TITLE_DATE_FIL="",TRUE,FALSE)</f>
        <v>1</v>
      </c>
      <c r="J46" s="1755" t="str">
        <f>"Общая информация о регулируемой организации ("&amp;TEMPLATE_SPHERE_RUS&amp;")"</f>
        <v>Общая информация о регулируемой организации (теплоснабжения)</v>
      </c>
      <c r="K46" s="1756"/>
      <c r="AX46" s="1130" t="s">
        <v>1930</v>
      </c>
      <c r="AZ46" s="1130" t="s">
        <v>1615</v>
      </c>
      <c r="BE46" s="1130">
        <v>2044</v>
      </c>
      <c r="BH46" s="1078" t="s">
        <v>1330</v>
      </c>
      <c r="BJ46" s="1227" t="s">
        <v>1311</v>
      </c>
      <c r="BL46" s="1227" t="s">
        <v>1311</v>
      </c>
      <c r="BN46" s="1078" t="s">
        <v>1931</v>
      </c>
    </row>
    <row customHeight="1" ht="11.25">
      <c r="A47" s="1084" t="s">
        <v>1932</v>
      </c>
      <c r="E47" s="417" t="s">
        <v>33</v>
      </c>
      <c r="F47" s="1125" t="s">
        <v>1921</v>
      </c>
      <c r="G47" s="1126" t="str">
        <f>_xlfn.IFERROR(IF(f_year="","01.01."&amp;CURRENT_YEAR,IF(LEN(f_quart)=0,"01.01."&amp;f_year,IF(f_quart="I квартал","01.01."&amp;f_year,IF(f_quart="II квартал","01.04."&amp;f_year,(IF(f_quart="III квартал","01.07."&amp;f_year,"01.10."&amp;f_year)))))),"01.01."&amp;CURRENT_YEAR)</f>
        <v>01.04.2026</v>
      </c>
      <c r="H47" s="1126" t="str">
        <f>_xlfn.IFERROR(IF(f_year="","31.12."&amp;CURRENT_YEAR,IF(LEN(f_quart)=0,"31.12."&amp;f_year,IF(f_quart="I квартал","31.03."&amp;f_year,IF(f_quart="II квартал","30.06."&amp;f_year,(IF(f_quart="III квартал","30.09."&amp;f_year,"31.12."&amp;f_year)))))),"31.12."&amp;CURRENT_YEAR)</f>
        <v>30.06.2026</v>
      </c>
      <c r="I47" s="1753">
        <f>IF(OR(f_year="",f_quart=""),TRUE,FALSE)</f>
        <v>0</v>
      </c>
      <c r="J47" s="175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56"/>
      <c r="AX47" s="1130" t="s">
        <v>1933</v>
      </c>
      <c r="AZ47" s="1130" t="s">
        <v>1634</v>
      </c>
      <c r="BE47" s="1130">
        <v>2045</v>
      </c>
      <c r="BH47" s="1078" t="s">
        <v>1907</v>
      </c>
      <c r="BJ47" s="1227" t="s">
        <v>1313</v>
      </c>
      <c r="BL47" s="1227" t="s">
        <v>1313</v>
      </c>
      <c r="BN47" s="1078" t="s">
        <v>1934</v>
      </c>
    </row>
    <row customHeight="1" ht="11.25">
      <c r="A48" s="1084" t="s">
        <v>1935</v>
      </c>
      <c r="E48" s="417" t="s">
        <v>1936</v>
      </c>
      <c r="F48" s="1125" t="s">
        <v>1937</v>
      </c>
      <c r="G48" s="1126" t="str">
        <f>_xlfn.IFERROR(IF(f_year="","01.01."&amp;CURRENT_YEAR,"01.01."&amp;f_year),"01.01."&amp;CURRENT_YEAR)</f>
        <v>01.01.2026</v>
      </c>
      <c r="H48" s="1126" t="str">
        <f>_xlfn.IFERROR(IF(f_year="","31.12."&amp;CURRENT_YEAR,"31.12."&amp;f_year),"31.12."&amp;CURRENT_YEAR)</f>
        <v>31.12.2026</v>
      </c>
      <c r="I48" s="1752">
        <f>IF(f_year="",TRUE,FALSE)</f>
        <v>0</v>
      </c>
      <c r="J48" s="1755" t="s">
        <v>1938</v>
      </c>
      <c r="K48" s="1756"/>
      <c r="AX48" s="1130" t="s">
        <v>1939</v>
      </c>
      <c r="AZ48" s="1130" t="s">
        <v>1651</v>
      </c>
      <c r="BE48" s="1130">
        <v>2046</v>
      </c>
      <c r="BH48" s="1078" t="s">
        <v>1911</v>
      </c>
      <c r="BJ48" s="1227" t="s">
        <v>1315</v>
      </c>
      <c r="BL48" s="1227" t="s">
        <v>1315</v>
      </c>
      <c r="BN48" s="1078" t="s">
        <v>1940</v>
      </c>
    </row>
    <row customHeight="1" ht="11.25">
      <c r="A49" s="1084" t="s">
        <v>1941</v>
      </c>
      <c r="E49" s="417" t="s">
        <v>1942</v>
      </c>
      <c r="F49" s="1125" t="s">
        <v>1943</v>
      </c>
      <c r="G49" s="1126" t="str">
        <f>_xlfn.IFERROR(IF(f_year="","01.01."&amp;CURRENT_YEAR,"01.01."&amp;f_year),"01.01."&amp;CURRENT_YEAR)</f>
        <v>01.01.2026</v>
      </c>
      <c r="H49" s="1126" t="str">
        <f>_xlfn.IFERROR(IF(f_year="","31.12."&amp;CURRENT_YEAR,"31.12."&amp;f_year),"31.12."&amp;CURRENT_YEAR)</f>
        <v>31.12.2026</v>
      </c>
      <c r="I49" s="1752">
        <f>IF(f_year="",TRUE,FALSE)</f>
        <v>0</v>
      </c>
      <c r="J49" s="175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56"/>
      <c r="AX49" s="1130" t="s">
        <v>1944</v>
      </c>
      <c r="AZ49" s="1130" t="s">
        <v>1667</v>
      </c>
      <c r="BE49" s="1130">
        <v>2047</v>
      </c>
      <c r="BH49" s="1078" t="s">
        <v>1331</v>
      </c>
      <c r="BJ49" s="1227" t="s">
        <v>1317</v>
      </c>
      <c r="BL49" s="1227" t="s">
        <v>1317</v>
      </c>
    </row>
    <row customHeight="1" ht="11.25">
      <c r="A50" s="1084" t="s">
        <v>1945</v>
      </c>
      <c r="E50" s="417" t="s">
        <v>1946</v>
      </c>
      <c r="F50" s="1125" t="s">
        <v>1301</v>
      </c>
      <c r="G50" s="1126" t="str">
        <f>_xlfn.IFERROR(IF(f_year="","01.01."&amp;CURRENT_YEAR,"01.01."&amp;f_year),"01.01."&amp;CURRENT_YEAR)</f>
        <v>01.01.2026</v>
      </c>
      <c r="H50" s="1126" t="str">
        <f>_xlfn.IFERROR(IF(f_year="","31.12."&amp;CURRENT_YEAR,"31.12."&amp;f_year),"31.12."&amp;CURRENT_YEAR)</f>
        <v>31.12.2026</v>
      </c>
      <c r="I50" s="1752">
        <f>IF(f_year="",TRUE,FALSE)</f>
        <v>0</v>
      </c>
      <c r="J50" s="175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56"/>
      <c r="AX50" s="1130" t="s">
        <v>1947</v>
      </c>
      <c r="AZ50" s="1130" t="s">
        <v>1683</v>
      </c>
      <c r="BE50" s="1130">
        <v>2048</v>
      </c>
      <c r="BH50" s="1078" t="s">
        <v>1918</v>
      </c>
      <c r="BJ50" s="1227" t="s">
        <v>1319</v>
      </c>
      <c r="BL50" s="1227" t="s">
        <v>1319</v>
      </c>
    </row>
    <row customHeight="1" ht="11.25">
      <c r="A51" s="1084" t="s">
        <v>1948</v>
      </c>
      <c r="E51" s="417" t="s">
        <v>1949</v>
      </c>
      <c r="F51" s="1125" t="s">
        <v>1950</v>
      </c>
      <c r="G51" s="1126" t="str">
        <f>_xlfn.IFERROR(IF(TITLE_PERIOD_START="","01.01."&amp;CURRENT_YEAR,"01.01."&amp;YEAR(TITLE_PERIOD_START)),"01.01."&amp;CURRENT_YEAR)</f>
        <v>01.01.2026</v>
      </c>
      <c r="H51" s="1126" t="str">
        <f>_xlfn.IFERROR(IF(TITLE_PERIOD_END="","31.12."&amp;CURRENT_YEAR,"31.12."&amp;YEAR(TITLE_PERIOD_END)),"31.12."&amp;CURRENT_YEAR)</f>
        <v>31.12.2026</v>
      </c>
      <c r="I51" s="1753">
        <f>IF(OR(TITLE_PERIOD_START="",TITLE_PERIOD_END=""),TRUE,FALSE)</f>
        <v>1</v>
      </c>
      <c r="J51" s="175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6"/>
      <c r="AX51" s="1130" t="s">
        <v>1951</v>
      </c>
      <c r="AZ51" s="1130" t="s">
        <v>1699</v>
      </c>
      <c r="BE51" s="1130">
        <v>2049</v>
      </c>
      <c r="BH51" s="1078" t="s">
        <v>1927</v>
      </c>
      <c r="BJ51" s="1227" t="s">
        <v>1952</v>
      </c>
      <c r="BL51" s="1227" t="s">
        <v>1952</v>
      </c>
    </row>
    <row customHeight="1" ht="11.25">
      <c r="A52" s="1084" t="s">
        <v>1953</v>
      </c>
      <c r="E52" s="417" t="s">
        <v>1954</v>
      </c>
      <c r="F52" s="1125" t="s">
        <v>1955</v>
      </c>
      <c r="G52" s="1126" t="str">
        <f>_xlfn.IFERROR(IF(TITLE_PERIOD_START="","01.01."&amp;CURRENT_YEAR,"01.01."&amp;YEAR(TITLE_PERIOD_START)),"01.01."&amp;CURRENT_YEAR)</f>
        <v>01.01.2026</v>
      </c>
      <c r="H52" s="1126" t="str">
        <f>_xlfn.IFERROR(IF(TITLE_PERIOD_END="","31.12."&amp;CURRENT_YEAR,"31.12."&amp;YEAR(TITLE_PERIOD_END)),"31.12."&amp;CURRENT_YEAR)</f>
        <v>31.12.2026</v>
      </c>
      <c r="I52" s="1753">
        <f>IF(OR(TITLE_PERIOD_START="",TITLE_PERIOD_END=""),TRUE,FALSE)</f>
        <v>1</v>
      </c>
      <c r="J52" s="1755" t="str">
        <f>"Показатели, подлежащие раскрытию в сфере "&amp;TEMPLATE_SPHERE_RUS&amp;" (цены и тарифы)"</f>
        <v>Показатели, подлежащие раскрытию в сфере теплоснабжения (цены и тарифы)</v>
      </c>
      <c r="K52" s="1756"/>
      <c r="AX52" s="1130" t="s">
        <v>1956</v>
      </c>
      <c r="AZ52" s="1130" t="s">
        <v>1497</v>
      </c>
      <c r="BE52" s="1130">
        <v>2050</v>
      </c>
      <c r="BH52" s="1078" t="s">
        <v>1931</v>
      </c>
      <c r="BJ52" s="1227" t="s">
        <v>1330</v>
      </c>
      <c r="BL52" s="1227" t="s">
        <v>1330</v>
      </c>
    </row>
    <row customHeight="1" ht="11.25">
      <c r="A53" s="1084" t="s">
        <v>1957</v>
      </c>
      <c r="E53" s="417" t="s">
        <v>1958</v>
      </c>
      <c r="F53" s="1125" t="s">
        <v>1958</v>
      </c>
      <c r="G53" s="1126" t="str">
        <f>_xlfn.IFERROR(IF(f_year="","01.01."&amp;CURRENT_YEAR,"01.01."&amp;f_year),"01.01."&amp;CURRENT_YEAR)</f>
        <v>01.01.2026</v>
      </c>
      <c r="H53" s="1126" t="str">
        <f>_xlfn.IFERROR(IF(f_year="","31.12."&amp;CURRENT_YEAR,"31.12."&amp;f_year),"31.12."&amp;CURRENT_YEAR)</f>
        <v>31.12.2026</v>
      </c>
      <c r="I53" s="1752">
        <f>IF(AND(f_year="",TITLE_DATE_FIL=""),TRUE,FALSE)</f>
        <v>0</v>
      </c>
      <c r="J53" s="1755" t="s">
        <v>1959</v>
      </c>
      <c r="K53" s="1756"/>
      <c r="AX53" s="1130" t="s">
        <v>1960</v>
      </c>
      <c r="BE53" s="1130">
        <v>2051</v>
      </c>
      <c r="BH53" s="1078" t="s">
        <v>1934</v>
      </c>
      <c r="BJ53" s="1227" t="s">
        <v>1907</v>
      </c>
      <c r="BL53" s="1227" t="s">
        <v>1907</v>
      </c>
    </row>
    <row customHeight="1" ht="11.25">
      <c r="A54" s="1084" t="s">
        <v>1961</v>
      </c>
      <c r="AX54" s="1130" t="s">
        <v>1962</v>
      </c>
      <c r="AZ54" s="1077" t="s">
        <v>1963</v>
      </c>
      <c r="BE54" s="1130">
        <v>2052</v>
      </c>
      <c r="BH54" s="1078" t="s">
        <v>1940</v>
      </c>
      <c r="BJ54" s="1227" t="s">
        <v>1911</v>
      </c>
      <c r="BL54" s="1227" t="s">
        <v>1911</v>
      </c>
    </row>
    <row customHeight="1" ht="11.25">
      <c r="A55" s="1084" t="s">
        <v>1964</v>
      </c>
      <c r="AX55" s="1130" t="s">
        <v>1965</v>
      </c>
      <c r="AZ55" s="1130" t="s">
        <v>1499</v>
      </c>
      <c r="BE55" s="1130">
        <v>2053</v>
      </c>
      <c r="BH55" s="1080" t="s">
        <v>22</v>
      </c>
      <c r="BJ55" s="1227" t="s">
        <v>1331</v>
      </c>
      <c r="BL55" s="1227" t="s">
        <v>1331</v>
      </c>
    </row>
    <row customHeight="1" ht="11.25">
      <c r="A56" s="1084" t="s">
        <v>1966</v>
      </c>
      <c r="D56" s="1128" t="s">
        <v>1967</v>
      </c>
      <c r="E56" s="1105" t="s">
        <v>1968</v>
      </c>
      <c r="F56" s="1084" t="s">
        <v>1969</v>
      </c>
      <c r="AX56" s="1130" t="s">
        <v>1970</v>
      </c>
      <c r="AZ56" s="1130" t="s">
        <v>1525</v>
      </c>
      <c r="BE56" s="1130">
        <v>2054</v>
      </c>
      <c r="BH56" s="1080" t="s">
        <v>22</v>
      </c>
      <c r="BJ56" s="1227" t="s">
        <v>1918</v>
      </c>
      <c r="BL56" s="1227" t="s">
        <v>1918</v>
      </c>
    </row>
    <row customHeight="1" ht="11.25">
      <c r="A57" s="1084" t="s">
        <v>1971</v>
      </c>
      <c r="D57" s="1128" t="s">
        <v>1972</v>
      </c>
      <c r="E57" s="1105" t="s">
        <v>1968</v>
      </c>
      <c r="F57" s="1084" t="s">
        <v>1969</v>
      </c>
      <c r="AX57" s="1130" t="s">
        <v>1973</v>
      </c>
      <c r="AZ57" s="1130" t="s">
        <v>1560</v>
      </c>
      <c r="BE57" s="1130">
        <v>2055</v>
      </c>
      <c r="BJ57" s="1227" t="s">
        <v>1927</v>
      </c>
      <c r="BL57" s="1227" t="s">
        <v>1927</v>
      </c>
    </row>
    <row customHeight="1" ht="11.25">
      <c r="A58" s="1084" t="s">
        <v>1974</v>
      </c>
      <c r="D58" s="1128" t="s">
        <v>1975</v>
      </c>
      <c r="E58" s="1105" t="s">
        <v>125</v>
      </c>
      <c r="F58" s="1084" t="s">
        <v>1969</v>
      </c>
      <c r="AX58" s="1130" t="s">
        <v>1976</v>
      </c>
      <c r="BE58" s="1130">
        <v>2056</v>
      </c>
      <c r="BJ58" s="1227" t="s">
        <v>1931</v>
      </c>
      <c r="BL58" s="1227" t="s">
        <v>1931</v>
      </c>
    </row>
    <row customHeight="1" ht="11.25">
      <c r="A59" s="1084" t="s">
        <v>1977</v>
      </c>
      <c r="D59" s="1128" t="s">
        <v>155</v>
      </c>
      <c r="E59" s="1105" t="s">
        <v>1863</v>
      </c>
      <c r="F59" s="1084" t="s">
        <v>1978</v>
      </c>
      <c r="AX59" s="1130" t="s">
        <v>1979</v>
      </c>
      <c r="AZ59" s="1077" t="s">
        <v>1980</v>
      </c>
      <c r="BE59" s="1130">
        <v>2057</v>
      </c>
      <c r="BJ59" s="1227" t="s">
        <v>1934</v>
      </c>
      <c r="BL59" s="1227" t="s">
        <v>1934</v>
      </c>
    </row>
    <row customHeight="1" ht="11.25">
      <c r="A60" s="1084" t="s">
        <v>1981</v>
      </c>
      <c r="D60" s="1128" t="s">
        <v>1982</v>
      </c>
      <c r="E60" s="1105" t="s">
        <v>1863</v>
      </c>
      <c r="F60" s="1084" t="s">
        <v>1978</v>
      </c>
      <c r="AX60" s="1130" t="s">
        <v>1983</v>
      </c>
      <c r="AZ60" s="1130" t="s">
        <v>1500</v>
      </c>
      <c r="BE60" s="1130">
        <v>2058</v>
      </c>
      <c r="BJ60" s="1227" t="s">
        <v>1940</v>
      </c>
      <c r="BL60" s="1227" t="s">
        <v>1940</v>
      </c>
    </row>
    <row customHeight="1" ht="11.25">
      <c r="A61" s="1084" t="s">
        <v>1984</v>
      </c>
      <c r="D61" s="1128" t="s">
        <v>1985</v>
      </c>
      <c r="E61" s="1105" t="s">
        <v>1863</v>
      </c>
      <c r="F61" s="1084" t="s">
        <v>1978</v>
      </c>
      <c r="AX61" s="1130" t="s">
        <v>1986</v>
      </c>
      <c r="AZ61" s="1130" t="s">
        <v>1526</v>
      </c>
      <c r="BE61" s="1130">
        <v>2059</v>
      </c>
      <c r="BL61" s="1227" t="s">
        <v>1323</v>
      </c>
    </row>
    <row customHeight="1" ht="11.25">
      <c r="A62" s="1084" t="s">
        <v>1987</v>
      </c>
      <c r="D62" s="1128" t="s">
        <v>154</v>
      </c>
      <c r="E62" s="1105">
        <v>30</v>
      </c>
      <c r="F62" s="1084" t="s">
        <v>1978</v>
      </c>
      <c r="AZ62" s="1130" t="s">
        <v>1561</v>
      </c>
      <c r="BE62" s="1130">
        <v>2060</v>
      </c>
      <c r="BL62" s="1227" t="s">
        <v>1325</v>
      </c>
    </row>
    <row customHeight="1" ht="11.25">
      <c r="A63" s="1084" t="s">
        <v>16</v>
      </c>
      <c r="D63" s="1128" t="s">
        <v>1988</v>
      </c>
      <c r="E63" s="1105">
        <v>30</v>
      </c>
      <c r="F63" s="1084" t="s">
        <v>1978</v>
      </c>
      <c r="AZ63" s="1130" t="s">
        <v>1593</v>
      </c>
      <c r="BE63" s="1130">
        <v>2061</v>
      </c>
    </row>
    <row customHeight="1" ht="11.25">
      <c r="A64" s="1084" t="s">
        <v>1989</v>
      </c>
      <c r="D64" s="1128" t="s">
        <v>1990</v>
      </c>
      <c r="E64" s="1105">
        <v>30</v>
      </c>
      <c r="F64" s="1084" t="s">
        <v>1978</v>
      </c>
      <c r="AZ64" s="1130" t="s">
        <v>1616</v>
      </c>
      <c r="BE64" s="1130">
        <v>2062</v>
      </c>
    </row>
    <row customHeight="1" ht="11.25">
      <c r="A65" s="1084" t="s">
        <v>1991</v>
      </c>
      <c r="D65" s="1084"/>
      <c r="BE65" s="1130">
        <v>2063</v>
      </c>
    </row>
    <row customHeight="1" ht="11.25">
      <c r="A66" s="1084" t="s">
        <v>1992</v>
      </c>
      <c r="AZ66" s="1077" t="s">
        <v>1993</v>
      </c>
      <c r="BE66" s="1130">
        <v>2064</v>
      </c>
    </row>
    <row customHeight="1" ht="11.25">
      <c r="A67" s="1084" t="s">
        <v>1994</v>
      </c>
      <c r="AZ67" s="1130" t="s">
        <v>1501</v>
      </c>
      <c r="BE67" s="1130">
        <v>2065</v>
      </c>
    </row>
    <row customHeight="1" ht="11.25">
      <c r="A68" s="1084" t="s">
        <v>1995</v>
      </c>
      <c r="AZ68" s="1130" t="s">
        <v>1527</v>
      </c>
      <c r="BE68" s="1130">
        <v>2066</v>
      </c>
      <c r="BH68" s="1077" t="s">
        <v>1996</v>
      </c>
      <c r="BJ68" s="1077" t="s">
        <v>1997</v>
      </c>
      <c r="BL68" s="1077" t="s">
        <v>1998</v>
      </c>
      <c r="BN68" s="1077" t="s">
        <v>1999</v>
      </c>
    </row>
    <row customHeight="1" ht="11.25">
      <c r="A69" s="1084" t="s">
        <v>2000</v>
      </c>
      <c r="AZ69" s="1130" t="s">
        <v>1562</v>
      </c>
      <c r="BE69" s="1130">
        <v>2067</v>
      </c>
      <c r="BH69" s="1078" t="s">
        <v>2001</v>
      </c>
      <c r="BI69" s="1127" t="s">
        <v>124</v>
      </c>
      <c r="BJ69" s="1078" t="s">
        <v>2002</v>
      </c>
      <c r="BK69" s="1127" t="s">
        <v>124</v>
      </c>
      <c r="BL69" s="1078" t="s">
        <v>2003</v>
      </c>
      <c r="BM69" s="1080" t="s">
        <v>124</v>
      </c>
      <c r="BN69" s="1078" t="s">
        <v>2004</v>
      </c>
    </row>
    <row customHeight="1" ht="11.25">
      <c r="A70" s="1084" t="s">
        <v>2005</v>
      </c>
      <c r="AZ70" s="1130" t="s">
        <v>1594</v>
      </c>
      <c r="BE70" s="1130">
        <v>2068</v>
      </c>
      <c r="BH70" s="1078" t="s">
        <v>2006</v>
      </c>
      <c r="BJ70" s="1078" t="s">
        <v>2007</v>
      </c>
      <c r="BL70" s="1078" t="s">
        <v>2008</v>
      </c>
      <c r="BN70" s="1078" t="s">
        <v>2009</v>
      </c>
    </row>
    <row customHeight="1" ht="11.25">
      <c r="A71" s="1084" t="s">
        <v>2010</v>
      </c>
      <c r="AZ71" s="1130" t="s">
        <v>1596</v>
      </c>
      <c r="BE71" s="1130">
        <v>2069</v>
      </c>
      <c r="BH71" s="1078" t="s">
        <v>2011</v>
      </c>
      <c r="BI71" s="1127" t="s">
        <v>90</v>
      </c>
      <c r="BJ71" s="1078" t="s">
        <v>2012</v>
      </c>
      <c r="BK71" s="1127" t="s">
        <v>90</v>
      </c>
      <c r="BL71" s="1078" t="s">
        <v>2013</v>
      </c>
      <c r="BM71" s="1080" t="s">
        <v>90</v>
      </c>
      <c r="BN71" s="1078" t="s">
        <v>2014</v>
      </c>
    </row>
    <row customHeight="1" ht="11.25">
      <c r="A72" s="1084" t="s">
        <v>2015</v>
      </c>
      <c r="AZ72" s="1130" t="s">
        <v>19</v>
      </c>
      <c r="BE72" s="1130">
        <v>2070</v>
      </c>
      <c r="BH72" s="1078" t="s">
        <v>2016</v>
      </c>
      <c r="BJ72" s="1078" t="s">
        <v>2016</v>
      </c>
      <c r="BL72" s="1078" t="s">
        <v>2016</v>
      </c>
      <c r="BN72" s="1078" t="s">
        <v>2017</v>
      </c>
    </row>
    <row customHeight="1" ht="11.25">
      <c r="A73" s="1084" t="s">
        <v>2018</v>
      </c>
      <c r="BH73" s="1078" t="s">
        <v>2019</v>
      </c>
      <c r="BI73" s="1127" t="s">
        <v>125</v>
      </c>
      <c r="BJ73" s="1078" t="s">
        <v>2020</v>
      </c>
      <c r="BK73" s="1127" t="s">
        <v>125</v>
      </c>
      <c r="BL73" s="1078" t="s">
        <v>2021</v>
      </c>
      <c r="BM73" s="1080" t="s">
        <v>125</v>
      </c>
      <c r="BN73" s="1078" t="s">
        <v>2022</v>
      </c>
    </row>
    <row customHeight="1" ht="11.25">
      <c r="A74" s="1084" t="s">
        <v>2023</v>
      </c>
      <c r="BH74" s="1078" t="s">
        <v>2024</v>
      </c>
      <c r="BJ74" s="1078" t="s">
        <v>2025</v>
      </c>
      <c r="BL74" s="1078" t="s">
        <v>2026</v>
      </c>
      <c r="BN74" s="1078" t="s">
        <v>2027</v>
      </c>
    </row>
    <row customHeight="1" ht="11.25">
      <c r="A75" s="1084" t="s">
        <v>2028</v>
      </c>
      <c r="AZ75" s="1077" t="s">
        <v>2029</v>
      </c>
      <c r="BH75" s="1078" t="s">
        <v>2030</v>
      </c>
      <c r="BJ75" s="1078" t="s">
        <v>2030</v>
      </c>
      <c r="BL75" s="1078" t="s">
        <v>2030</v>
      </c>
    </row>
    <row customHeight="1" ht="11.25">
      <c r="A76" s="1084" t="s">
        <v>2031</v>
      </c>
      <c r="AZ76" s="1130" t="s">
        <v>1510</v>
      </c>
      <c r="BH76" s="1078" t="s">
        <v>2032</v>
      </c>
      <c r="BJ76" s="1078" t="s">
        <v>2033</v>
      </c>
      <c r="BL76" s="1078" t="s">
        <v>2034</v>
      </c>
    </row>
    <row customHeight="1" ht="11.25">
      <c r="A77" s="1084" t="s">
        <v>2035</v>
      </c>
      <c r="AZ77" s="1130" t="s">
        <v>1537</v>
      </c>
    </row>
    <row customHeight="1" ht="11.25">
      <c r="A78" s="1084" t="s">
        <v>2036</v>
      </c>
      <c r="AZ78" s="1130" t="s">
        <v>1569</v>
      </c>
    </row>
    <row customHeight="1" ht="11.25">
      <c r="A79" s="1084" t="s">
        <v>2037</v>
      </c>
      <c r="AZ79" s="1130" t="s">
        <v>1600</v>
      </c>
      <c r="BH79" s="1077" t="s">
        <v>2038</v>
      </c>
      <c r="BJ79" s="1077" t="s">
        <v>2039</v>
      </c>
      <c r="BL79" s="1077" t="s">
        <v>2040</v>
      </c>
    </row>
    <row customHeight="1" ht="11.25">
      <c r="A80" s="1084" t="s">
        <v>2041</v>
      </c>
      <c r="AZ80" s="1130" t="s">
        <v>1621</v>
      </c>
      <c r="BH80" s="1078" t="s">
        <v>2042</v>
      </c>
      <c r="BJ80" s="1078" t="s">
        <v>2043</v>
      </c>
      <c r="BL80" s="1078" t="s">
        <v>2044</v>
      </c>
    </row>
    <row customHeight="1" ht="11.25">
      <c r="A81" s="1084" t="s">
        <v>2045</v>
      </c>
      <c r="AZ81" s="1130" t="s">
        <v>1638</v>
      </c>
      <c r="BH81" s="1078" t="s">
        <v>2046</v>
      </c>
      <c r="BJ81" s="1078" t="s">
        <v>2047</v>
      </c>
      <c r="BL81" s="1078" t="s">
        <v>2048</v>
      </c>
    </row>
    <row customHeight="1" ht="11.25">
      <c r="A82" s="1084" t="s">
        <v>2049</v>
      </c>
      <c r="AZ82" s="1130" t="s">
        <v>1653</v>
      </c>
      <c r="BH82" s="1078" t="s">
        <v>2050</v>
      </c>
      <c r="BJ82" s="1078" t="s">
        <v>2051</v>
      </c>
      <c r="BL82" s="1078" t="s">
        <v>2052</v>
      </c>
    </row>
    <row customHeight="1" ht="11.25">
      <c r="A83" s="1084" t="s">
        <v>2053</v>
      </c>
      <c r="BH83" s="1078" t="s">
        <v>2054</v>
      </c>
      <c r="BJ83" s="1078" t="s">
        <v>2055</v>
      </c>
      <c r="BL83" s="1078" t="s">
        <v>2056</v>
      </c>
    </row>
    <row customHeight="1" ht="11.25">
      <c r="A84" s="1084" t="s">
        <v>2057</v>
      </c>
      <c r="AZ84" s="1077" t="s">
        <v>2058</v>
      </c>
    </row>
    <row customHeight="1" ht="11.25">
      <c r="A85" s="1880" t="s">
        <v>2059</v>
      </c>
      <c r="AZ85" s="1130" t="s">
        <v>2060</v>
      </c>
    </row>
    <row customHeight="1" ht="11.25">
      <c r="A86" s="1084" t="s">
        <v>2061</v>
      </c>
      <c r="AZ86" s="1130" t="s">
        <v>2062</v>
      </c>
      <c r="BH86" s="1077" t="s">
        <v>2063</v>
      </c>
      <c r="BJ86" s="1077" t="s">
        <v>2064</v>
      </c>
      <c r="BL86" s="1077" t="s">
        <v>2065</v>
      </c>
    </row>
    <row customHeight="1" ht="11.25">
      <c r="A87" s="1084" t="s">
        <v>2066</v>
      </c>
      <c r="AZ87" s="1130" t="s">
        <v>2067</v>
      </c>
      <c r="BH87" s="1078" t="s">
        <v>2068</v>
      </c>
      <c r="BJ87" s="1078" t="s">
        <v>2069</v>
      </c>
      <c r="BL87" s="1078" t="s">
        <v>2070</v>
      </c>
    </row>
    <row customHeight="1" ht="11.25">
      <c r="A88" s="1084" t="s">
        <v>2071</v>
      </c>
      <c r="AZ88" s="1616"/>
      <c r="BH88" s="1078" t="s">
        <v>2072</v>
      </c>
      <c r="BJ88" s="1078" t="s">
        <v>2073</v>
      </c>
      <c r="BL88" s="1078" t="s">
        <v>2074</v>
      </c>
    </row>
    <row customHeight="1" ht="11.25">
      <c r="A89" s="1084" t="s">
        <v>2075</v>
      </c>
      <c r="AZ89" s="1077" t="s">
        <v>2076</v>
      </c>
    </row>
    <row customHeight="1" ht="11.25">
      <c r="A90" s="1084" t="s">
        <v>2077</v>
      </c>
      <c r="AZ90" s="1130" t="s">
        <v>1301</v>
      </c>
    </row>
    <row customHeight="1" ht="11.25">
      <c r="A91" s="1084" t="s">
        <v>2078</v>
      </c>
      <c r="AZ91" s="1130" t="s">
        <v>1337</v>
      </c>
      <c r="BH91" s="1077" t="s">
        <v>2079</v>
      </c>
      <c r="BJ91" s="1077" t="s">
        <v>2080</v>
      </c>
      <c r="BL91" s="1077" t="s">
        <v>2081</v>
      </c>
    </row>
    <row customHeight="1" ht="11.25">
      <c r="AZ92" s="1130" t="s">
        <v>2082</v>
      </c>
      <c r="BH92" s="1078" t="s">
        <v>2083</v>
      </c>
      <c r="BJ92" s="1078" t="s">
        <v>2084</v>
      </c>
      <c r="BL92" s="1078" t="s">
        <v>2085</v>
      </c>
    </row>
    <row customHeight="1" ht="11.25">
      <c r="AZ93" s="1130" t="s">
        <v>2086</v>
      </c>
      <c r="BH93" s="1078" t="s">
        <v>2087</v>
      </c>
      <c r="BJ93" s="1078" t="s">
        <v>2088</v>
      </c>
      <c r="BL93" s="1078" t="s">
        <v>2089</v>
      </c>
    </row>
    <row customHeight="1" ht="11.25">
      <c r="AZ94" s="1130" t="s">
        <v>2090</v>
      </c>
    </row>
    <row r="96" customHeight="1" ht="11.25">
      <c r="AZ96" s="1077" t="s">
        <v>2091</v>
      </c>
      <c r="BH96" s="1077" t="s">
        <v>2092</v>
      </c>
      <c r="BJ96" s="1077" t="s">
        <v>2093</v>
      </c>
      <c r="BL96" s="1077" t="s">
        <v>2094</v>
      </c>
      <c r="BN96" s="1077" t="s">
        <v>2095</v>
      </c>
    </row>
    <row customHeight="1" ht="11.25">
      <c r="AZ97" s="1911" t="s">
        <v>2096</v>
      </c>
      <c r="BA97" s="1912" t="s">
        <v>2097</v>
      </c>
      <c r="BH97" s="1078" t="s">
        <v>2098</v>
      </c>
      <c r="BJ97" s="1078" t="s">
        <v>2099</v>
      </c>
      <c r="BL97" s="1078" t="s">
        <v>2100</v>
      </c>
      <c r="BN97" s="1078" t="s">
        <v>2101</v>
      </c>
    </row>
    <row customHeight="1" ht="11.25">
      <c r="AZ98" s="1911" t="s">
        <v>2102</v>
      </c>
      <c r="BA98" s="1912" t="s">
        <v>2103</v>
      </c>
      <c r="BH98" s="1078" t="s">
        <v>2104</v>
      </c>
      <c r="BJ98" s="1078" t="s">
        <v>2105</v>
      </c>
      <c r="BL98" s="1078" t="s">
        <v>2106</v>
      </c>
      <c r="BN98" s="1078" t="s">
        <v>2107</v>
      </c>
    </row>
    <row customHeight="1" ht="22.5">
      <c r="AZ99" s="1911" t="s">
        <v>2108</v>
      </c>
      <c r="BA99" s="191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8" t="s">
        <v>2109</v>
      </c>
      <c r="BJ99" s="1078" t="s">
        <v>2110</v>
      </c>
      <c r="BL99" s="1078" t="s">
        <v>2111</v>
      </c>
      <c r="BN99" s="1078" t="s">
        <v>2112</v>
      </c>
    </row>
    <row customHeight="1" ht="22.5">
      <c r="AZ100" s="1911" t="s">
        <v>2113</v>
      </c>
      <c r="BA100" s="191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8" t="s">
        <v>1699</v>
      </c>
      <c r="BL100" s="1078" t="s">
        <v>1699</v>
      </c>
      <c r="BN100" s="1078" t="s">
        <v>2114</v>
      </c>
    </row>
    <row customHeight="1" ht="22.5">
      <c r="AZ101" s="1911" t="s">
        <v>2115</v>
      </c>
      <c r="BA101" s="1912" t="s">
        <v>2116</v>
      </c>
      <c r="BN101" s="1078" t="s">
        <v>2117</v>
      </c>
    </row>
    <row customHeight="1" ht="22.5">
      <c r="AZ102" s="1911" t="s">
        <v>2118</v>
      </c>
      <c r="BA102" s="191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8" t="s">
        <v>2119</v>
      </c>
    </row>
    <row customHeight="1" ht="11.25">
      <c r="AZ103" s="1911" t="s">
        <v>2120</v>
      </c>
      <c r="BA103" s="1912" t="s">
        <v>2121</v>
      </c>
      <c r="BN103" s="1078" t="s">
        <v>2122</v>
      </c>
    </row>
    <row customHeight="1" ht="11.25">
      <c r="BN104" s="1078" t="s">
        <v>2123</v>
      </c>
    </row>
    <row customHeight="1" ht="11.25">
      <c r="AZ105" s="1702" t="s">
        <v>2124</v>
      </c>
    </row>
    <row customHeight="1" ht="11.25">
      <c r="AZ106" s="1130" t="s">
        <v>2125</v>
      </c>
    </row>
    <row customHeight="1" ht="11.25">
      <c r="AZ107" s="1130" t="s">
        <v>2126</v>
      </c>
      <c r="BH107" s="1077" t="s">
        <v>2127</v>
      </c>
      <c r="BJ107" s="1077" t="s">
        <v>2128</v>
      </c>
      <c r="BL107" s="1077" t="s">
        <v>2129</v>
      </c>
      <c r="BN107" s="1077" t="s">
        <v>2130</v>
      </c>
    </row>
    <row customHeight="1" ht="11.25">
      <c r="AZ108" s="1130" t="s">
        <v>593</v>
      </c>
      <c r="BH108" s="1078" t="s">
        <v>2131</v>
      </c>
      <c r="BJ108" s="1078" t="s">
        <v>2132</v>
      </c>
      <c r="BL108" s="1078" t="s">
        <v>1785</v>
      </c>
      <c r="BN108" s="1078" t="s">
        <v>2133</v>
      </c>
    </row>
    <row customHeight="1" ht="11.25">
      <c r="BH109" s="1078" t="s">
        <v>2134</v>
      </c>
    </row>
    <row customHeight="1" ht="11.25">
      <c r="AZ110" s="1702" t="s">
        <v>2135</v>
      </c>
      <c r="BH110" s="1078" t="s">
        <v>2134</v>
      </c>
    </row>
    <row customHeight="1" ht="11.25">
      <c r="AZ111" s="1911" t="s">
        <v>2096</v>
      </c>
      <c r="BA111" s="1912" t="s">
        <v>2097</v>
      </c>
    </row>
    <row customHeight="1" ht="11.25">
      <c r="AZ112" s="1911" t="s">
        <v>2102</v>
      </c>
      <c r="BA112" s="1912" t="s">
        <v>2103</v>
      </c>
    </row>
    <row customHeight="1" ht="22.5">
      <c r="AZ113" s="1911" t="s">
        <v>2108</v>
      </c>
      <c r="BA113" s="191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11" t="s">
        <v>2113</v>
      </c>
      <c r="BA114" s="191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7" t="s">
        <v>2136</v>
      </c>
    </row>
    <row customHeight="1" ht="22.5">
      <c r="AZ115" s="1911" t="s">
        <v>2118</v>
      </c>
      <c r="BA115" s="191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8" t="s">
        <v>1497</v>
      </c>
    </row>
    <row customHeight="1" ht="11.25">
      <c r="AZ116" s="1911" t="s">
        <v>2120</v>
      </c>
      <c r="BA116" s="1912" t="s">
        <v>2121</v>
      </c>
      <c r="BH116" s="1078" t="s">
        <v>1523</v>
      </c>
    </row>
    <row customHeight="1" ht="11.25">
      <c r="BH117" s="1078" t="s">
        <v>1558</v>
      </c>
    </row>
    <row customHeight="1" ht="11.25">
      <c r="BH118" s="1078" t="s">
        <v>1591</v>
      </c>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8A4C96-8A26-4D12-B95B-0.5FDCEC26}"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11" width="15.00390625" hidden="1" customWidth="1"/>
    <col min="3" max="3" style="465" width="3.00390625" customWidth="1"/>
    <col min="4" max="4" style="466" width="6.00390625" customWidth="1"/>
    <col min="5" max="5" style="465" width="52.00390625" customWidth="1"/>
    <col min="6" max="6" style="465" width="48.00390625" customWidth="1"/>
    <col min="7" max="7" style="465" width="93.00390625" customWidth="1"/>
    <col min="8" max="8" style="465" width="8.00390625" customWidth="1"/>
    <col min="9" max="9" style="465" width="64.00390625" customWidth="1"/>
    <col min="10" max="10" style="465" width="9.140625" hidden="1"/>
  </cols>
  <sheetData>
    <row customHeight="1" ht="11.25" hidden="1">
      <c r="A1" s="511" t="s">
        <v>321</v>
      </c>
      <c r="J1" s="465" t="s">
        <v>14</v>
      </c>
    </row>
    <row customHeight="1" ht="22.5" hidden="1">
      <c r="A2" s="512"/>
      <c r="B2" s="512"/>
      <c r="C2" s="1740" t="s">
        <v>105</v>
      </c>
      <c r="D2" s="1530"/>
      <c r="E2" s="1536"/>
      <c r="F2" s="1559"/>
      <c r="H2" s="485"/>
      <c r="J2" s="465">
        <v>0</v>
      </c>
    </row>
    <row customHeight="1" ht="11.25" hidden="1">
      <c r="J3" s="465">
        <v>0</v>
      </c>
    </row>
    <row customHeight="1" ht="11.549999999999999">
      <c r="A4" s="1560"/>
      <c r="B4" s="1560"/>
      <c r="J4" s="465">
        <v>11</v>
      </c>
    </row>
    <row customHeight="1" ht="27.299999999999997">
      <c r="D5" s="224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9"/>
      <c r="F5" s="2250"/>
      <c r="I5" s="725"/>
      <c r="J5" s="465">
        <v>26</v>
      </c>
    </row>
    <row customHeight="1" ht="18">
      <c r="D6" s="2186" t="str">
        <f>IF(region_name=0,"Не определено",region_name)</f>
        <v>Республика Саха (Якутия)</v>
      </c>
      <c r="E6" s="2186"/>
      <c r="F6" s="2186"/>
      <c r="I6" s="725"/>
      <c r="J6" s="465">
        <v>17</v>
      </c>
    </row>
    <row s="487" customFormat="1" customHeight="1" ht="11.549999999999999">
      <c r="A7" s="511"/>
      <c r="B7" s="511"/>
      <c r="D7" s="724"/>
      <c r="E7" s="724"/>
      <c r="F7" s="762"/>
      <c r="G7" s="724"/>
      <c r="J7" s="487">
        <v>11</v>
      </c>
    </row>
    <row customHeight="1" ht="11.25" hidden="1">
      <c r="A8" s="512"/>
      <c r="B8" s="512"/>
      <c r="C8" s="467"/>
      <c r="D8" s="473"/>
      <c r="E8" s="2217"/>
      <c r="F8" s="2217"/>
      <c r="J8" s="465">
        <v>0</v>
      </c>
    </row>
    <row customHeight="1" ht="11.549999999999999">
      <c r="A9" s="512"/>
      <c r="B9" s="512"/>
      <c r="C9" s="467"/>
      <c r="D9" s="2214" t="s">
        <v>322</v>
      </c>
      <c r="E9" s="2215"/>
      <c r="F9" s="2215"/>
      <c r="G9" s="2218" t="s">
        <v>323</v>
      </c>
      <c r="J9" s="465">
        <v>11</v>
      </c>
    </row>
    <row customHeight="1" ht="11.549999999999999">
      <c r="A10" s="512"/>
      <c r="B10" s="512"/>
      <c r="C10" s="467"/>
      <c r="D10" s="1484" t="s">
        <v>88</v>
      </c>
      <c r="E10" s="1486" t="s">
        <v>324</v>
      </c>
      <c r="F10" s="1486" t="s">
        <v>325</v>
      </c>
      <c r="G10" s="2219"/>
      <c r="J10" s="465">
        <v>11</v>
      </c>
    </row>
    <row customHeight="1" ht="1.05">
      <c r="A11" s="512"/>
      <c r="B11" s="512"/>
      <c r="C11" s="467"/>
      <c r="D11" s="474"/>
      <c r="E11" s="474"/>
      <c r="F11" s="474"/>
      <c r="G11" s="474"/>
      <c r="J11" s="465">
        <v>1</v>
      </c>
    </row>
    <row customHeight="1" ht="24">
      <c r="A12" s="512"/>
      <c r="B12" s="512"/>
      <c r="C12" s="467"/>
      <c r="D12" s="1530">
        <v>1</v>
      </c>
      <c r="E12" s="48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8" t="str">
        <f>IF(org="","",org)</f>
        <v>АО «ДГК» СП «Нерюнгринская ГРЭС»</v>
      </c>
      <c r="G12" s="48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43"/>
      <c r="J12" s="465">
        <v>23</v>
      </c>
    </row>
    <row customHeight="1" ht="19.95">
      <c r="A13" s="512"/>
      <c r="B13" s="512"/>
      <c r="C13" s="467"/>
      <c r="D13" s="1530">
        <v>2</v>
      </c>
      <c r="E13" s="1537" t="s">
        <v>2137</v>
      </c>
      <c r="F13" s="1531" t="s">
        <v>328</v>
      </c>
      <c r="G13" s="484"/>
      <c r="H13" s="1543"/>
      <c r="J13" s="465">
        <v>19</v>
      </c>
    </row>
    <row customHeight="1" ht="19.95">
      <c r="A14" s="512"/>
      <c r="B14" s="512"/>
      <c r="C14" s="467"/>
      <c r="D14" s="1533" t="s">
        <v>733</v>
      </c>
      <c r="E14" s="1534" t="s">
        <v>2138</v>
      </c>
      <c r="F14" s="1536"/>
      <c r="G14" s="1535" t="s">
        <v>2139</v>
      </c>
      <c r="H14" s="1543"/>
      <c r="J14" s="465">
        <v>19</v>
      </c>
    </row>
    <row customHeight="1" ht="19.95">
      <c r="A15" s="512"/>
      <c r="B15" s="512"/>
      <c r="C15" s="467"/>
      <c r="D15" s="1533" t="s">
        <v>329</v>
      </c>
      <c r="E15" s="1534" t="s">
        <v>2140</v>
      </c>
      <c r="F15" s="1536"/>
      <c r="G15" s="1535" t="s">
        <v>2141</v>
      </c>
      <c r="H15" s="1543"/>
      <c r="J15" s="465">
        <v>19</v>
      </c>
    </row>
    <row customHeight="1" ht="24">
      <c r="A16" s="512"/>
      <c r="B16" s="512"/>
      <c r="C16" s="467"/>
      <c r="D16" s="1533" t="s">
        <v>332</v>
      </c>
      <c r="E16" s="1532" t="s">
        <v>2142</v>
      </c>
      <c r="F16" s="1541"/>
      <c r="G16" s="484" t="s">
        <v>2143</v>
      </c>
      <c r="H16" s="1543"/>
      <c r="J16" s="465">
        <v>23</v>
      </c>
    </row>
    <row customHeight="1" ht="48.29999999999999">
      <c r="A17" s="512"/>
      <c r="B17" s="512"/>
      <c r="C17" s="467"/>
      <c r="D17" s="1530">
        <v>3</v>
      </c>
      <c r="E17" s="1537" t="s">
        <v>2144</v>
      </c>
      <c r="F17" s="1536"/>
      <c r="G17" s="484" t="s">
        <v>2145</v>
      </c>
      <c r="H17" s="1543"/>
      <c r="J17" s="465">
        <v>46</v>
      </c>
    </row>
    <row customHeight="1" ht="48.29999999999999">
      <c r="A18" s="1485">
        <v>1</v>
      </c>
      <c r="B18" s="512"/>
      <c r="C18" s="1487"/>
      <c r="D18" s="1530" t="s">
        <v>91</v>
      </c>
      <c r="E18" s="1537" t="s">
        <v>2146</v>
      </c>
      <c r="F18" s="1536"/>
      <c r="G18" s="484" t="s">
        <v>2145</v>
      </c>
      <c r="H18" s="1543"/>
      <c r="I18" s="862"/>
      <c r="J18" s="465">
        <v>46</v>
      </c>
    </row>
    <row customHeight="1" ht="23.25">
      <c r="A19" s="512"/>
      <c r="B19" s="512"/>
      <c r="C19" s="467"/>
      <c r="D19" s="1530" t="s">
        <v>125</v>
      </c>
      <c r="E19" s="1537" t="s">
        <v>2147</v>
      </c>
      <c r="F19" s="1531" t="s">
        <v>328</v>
      </c>
      <c r="G19" s="2481" t="s">
        <v>2148</v>
      </c>
      <c r="H19" s="485"/>
      <c r="J19" s="465">
        <v>22</v>
      </c>
    </row>
    <row s="1540" customFormat="1" customHeight="1" ht="5.25" hidden="1">
      <c r="A20" s="512"/>
      <c r="B20" s="512"/>
      <c r="C20" s="1539"/>
      <c r="D20" s="1538" t="s">
        <v>1398</v>
      </c>
      <c r="E20" s="1024"/>
      <c r="F20" s="1023"/>
      <c r="G20" s="2482"/>
      <c r="J20" s="1540">
        <v>0</v>
      </c>
    </row>
    <row customHeight="1" ht="15.75">
      <c r="A21" s="512"/>
      <c r="B21" s="512"/>
      <c r="C21" s="467"/>
      <c r="D21" s="477"/>
      <c r="E21" s="425" t="s">
        <v>361</v>
      </c>
      <c r="F21" s="479"/>
      <c r="G21" s="2483"/>
      <c r="H21" s="1543"/>
      <c r="J21" s="465">
        <v>15</v>
      </c>
    </row>
    <row s="511" customFormat="1" customHeight="1" ht="26.25">
      <c r="A22" s="512"/>
      <c r="B22" s="512"/>
      <c r="C22" s="512"/>
      <c r="D22" s="1530" t="s">
        <v>92</v>
      </c>
      <c r="E22" s="484" t="s">
        <v>2149</v>
      </c>
      <c r="F22" s="1536"/>
      <c r="G22" s="484" t="s">
        <v>2150</v>
      </c>
      <c r="H22" s="1542"/>
      <c r="J22" s="511">
        <v>25</v>
      </c>
    </row>
    <row s="511" customFormat="1" customHeight="1" ht="19.95">
      <c r="A23" s="512"/>
      <c r="B23" s="512"/>
      <c r="C23" s="512"/>
      <c r="D23" s="1530" t="s">
        <v>93</v>
      </c>
      <c r="E23" s="1537" t="s">
        <v>2151</v>
      </c>
      <c r="F23" s="1541"/>
      <c r="G23" s="484" t="s">
        <v>2152</v>
      </c>
      <c r="H23" s="1542"/>
      <c r="J23" s="511">
        <v>19</v>
      </c>
    </row>
    <row s="511" customFormat="1" customHeight="1" ht="144" hidden="1">
      <c r="A24" s="512"/>
      <c r="B24" s="512"/>
      <c r="C24" s="512"/>
      <c r="D24" s="1530" t="s">
        <v>126</v>
      </c>
      <c r="E24" s="190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8"/>
      <c r="G24" s="190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42"/>
      <c r="J24" s="511">
        <v>0</v>
      </c>
    </row>
    <row customHeight="1" ht="11.25" hidden="1">
      <c r="A25" s="511" t="s">
        <v>82</v>
      </c>
      <c r="B25" s="511">
        <v>0</v>
      </c>
      <c r="C25" s="465">
        <v>3</v>
      </c>
      <c r="D25" s="466">
        <v>6</v>
      </c>
      <c r="E25" s="465">
        <v>52</v>
      </c>
      <c r="F25" s="465">
        <v>48</v>
      </c>
      <c r="G25" s="465">
        <v>93</v>
      </c>
      <c r="H25" s="465">
        <v>8</v>
      </c>
      <c r="I25" s="465">
        <v>64</v>
      </c>
      <c r="J25" s="465">
        <v>11</v>
      </c>
    </row>
  </sheetData>
  <sheetProtection sheet="1" formatColumns="0" formatRows="0" autoFilter="0" sort="1" insertRows="1" insertColumns="1" deleteRows="1" deleteColumns="1"/>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BB9F38-A6A4-5DC6-D4EC-0.74F7E4E4}"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45" width="9.140625" hidden="1"/>
    <col min="2" max="2" style="1376" width="9.140625" hidden="1"/>
    <col min="3" max="3" style="1645" width="3.7109375" hidden="1" customWidth="1"/>
    <col min="4" max="4" style="1852" width="3.00390625" customWidth="1"/>
    <col min="5" max="5" style="1645" width="6.00390625" customWidth="1"/>
    <col min="6" max="6" style="1645" width="46.00390625" customWidth="1"/>
    <col min="7" max="8" style="1645" width="16.00390625" customWidth="1"/>
    <col min="9" max="9" style="1645" width="35.00390625" customWidth="1"/>
    <col min="10" max="10" style="1645" width="89.00390625" customWidth="1"/>
    <col min="11" max="11" style="1634" width="3.00390625" customWidth="1"/>
    <col min="12" max="14" style="1634" width="8.00390625" customWidth="1"/>
    <col min="15" max="15" style="1634" width="25.00390625" customWidth="1"/>
    <col min="16" max="16" style="1634" width="14.00390625" customWidth="1"/>
    <col min="17" max="20" style="235" width="8.00390625" customWidth="1"/>
    <col min="21" max="254" style="1645" width="8.00390625" customWidth="1"/>
    <col min="255" max="255" style="1645" width="9.140625" hidden="1"/>
  </cols>
  <sheetData>
    <row customHeight="1" ht="22.5" hidden="1">
      <c r="F1" s="1641" t="s">
        <v>2153</v>
      </c>
      <c r="G1" s="1641" t="s">
        <v>48</v>
      </c>
      <c r="H1" s="1641" t="s">
        <v>50</v>
      </c>
      <c r="IU1" s="1165" t="s">
        <v>14</v>
      </c>
    </row>
    <row s="1860" customFormat="1" customHeight="1" ht="22.5" hidden="1">
      <c r="A2" s="841"/>
      <c r="B2" s="1170">
        <v>1</v>
      </c>
      <c r="C2" s="1170"/>
      <c r="D2" s="1938" t="s">
        <v>105</v>
      </c>
      <c r="E2" s="1494"/>
      <c r="F2" s="1501"/>
      <c r="G2" s="1501"/>
      <c r="H2" s="1501"/>
      <c r="I2" s="1994"/>
      <c r="J2" s="1995"/>
      <c r="K2" s="1545"/>
      <c r="L2" s="521"/>
      <c r="M2" s="521"/>
      <c r="N2" s="510" t="str">
        <f t="array" ref="N2:N2">IF(ISERROR(MATCH(MID(O2,1,250),MID(note_ter,1,250),0)),"n","y")</f>
        <v>n</v>
      </c>
      <c r="O2" s="521"/>
      <c r="P2" s="510" t="str">
        <f>G2&amp;"("&amp;J2&amp;")"</f>
        <v>()</v>
      </c>
      <c r="Q2" s="1170"/>
      <c r="R2" s="1170"/>
      <c r="S2" s="430"/>
      <c r="T2" s="1170"/>
      <c r="U2" s="1170"/>
      <c r="V2" s="1170"/>
      <c r="W2" s="432"/>
      <c r="X2" s="432"/>
      <c r="Y2" s="429"/>
      <c r="Z2" s="429"/>
      <c r="AA2" s="429"/>
      <c r="AB2" s="429"/>
      <c r="AC2" s="429"/>
      <c r="AD2" s="429"/>
      <c r="AE2" s="429"/>
      <c r="AF2" s="429"/>
      <c r="AG2" s="429"/>
      <c r="AH2" s="429"/>
      <c r="AI2" s="429"/>
      <c r="AJ2" s="429"/>
      <c r="AK2" s="429"/>
      <c r="AL2" s="429"/>
      <c r="AM2" s="429"/>
      <c r="AN2" s="429"/>
      <c r="AO2" s="429"/>
      <c r="AP2" s="429"/>
      <c r="AQ2" s="429"/>
      <c r="AR2" s="429"/>
      <c r="AS2" s="429"/>
      <c r="AT2" s="429"/>
      <c r="AU2" s="429"/>
      <c r="AV2" s="429"/>
      <c r="AW2" s="429"/>
      <c r="AX2" s="429"/>
      <c r="AY2" s="429"/>
      <c r="AZ2" s="429"/>
      <c r="BA2" s="429"/>
      <c r="BB2" s="429"/>
      <c r="BC2" s="429"/>
      <c r="BD2" s="429"/>
      <c r="BE2" s="429"/>
      <c r="BF2" s="429"/>
      <c r="BG2" s="429"/>
      <c r="BH2" s="429"/>
      <c r="BI2" s="429"/>
      <c r="BJ2" s="429"/>
      <c r="BK2" s="429"/>
      <c r="BL2" s="429"/>
      <c r="BM2" s="429"/>
      <c r="BN2" s="429"/>
      <c r="BO2" s="429"/>
      <c r="BP2" s="429"/>
      <c r="BQ2" s="429"/>
      <c r="BR2" s="429"/>
      <c r="BS2" s="429"/>
      <c r="BT2" s="432"/>
      <c r="BU2" s="432"/>
      <c r="BV2" s="432"/>
      <c r="BW2" s="432"/>
      <c r="BX2" s="432"/>
      <c r="BY2" s="432"/>
      <c r="BZ2" s="432"/>
      <c r="CA2" s="432"/>
      <c r="CB2" s="432"/>
      <c r="CC2" s="432"/>
      <c r="IU2" s="433">
        <v>0</v>
      </c>
    </row>
    <row s="1652" customFormat="1" customHeight="1" ht="4.2">
      <c r="A3" s="506"/>
      <c r="D3" s="504"/>
      <c r="F3" s="257" t="s">
        <v>83</v>
      </c>
      <c r="G3" s="504" t="s">
        <v>84</v>
      </c>
      <c r="H3" s="504"/>
      <c r="I3" s="504"/>
      <c r="J3" s="237" t="s">
        <v>85</v>
      </c>
      <c r="K3" s="257" t="s">
        <v>83</v>
      </c>
      <c r="L3" s="257"/>
      <c r="M3" s="257"/>
      <c r="N3" s="257"/>
      <c r="O3" s="258"/>
      <c r="P3" s="257"/>
      <c r="Q3" s="257"/>
      <c r="R3" s="257"/>
      <c r="S3" s="257"/>
      <c r="T3" s="257"/>
      <c r="U3" s="237"/>
      <c r="V3" s="237"/>
      <c r="W3" s="237"/>
      <c r="X3" s="237"/>
      <c r="Y3" s="237"/>
      <c r="Z3" s="237"/>
      <c r="AA3" s="237"/>
      <c r="AB3" s="237"/>
      <c r="AC3" s="237"/>
      <c r="AD3" s="237"/>
      <c r="AE3" s="237"/>
      <c r="AF3" s="237"/>
      <c r="AG3" s="237"/>
      <c r="AH3" s="237"/>
      <c r="AI3" s="237"/>
      <c r="AJ3" s="237"/>
      <c r="AK3" s="237"/>
      <c r="AL3" s="237"/>
      <c r="AM3" s="237"/>
      <c r="AN3" s="237"/>
      <c r="AO3" s="237"/>
      <c r="AP3" s="237"/>
      <c r="AQ3" s="237"/>
      <c r="AR3" s="237"/>
      <c r="AS3" s="237"/>
      <c r="AT3" s="237"/>
      <c r="AU3" s="237"/>
      <c r="AV3" s="237"/>
      <c r="AW3" s="237"/>
      <c r="AX3" s="237"/>
      <c r="AY3" s="237"/>
      <c r="AZ3" s="237"/>
      <c r="BA3" s="237"/>
      <c r="BB3" s="237"/>
      <c r="BC3" s="237"/>
      <c r="BD3" s="237"/>
      <c r="BE3" s="237"/>
      <c r="BF3" s="237"/>
      <c r="BG3" s="237"/>
      <c r="BH3" s="237"/>
      <c r="BI3" s="237"/>
      <c r="BJ3" s="237"/>
      <c r="BK3" s="237"/>
      <c r="BL3" s="237"/>
      <c r="BM3" s="237"/>
      <c r="BN3" s="237"/>
      <c r="BO3" s="237"/>
      <c r="BP3" s="237"/>
      <c r="BQ3" s="237"/>
      <c r="BR3" s="237"/>
      <c r="BS3" s="237"/>
      <c r="BT3" s="237"/>
      <c r="BU3" s="237"/>
      <c r="BV3" s="237"/>
      <c r="BW3" s="237"/>
      <c r="BX3" s="237"/>
      <c r="BY3" s="237"/>
      <c r="BZ3" s="237"/>
      <c r="CA3" s="237"/>
      <c r="CB3" s="237"/>
      <c r="CC3" s="237"/>
      <c r="CD3" s="237"/>
      <c r="CE3" s="237"/>
      <c r="CF3" s="237"/>
      <c r="CG3" s="237"/>
      <c r="CH3" s="237"/>
      <c r="CI3" s="237"/>
      <c r="CJ3" s="237"/>
      <c r="CK3" s="237"/>
      <c r="CL3" s="237"/>
      <c r="CM3" s="237"/>
      <c r="CN3" s="237"/>
      <c r="CO3" s="237"/>
      <c r="CP3" s="237"/>
      <c r="CQ3" s="237"/>
      <c r="CR3" s="237"/>
      <c r="CS3" s="237"/>
      <c r="CT3" s="237"/>
      <c r="CU3" s="237"/>
      <c r="CV3" s="237"/>
      <c r="CW3" s="237"/>
      <c r="CX3" s="237"/>
      <c r="CY3" s="237"/>
      <c r="CZ3" s="237"/>
      <c r="DA3" s="237"/>
      <c r="DB3" s="237"/>
      <c r="DC3" s="237"/>
      <c r="DD3" s="237"/>
      <c r="DE3" s="237"/>
      <c r="DF3" s="237"/>
      <c r="DG3" s="237"/>
      <c r="DH3" s="237"/>
      <c r="DI3" s="237"/>
      <c r="DJ3" s="237"/>
      <c r="DK3" s="237"/>
      <c r="DL3" s="237"/>
      <c r="DM3" s="237"/>
      <c r="DN3" s="237"/>
      <c r="DO3" s="237"/>
      <c r="DP3" s="237"/>
      <c r="DQ3" s="237"/>
      <c r="DR3" s="237"/>
      <c r="DS3" s="237"/>
      <c r="DT3" s="237"/>
      <c r="DU3" s="237"/>
      <c r="DV3" s="237"/>
      <c r="DW3" s="237"/>
      <c r="DX3" s="237"/>
      <c r="DY3" s="237"/>
      <c r="DZ3" s="237"/>
      <c r="EA3" s="237"/>
      <c r="EB3" s="237"/>
      <c r="EC3" s="237"/>
      <c r="ED3" s="237"/>
      <c r="EE3" s="237"/>
      <c r="EF3" s="237"/>
      <c r="EG3" s="237"/>
      <c r="EH3" s="237"/>
      <c r="EI3" s="237"/>
      <c r="EJ3" s="237"/>
      <c r="EK3" s="237"/>
      <c r="EL3" s="237"/>
      <c r="EM3" s="237"/>
      <c r="EN3" s="237"/>
      <c r="EO3" s="237"/>
      <c r="EP3" s="237"/>
      <c r="EQ3" s="237"/>
      <c r="ER3" s="237"/>
      <c r="ES3" s="237"/>
      <c r="ET3" s="237"/>
      <c r="EU3" s="237"/>
      <c r="EV3" s="237"/>
      <c r="EW3" s="237"/>
      <c r="EX3" s="237"/>
      <c r="EY3" s="237"/>
      <c r="EZ3" s="237"/>
      <c r="FA3" s="237"/>
      <c r="FB3" s="237"/>
      <c r="FC3" s="237"/>
      <c r="FD3" s="237"/>
      <c r="FE3" s="237"/>
      <c r="FF3" s="237"/>
      <c r="FG3" s="237"/>
      <c r="FH3" s="237"/>
      <c r="FI3" s="237"/>
      <c r="FJ3" s="237"/>
      <c r="FK3" s="237"/>
      <c r="FL3" s="237"/>
      <c r="FM3" s="237"/>
      <c r="FN3" s="237"/>
      <c r="FO3" s="237"/>
      <c r="FP3" s="237"/>
      <c r="FQ3" s="237"/>
      <c r="FR3" s="237"/>
      <c r="FS3" s="237"/>
      <c r="FT3" s="237"/>
      <c r="FU3" s="237"/>
      <c r="FV3" s="237"/>
      <c r="FW3" s="237"/>
      <c r="FX3" s="237"/>
      <c r="FY3" s="237"/>
      <c r="FZ3" s="237"/>
      <c r="GA3" s="237"/>
      <c r="GB3" s="237"/>
      <c r="GC3" s="237"/>
      <c r="GD3" s="237"/>
      <c r="GE3" s="237"/>
      <c r="GF3" s="237"/>
      <c r="GG3" s="237"/>
      <c r="GH3" s="237"/>
      <c r="GI3" s="237"/>
      <c r="GJ3" s="237"/>
      <c r="GK3" s="237"/>
      <c r="GL3" s="237"/>
      <c r="GM3" s="237"/>
      <c r="GN3" s="237"/>
      <c r="GO3" s="237"/>
      <c r="GP3" s="237"/>
      <c r="GQ3" s="237"/>
      <c r="GR3" s="237"/>
      <c r="GS3" s="237"/>
      <c r="GT3" s="237"/>
      <c r="GU3" s="237"/>
      <c r="GV3" s="237"/>
      <c r="GW3" s="237"/>
      <c r="GX3" s="237"/>
      <c r="GY3" s="237"/>
      <c r="GZ3" s="237"/>
      <c r="HA3" s="237"/>
      <c r="HB3" s="237"/>
      <c r="HC3" s="237"/>
      <c r="HD3" s="237"/>
      <c r="HE3" s="237"/>
      <c r="HF3" s="237"/>
      <c r="HG3" s="237"/>
      <c r="HH3" s="237"/>
      <c r="HI3" s="237"/>
      <c r="HJ3" s="237"/>
      <c r="HK3" s="237"/>
      <c r="HL3" s="237"/>
      <c r="HM3" s="237"/>
      <c r="HN3" s="237"/>
      <c r="HO3" s="237"/>
      <c r="HP3" s="237"/>
      <c r="HQ3" s="237"/>
      <c r="HR3" s="237"/>
      <c r="HS3" s="237"/>
      <c r="HT3" s="237"/>
      <c r="HU3" s="237"/>
      <c r="HV3" s="237"/>
      <c r="HW3" s="237"/>
      <c r="HX3" s="237"/>
      <c r="HY3" s="237"/>
      <c r="HZ3" s="237"/>
      <c r="IA3" s="237"/>
      <c r="IB3" s="237"/>
      <c r="IC3" s="237"/>
      <c r="ID3" s="237"/>
      <c r="IE3" s="237"/>
      <c r="IF3" s="237"/>
      <c r="IG3" s="237"/>
      <c r="IH3" s="237"/>
      <c r="II3" s="237"/>
      <c r="IJ3" s="237"/>
      <c r="IK3" s="237"/>
      <c r="IL3" s="237"/>
      <c r="IM3" s="237"/>
      <c r="IN3" s="237"/>
      <c r="IO3" s="237"/>
      <c r="IP3" s="237"/>
      <c r="IQ3" s="237"/>
      <c r="IR3" s="237"/>
      <c r="IS3" s="237"/>
      <c r="IT3" s="237"/>
      <c r="IU3" s="521">
        <v>4</v>
      </c>
    </row>
    <row s="1829" customFormat="1" customHeight="1" ht="14.699999999999998">
      <c r="A4" s="1165"/>
      <c r="B4" s="1170"/>
      <c r="C4" s="1165"/>
      <c r="D4" s="1505"/>
      <c r="E4" s="519"/>
      <c r="F4" s="1652"/>
      <c r="G4" s="519"/>
      <c r="H4" s="519"/>
      <c r="I4" s="519"/>
      <c r="J4" s="176"/>
      <c r="K4" s="257"/>
      <c r="L4" s="510"/>
      <c r="M4" s="510"/>
      <c r="N4" s="510"/>
      <c r="O4" s="236"/>
      <c r="P4" s="510"/>
      <c r="Q4" s="235"/>
      <c r="R4" s="235"/>
      <c r="S4" s="235"/>
      <c r="T4" s="235"/>
      <c r="IU4" s="517">
        <v>14</v>
      </c>
    </row>
    <row s="1829" customFormat="1" customHeight="1" ht="27.299999999999997">
      <c r="A5" s="1165"/>
      <c r="B5" s="1170"/>
      <c r="C5" s="1165"/>
      <c r="D5" s="1505"/>
      <c r="E5" s="211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10"/>
      <c r="G5" s="2110"/>
      <c r="H5" s="2110"/>
      <c r="I5" s="2110"/>
      <c r="J5" s="2110"/>
      <c r="K5" s="257"/>
      <c r="L5" s="510"/>
      <c r="M5" s="510"/>
      <c r="N5" s="510"/>
      <c r="O5" s="236"/>
      <c r="P5" s="510"/>
      <c r="Q5" s="235"/>
      <c r="R5" s="235"/>
      <c r="S5" s="235"/>
      <c r="T5" s="235"/>
      <c r="IU5" s="517">
        <v>26</v>
      </c>
    </row>
    <row s="1829" customFormat="1" customHeight="1" ht="14.699999999999998">
      <c r="A6" s="1165"/>
      <c r="B6" s="1170"/>
      <c r="C6" s="1165"/>
      <c r="D6" s="1505"/>
      <c r="E6" s="519"/>
      <c r="F6" s="177"/>
      <c r="G6" s="177"/>
      <c r="H6" s="177"/>
      <c r="I6" s="177"/>
      <c r="J6" s="178"/>
      <c r="K6" s="510"/>
      <c r="L6" s="510"/>
      <c r="M6" s="510"/>
      <c r="N6" s="510"/>
      <c r="O6" s="236"/>
      <c r="P6" s="510"/>
      <c r="Q6" s="235"/>
      <c r="R6" s="235"/>
      <c r="S6" s="235"/>
      <c r="T6" s="235"/>
      <c r="IU6" s="517">
        <v>14</v>
      </c>
    </row>
    <row s="1829" customFormat="1" customHeight="1" ht="14.699999999999998">
      <c r="A7" s="1165"/>
      <c r="B7" s="1170"/>
      <c r="C7" s="1165"/>
      <c r="D7" s="1505"/>
      <c r="E7" s="2111" t="s">
        <v>322</v>
      </c>
      <c r="F7" s="2112"/>
      <c r="G7" s="2112"/>
      <c r="H7" s="2112"/>
      <c r="I7" s="2112"/>
      <c r="J7" s="2484" t="s">
        <v>323</v>
      </c>
      <c r="K7" s="510"/>
      <c r="L7" s="510"/>
      <c r="M7" s="510"/>
      <c r="N7" s="510"/>
      <c r="O7" s="236"/>
      <c r="P7" s="510"/>
      <c r="Q7" s="235"/>
      <c r="R7" s="235"/>
      <c r="S7" s="235"/>
      <c r="T7" s="235"/>
      <c r="IU7" s="517">
        <v>14</v>
      </c>
    </row>
    <row s="1829" customFormat="1" customHeight="1" ht="21">
      <c r="A8" s="1165"/>
      <c r="B8" s="1170"/>
      <c r="C8" s="1165"/>
      <c r="D8" s="1505"/>
      <c r="E8" s="1558" t="s">
        <v>88</v>
      </c>
      <c r="F8" s="1550" t="s">
        <v>2153</v>
      </c>
      <c r="G8" s="1550" t="s">
        <v>48</v>
      </c>
      <c r="H8" s="1550" t="s">
        <v>50</v>
      </c>
      <c r="I8" s="1550" t="s">
        <v>2154</v>
      </c>
      <c r="J8" s="2485"/>
      <c r="K8" s="510"/>
      <c r="L8" s="510"/>
      <c r="M8" s="510"/>
      <c r="N8" s="510"/>
      <c r="O8" s="236"/>
      <c r="P8" s="510"/>
      <c r="Q8" s="235"/>
      <c r="R8" s="235"/>
      <c r="S8" s="235"/>
      <c r="T8" s="235"/>
      <c r="IU8" s="517">
        <v>20</v>
      </c>
    </row>
    <row s="1860" customFormat="1" customHeight="1" ht="23.25">
      <c r="A9" s="1641"/>
      <c r="B9" s="1170">
        <v>1</v>
      </c>
      <c r="C9" s="1170"/>
      <c r="D9" s="811"/>
      <c r="E9" s="1494">
        <v>1</v>
      </c>
      <c r="F9" s="1557"/>
      <c r="G9" s="1501"/>
      <c r="H9" s="1501"/>
      <c r="I9" s="1548"/>
      <c r="J9" s="217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45"/>
      <c r="L9" s="521"/>
      <c r="M9" s="521"/>
      <c r="N9" s="510" t="str">
        <f t="array" ref="N9:N9">IF(ISERROR(MATCH(MID(O9,1,250),MID(note_ter,1,250),0)),"n","y")</f>
        <v>n</v>
      </c>
      <c r="O9" s="521"/>
      <c r="P9" s="51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70"/>
      <c r="R9" s="1170"/>
      <c r="S9" s="430"/>
      <c r="T9" s="1170"/>
      <c r="U9" s="1170"/>
      <c r="V9" s="1170"/>
      <c r="W9" s="432"/>
      <c r="X9" s="432"/>
      <c r="Y9" s="429"/>
      <c r="Z9" s="429"/>
      <c r="AA9" s="429"/>
      <c r="AB9" s="429"/>
      <c r="AC9" s="429"/>
      <c r="AD9" s="429"/>
      <c r="AE9" s="429"/>
      <c r="AF9" s="429"/>
      <c r="AG9" s="429"/>
      <c r="AH9" s="429"/>
      <c r="AI9" s="429"/>
      <c r="AJ9" s="429"/>
      <c r="AK9" s="429"/>
      <c r="AL9" s="429"/>
      <c r="AM9" s="429"/>
      <c r="AN9" s="429"/>
      <c r="AO9" s="429"/>
      <c r="AP9" s="429"/>
      <c r="AQ9" s="429"/>
      <c r="AR9" s="429"/>
      <c r="AS9" s="429"/>
      <c r="AT9" s="429"/>
      <c r="AU9" s="429"/>
      <c r="AV9" s="429"/>
      <c r="AW9" s="429"/>
      <c r="AX9" s="429"/>
      <c r="AY9" s="429"/>
      <c r="AZ9" s="429"/>
      <c r="BA9" s="429"/>
      <c r="BB9" s="429"/>
      <c r="BC9" s="429"/>
      <c r="BD9" s="429"/>
      <c r="BE9" s="429"/>
      <c r="BF9" s="429"/>
      <c r="BG9" s="429"/>
      <c r="BH9" s="429"/>
      <c r="BI9" s="429"/>
      <c r="BJ9" s="429"/>
      <c r="BK9" s="429"/>
      <c r="BL9" s="429"/>
      <c r="BM9" s="429"/>
      <c r="BN9" s="429"/>
      <c r="BO9" s="429"/>
      <c r="BP9" s="429"/>
      <c r="BQ9" s="429"/>
      <c r="BR9" s="429"/>
      <c r="BS9" s="429"/>
      <c r="BT9" s="432"/>
      <c r="BU9" s="432"/>
      <c r="BV9" s="432"/>
      <c r="BW9" s="432"/>
      <c r="BX9" s="432"/>
      <c r="BY9" s="432"/>
      <c r="BZ9" s="432"/>
      <c r="CA9" s="432"/>
      <c r="CB9" s="432"/>
      <c r="CC9" s="432"/>
      <c r="IU9" s="433">
        <v>22</v>
      </c>
    </row>
    <row s="1860" customFormat="1" customHeight="1" ht="15.75">
      <c r="A10" s="1641"/>
      <c r="B10" s="1170"/>
      <c r="C10" s="422"/>
      <c r="D10" s="811"/>
      <c r="E10" s="1551"/>
      <c r="F10" s="1510" t="s">
        <v>2155</v>
      </c>
      <c r="G10" s="1552"/>
      <c r="H10" s="1552"/>
      <c r="I10" s="1909"/>
      <c r="J10" s="2181"/>
      <c r="K10" s="1546"/>
      <c r="L10" s="521"/>
      <c r="M10" s="521"/>
      <c r="N10" s="521"/>
      <c r="O10" s="510"/>
      <c r="P10" s="521"/>
      <c r="Q10" s="1170"/>
      <c r="R10" s="1170"/>
      <c r="S10" s="430"/>
      <c r="T10" s="1170"/>
      <c r="U10" s="1170"/>
      <c r="V10" s="1170"/>
      <c r="W10" s="432"/>
      <c r="X10" s="432"/>
      <c r="Y10" s="429"/>
      <c r="Z10" s="429"/>
      <c r="AA10" s="429"/>
      <c r="AB10" s="429"/>
      <c r="AC10" s="429"/>
      <c r="AD10" s="429"/>
      <c r="AE10" s="429"/>
      <c r="AF10" s="429"/>
      <c r="AG10" s="429"/>
      <c r="AH10" s="429"/>
      <c r="AI10" s="429"/>
      <c r="AJ10" s="429"/>
      <c r="AK10" s="429"/>
      <c r="AL10" s="429"/>
      <c r="AM10" s="429"/>
      <c r="AN10" s="429"/>
      <c r="AO10" s="429"/>
      <c r="AP10" s="429"/>
      <c r="AQ10" s="429"/>
      <c r="AR10" s="429"/>
      <c r="AS10" s="429"/>
      <c r="AT10" s="429"/>
      <c r="AU10" s="429"/>
      <c r="AV10" s="429"/>
      <c r="AW10" s="429"/>
      <c r="AX10" s="429"/>
      <c r="AY10" s="429"/>
      <c r="AZ10" s="429"/>
      <c r="BA10" s="429"/>
      <c r="BB10" s="429"/>
      <c r="BC10" s="429"/>
      <c r="BD10" s="429"/>
      <c r="BE10" s="429"/>
      <c r="BF10" s="429"/>
      <c r="BG10" s="429"/>
      <c r="BH10" s="429"/>
      <c r="BI10" s="429"/>
      <c r="BJ10" s="429"/>
      <c r="BK10" s="429"/>
      <c r="BL10" s="429"/>
      <c r="BM10" s="429"/>
      <c r="BN10" s="429"/>
      <c r="BO10" s="429"/>
      <c r="BP10" s="429"/>
      <c r="BQ10" s="429"/>
      <c r="BR10" s="429"/>
      <c r="BS10" s="429"/>
      <c r="BT10" s="432"/>
      <c r="BU10" s="432"/>
      <c r="BV10" s="432"/>
      <c r="BW10" s="432"/>
      <c r="BX10" s="432"/>
      <c r="BY10" s="432"/>
      <c r="BZ10" s="432"/>
      <c r="CA10" s="432"/>
      <c r="CB10" s="432"/>
      <c r="CC10" s="432"/>
      <c r="IU10" s="433">
        <v>15</v>
      </c>
    </row>
    <row s="1829" customFormat="1" customHeight="1" ht="22.049999999999997">
      <c r="A11" s="1165"/>
      <c r="B11" s="1170"/>
      <c r="C11" s="1165"/>
      <c r="D11" s="461"/>
      <c r="E11" s="190"/>
      <c r="F11" s="190"/>
      <c r="G11" s="190"/>
      <c r="H11" s="190"/>
      <c r="I11" s="190"/>
      <c r="J11" s="190"/>
      <c r="K11" s="510"/>
      <c r="L11" s="510"/>
      <c r="M11" s="510"/>
      <c r="N11" s="510"/>
      <c r="O11" s="236"/>
      <c r="P11" s="510"/>
      <c r="Q11" s="235"/>
      <c r="R11" s="235"/>
      <c r="S11" s="235"/>
      <c r="T11" s="235"/>
      <c r="IU11" s="517">
        <v>21</v>
      </c>
    </row>
    <row s="1829" customFormat="1" customHeight="1" ht="14.699999999999998">
      <c r="A12" s="1165"/>
      <c r="B12" s="1170"/>
      <c r="C12" s="1165"/>
      <c r="D12" s="461"/>
      <c r="E12" s="1165"/>
      <c r="F12" s="1165"/>
      <c r="G12" s="1165"/>
      <c r="H12" s="1165"/>
      <c r="I12" s="1165"/>
      <c r="J12" s="1165"/>
      <c r="K12" s="510"/>
      <c r="L12" s="510"/>
      <c r="M12" s="510"/>
      <c r="N12" s="510"/>
      <c r="O12" s="236"/>
      <c r="P12" s="510"/>
      <c r="Q12" s="235"/>
      <c r="R12" s="235"/>
      <c r="S12" s="235"/>
      <c r="T12" s="235"/>
      <c r="IU12" s="517">
        <v>14</v>
      </c>
    </row>
    <row s="1829" customFormat="1" customHeight="1" ht="1.05">
      <c r="A13" s="1165"/>
      <c r="B13" s="1170"/>
      <c r="C13" s="1165"/>
      <c r="D13" s="461"/>
      <c r="E13" s="1165"/>
      <c r="F13" s="1165"/>
      <c r="G13" s="1165"/>
      <c r="H13" s="1165"/>
      <c r="I13" s="1165"/>
      <c r="J13" s="1165"/>
      <c r="K13" s="510"/>
      <c r="L13" s="510"/>
      <c r="M13" s="510"/>
      <c r="N13" s="510"/>
      <c r="O13" s="236"/>
      <c r="P13" s="510"/>
      <c r="Q13" s="235"/>
      <c r="R13" s="235"/>
      <c r="S13" s="235"/>
      <c r="T13" s="235"/>
      <c r="IU13" s="517">
        <v>1</v>
      </c>
    </row>
    <row s="1074" customFormat="1" customHeight="1" ht="10.5">
      <c r="B14" s="844"/>
      <c r="D14" s="192"/>
      <c r="K14" s="510"/>
      <c r="L14" s="510"/>
      <c r="M14" s="510"/>
      <c r="N14" s="510"/>
      <c r="O14" s="236"/>
      <c r="P14" s="510"/>
      <c r="Q14" s="235"/>
      <c r="R14" s="235"/>
      <c r="S14" s="235"/>
      <c r="T14" s="235"/>
      <c r="IU14" s="191">
        <v>10</v>
      </c>
    </row>
    <row s="1074" customFormat="1" customHeight="1" ht="10.5">
      <c r="B15" s="844"/>
      <c r="D15" s="192"/>
      <c r="K15" s="510"/>
      <c r="L15" s="510"/>
      <c r="M15" s="510"/>
      <c r="N15" s="510"/>
      <c r="O15" s="236"/>
      <c r="P15" s="510"/>
      <c r="Q15" s="235"/>
      <c r="R15" s="235"/>
      <c r="S15" s="235"/>
      <c r="T15" s="235"/>
      <c r="IU15" s="191">
        <v>10</v>
      </c>
    </row>
    <row customHeight="1" ht="14.699999999999998">
      <c r="IU16" s="1165">
        <v>14</v>
      </c>
    </row>
    <row customHeight="1" ht="14.699999999999998">
      <c r="IU17" s="1165">
        <v>14</v>
      </c>
    </row>
    <row customHeight="1" ht="14.699999999999998">
      <c r="IU18" s="1165">
        <v>14</v>
      </c>
    </row>
    <row customHeight="1" ht="14.699999999999998">
      <c r="G19" s="383"/>
      <c r="H19" s="383"/>
      <c r="I19" s="383"/>
      <c r="IU19" s="1165">
        <v>14</v>
      </c>
    </row>
    <row customHeight="1" ht="14.699999999999998">
      <c r="IU20" s="1165">
        <v>14</v>
      </c>
    </row>
    <row customHeight="1" ht="14.699999999999998">
      <c r="IU21" s="1165">
        <v>14</v>
      </c>
    </row>
    <row customHeight="1" ht="14.699999999999998">
      <c r="IU22" s="1165">
        <v>14</v>
      </c>
    </row>
    <row customHeight="1" ht="14.699999999999998">
      <c r="K23" s="1165"/>
      <c r="L23" s="1165"/>
      <c r="M23" s="1165"/>
      <c r="IU23" s="1165">
        <v>14</v>
      </c>
    </row>
    <row customHeight="1" ht="22.5" hidden="1">
      <c r="A24" s="1165" t="s">
        <v>82</v>
      </c>
      <c r="B24" s="1170">
        <v>0</v>
      </c>
      <c r="C24" s="1165">
        <v>0</v>
      </c>
      <c r="D24" s="461">
        <v>3</v>
      </c>
      <c r="E24" s="1165">
        <v>6</v>
      </c>
      <c r="F24" s="1165">
        <v>46</v>
      </c>
      <c r="G24" s="1165">
        <v>16</v>
      </c>
      <c r="H24" s="1165">
        <v>16</v>
      </c>
      <c r="I24" s="1165">
        <v>35</v>
      </c>
      <c r="J24" s="1165">
        <v>89</v>
      </c>
      <c r="K24" s="510">
        <v>3</v>
      </c>
      <c r="L24" s="510">
        <v>8</v>
      </c>
      <c r="M24" s="510">
        <v>8</v>
      </c>
      <c r="N24" s="510">
        <v>8</v>
      </c>
      <c r="O24" s="236">
        <v>25</v>
      </c>
      <c r="P24" s="510">
        <v>14</v>
      </c>
      <c r="Q24" s="235">
        <v>8</v>
      </c>
      <c r="R24" s="235">
        <v>8</v>
      </c>
      <c r="S24" s="235">
        <v>8</v>
      </c>
      <c r="T24" s="235">
        <v>8</v>
      </c>
      <c r="U24" s="1165">
        <v>8</v>
      </c>
      <c r="V24" s="1165">
        <v>8</v>
      </c>
      <c r="W24" s="1165">
        <v>8</v>
      </c>
      <c r="X24" s="1165">
        <v>8</v>
      </c>
      <c r="Y24" s="1165">
        <v>8</v>
      </c>
      <c r="Z24" s="1165">
        <v>8</v>
      </c>
      <c r="AA24" s="1165">
        <v>8</v>
      </c>
      <c r="AB24" s="1165">
        <v>8</v>
      </c>
      <c r="AC24" s="1165">
        <v>8</v>
      </c>
      <c r="AD24" s="1165">
        <v>8</v>
      </c>
      <c r="AE24" s="1165">
        <v>8</v>
      </c>
      <c r="AF24" s="1165">
        <v>8</v>
      </c>
      <c r="AG24" s="1165">
        <v>8</v>
      </c>
      <c r="AH24" s="1165">
        <v>8</v>
      </c>
      <c r="AI24" s="1165">
        <v>8</v>
      </c>
      <c r="AJ24" s="1165">
        <v>8</v>
      </c>
      <c r="AK24" s="1165">
        <v>8</v>
      </c>
      <c r="AL24" s="1165">
        <v>8</v>
      </c>
      <c r="AM24" s="1165">
        <v>8</v>
      </c>
      <c r="AN24" s="1165">
        <v>8</v>
      </c>
      <c r="AO24" s="1165">
        <v>8</v>
      </c>
      <c r="AP24" s="1165">
        <v>8</v>
      </c>
      <c r="AQ24" s="1165">
        <v>8</v>
      </c>
      <c r="AR24" s="1165">
        <v>8</v>
      </c>
      <c r="AS24" s="1165">
        <v>8</v>
      </c>
      <c r="AT24" s="1165">
        <v>8</v>
      </c>
      <c r="AU24" s="1165">
        <v>8</v>
      </c>
      <c r="AV24" s="1165">
        <v>8</v>
      </c>
      <c r="AW24" s="1165">
        <v>8</v>
      </c>
      <c r="AX24" s="1165">
        <v>8</v>
      </c>
      <c r="AY24" s="1165">
        <v>8</v>
      </c>
      <c r="AZ24" s="1165">
        <v>8</v>
      </c>
      <c r="BA24" s="1165">
        <v>8</v>
      </c>
      <c r="BB24" s="1165">
        <v>8</v>
      </c>
      <c r="BC24" s="1165">
        <v>8</v>
      </c>
      <c r="BD24" s="1165">
        <v>8</v>
      </c>
      <c r="BE24" s="1165">
        <v>8</v>
      </c>
      <c r="BF24" s="1165">
        <v>8</v>
      </c>
      <c r="BG24" s="1165">
        <v>8</v>
      </c>
      <c r="BH24" s="1165">
        <v>8</v>
      </c>
      <c r="BI24" s="1165">
        <v>8</v>
      </c>
      <c r="BJ24" s="1165">
        <v>8</v>
      </c>
      <c r="BK24" s="1165">
        <v>8</v>
      </c>
      <c r="BL24" s="1165">
        <v>8</v>
      </c>
      <c r="BM24" s="1165">
        <v>8</v>
      </c>
      <c r="BN24" s="1165">
        <v>8</v>
      </c>
      <c r="BO24" s="1165">
        <v>8</v>
      </c>
      <c r="BP24" s="1165">
        <v>8</v>
      </c>
      <c r="BQ24" s="1165">
        <v>8</v>
      </c>
      <c r="BR24" s="1165">
        <v>8</v>
      </c>
      <c r="BS24" s="1165">
        <v>8</v>
      </c>
      <c r="BT24" s="1165">
        <v>8</v>
      </c>
      <c r="BU24" s="1165">
        <v>8</v>
      </c>
      <c r="BV24" s="1165">
        <v>8</v>
      </c>
      <c r="BW24" s="1165">
        <v>8</v>
      </c>
      <c r="BX24" s="1165">
        <v>8</v>
      </c>
      <c r="BY24" s="1165">
        <v>8</v>
      </c>
      <c r="BZ24" s="1165">
        <v>8</v>
      </c>
      <c r="CA24" s="1165">
        <v>8</v>
      </c>
      <c r="CB24" s="1165">
        <v>8</v>
      </c>
      <c r="CC24" s="1165">
        <v>8</v>
      </c>
      <c r="CD24" s="1165">
        <v>8</v>
      </c>
      <c r="CE24" s="1165">
        <v>8</v>
      </c>
      <c r="CF24" s="1165">
        <v>8</v>
      </c>
      <c r="CG24" s="1165">
        <v>8</v>
      </c>
      <c r="CH24" s="1165">
        <v>8</v>
      </c>
      <c r="CI24" s="1165">
        <v>8</v>
      </c>
      <c r="CJ24" s="1165">
        <v>8</v>
      </c>
      <c r="CK24" s="1165">
        <v>8</v>
      </c>
      <c r="CL24" s="1165">
        <v>8</v>
      </c>
      <c r="CM24" s="1165">
        <v>8</v>
      </c>
      <c r="CN24" s="1165">
        <v>8</v>
      </c>
      <c r="CO24" s="1165">
        <v>8</v>
      </c>
      <c r="CP24" s="1165">
        <v>8</v>
      </c>
      <c r="CQ24" s="1165">
        <v>8</v>
      </c>
      <c r="CR24" s="1165">
        <v>8</v>
      </c>
      <c r="CS24" s="1165">
        <v>8</v>
      </c>
      <c r="CT24" s="1165">
        <v>8</v>
      </c>
      <c r="CU24" s="1165">
        <v>8</v>
      </c>
      <c r="CV24" s="1165">
        <v>8</v>
      </c>
      <c r="CW24" s="1165">
        <v>8</v>
      </c>
      <c r="CX24" s="1165">
        <v>8</v>
      </c>
      <c r="CY24" s="1165">
        <v>8</v>
      </c>
      <c r="CZ24" s="1165">
        <v>8</v>
      </c>
      <c r="DA24" s="1165">
        <v>8</v>
      </c>
      <c r="DB24" s="1165">
        <v>8</v>
      </c>
      <c r="DC24" s="1165">
        <v>8</v>
      </c>
      <c r="DD24" s="1165">
        <v>8</v>
      </c>
      <c r="DE24" s="1165">
        <v>8</v>
      </c>
      <c r="DF24" s="1165">
        <v>8</v>
      </c>
      <c r="DG24" s="1165">
        <v>8</v>
      </c>
      <c r="DH24" s="1165">
        <v>8</v>
      </c>
      <c r="DI24" s="1165">
        <v>8</v>
      </c>
      <c r="DJ24" s="1165">
        <v>8</v>
      </c>
      <c r="DK24" s="1165">
        <v>8</v>
      </c>
      <c r="DL24" s="1165">
        <v>8</v>
      </c>
      <c r="DM24" s="1165">
        <v>8</v>
      </c>
      <c r="DN24" s="1165">
        <v>8</v>
      </c>
      <c r="DO24" s="1165">
        <v>8</v>
      </c>
      <c r="DP24" s="1165">
        <v>8</v>
      </c>
      <c r="DQ24" s="1165">
        <v>8</v>
      </c>
      <c r="DR24" s="1165">
        <v>8</v>
      </c>
      <c r="DS24" s="1165">
        <v>8</v>
      </c>
      <c r="DT24" s="1165">
        <v>8</v>
      </c>
      <c r="DU24" s="1165">
        <v>8</v>
      </c>
      <c r="DV24" s="1165">
        <v>8</v>
      </c>
      <c r="DW24" s="1165">
        <v>8</v>
      </c>
      <c r="DX24" s="1165">
        <v>8</v>
      </c>
      <c r="DY24" s="1165">
        <v>8</v>
      </c>
      <c r="DZ24" s="1165">
        <v>8</v>
      </c>
      <c r="EA24" s="1165">
        <v>8</v>
      </c>
      <c r="EB24" s="1165">
        <v>8</v>
      </c>
      <c r="EC24" s="1165">
        <v>8</v>
      </c>
      <c r="ED24" s="1165">
        <v>8</v>
      </c>
      <c r="EE24" s="1165">
        <v>8</v>
      </c>
      <c r="EF24" s="1165">
        <v>8</v>
      </c>
      <c r="EG24" s="1165">
        <v>8</v>
      </c>
      <c r="EH24" s="1165">
        <v>8</v>
      </c>
      <c r="EI24" s="1165">
        <v>8</v>
      </c>
      <c r="EJ24" s="1165">
        <v>8</v>
      </c>
      <c r="EK24" s="1165">
        <v>8</v>
      </c>
      <c r="EL24" s="1165">
        <v>8</v>
      </c>
      <c r="EM24" s="1165">
        <v>8</v>
      </c>
      <c r="EN24" s="1165">
        <v>8</v>
      </c>
      <c r="EO24" s="1165">
        <v>8</v>
      </c>
      <c r="EP24" s="1165">
        <v>8</v>
      </c>
      <c r="EQ24" s="1165">
        <v>8</v>
      </c>
      <c r="ER24" s="1165">
        <v>8</v>
      </c>
      <c r="ES24" s="1165">
        <v>8</v>
      </c>
      <c r="ET24" s="1165">
        <v>8</v>
      </c>
      <c r="EU24" s="1165">
        <v>8</v>
      </c>
      <c r="EV24" s="1165">
        <v>8</v>
      </c>
      <c r="EW24" s="1165">
        <v>8</v>
      </c>
      <c r="EX24" s="1165">
        <v>8</v>
      </c>
      <c r="EY24" s="1165">
        <v>8</v>
      </c>
      <c r="EZ24" s="1165">
        <v>8</v>
      </c>
      <c r="FA24" s="1165">
        <v>8</v>
      </c>
      <c r="FB24" s="1165">
        <v>8</v>
      </c>
      <c r="FC24" s="1165">
        <v>8</v>
      </c>
      <c r="FD24" s="1165">
        <v>8</v>
      </c>
      <c r="FE24" s="1165">
        <v>8</v>
      </c>
      <c r="FF24" s="1165">
        <v>8</v>
      </c>
      <c r="FG24" s="1165">
        <v>8</v>
      </c>
      <c r="FH24" s="1165">
        <v>8</v>
      </c>
      <c r="FI24" s="1165">
        <v>8</v>
      </c>
      <c r="FJ24" s="1165">
        <v>8</v>
      </c>
      <c r="FK24" s="1165">
        <v>8</v>
      </c>
      <c r="FL24" s="1165">
        <v>8</v>
      </c>
      <c r="FM24" s="1165">
        <v>8</v>
      </c>
      <c r="FN24" s="1165">
        <v>8</v>
      </c>
      <c r="FO24" s="1165">
        <v>8</v>
      </c>
      <c r="FP24" s="1165">
        <v>8</v>
      </c>
      <c r="FQ24" s="1165">
        <v>8</v>
      </c>
      <c r="FR24" s="1165">
        <v>8</v>
      </c>
      <c r="FS24" s="1165">
        <v>8</v>
      </c>
      <c r="FT24" s="1165">
        <v>8</v>
      </c>
      <c r="FU24" s="1165">
        <v>8</v>
      </c>
      <c r="FV24" s="1165">
        <v>8</v>
      </c>
      <c r="FW24" s="1165">
        <v>8</v>
      </c>
      <c r="FX24" s="1165">
        <v>8</v>
      </c>
      <c r="FY24" s="1165">
        <v>8</v>
      </c>
      <c r="FZ24" s="1165">
        <v>8</v>
      </c>
      <c r="GA24" s="1165">
        <v>8</v>
      </c>
      <c r="GB24" s="1165">
        <v>8</v>
      </c>
      <c r="GC24" s="1165">
        <v>8</v>
      </c>
      <c r="GD24" s="1165">
        <v>8</v>
      </c>
      <c r="GE24" s="1165">
        <v>8</v>
      </c>
      <c r="GF24" s="1165">
        <v>8</v>
      </c>
      <c r="GG24" s="1165">
        <v>8</v>
      </c>
      <c r="GH24" s="1165">
        <v>8</v>
      </c>
      <c r="GI24" s="1165">
        <v>8</v>
      </c>
      <c r="GJ24" s="1165">
        <v>8</v>
      </c>
      <c r="GK24" s="1165">
        <v>8</v>
      </c>
      <c r="GL24" s="1165">
        <v>8</v>
      </c>
      <c r="GM24" s="1165">
        <v>8</v>
      </c>
      <c r="GN24" s="1165">
        <v>8</v>
      </c>
      <c r="GO24" s="1165">
        <v>8</v>
      </c>
      <c r="GP24" s="1165">
        <v>8</v>
      </c>
      <c r="GQ24" s="1165">
        <v>8</v>
      </c>
      <c r="GR24" s="1165">
        <v>8</v>
      </c>
      <c r="GS24" s="1165">
        <v>8</v>
      </c>
      <c r="GT24" s="1165">
        <v>8</v>
      </c>
      <c r="GU24" s="1165">
        <v>8</v>
      </c>
      <c r="GV24" s="1165">
        <v>8</v>
      </c>
      <c r="GW24" s="1165">
        <v>8</v>
      </c>
      <c r="GX24" s="1165">
        <v>8</v>
      </c>
      <c r="GY24" s="1165">
        <v>8</v>
      </c>
      <c r="GZ24" s="1165">
        <v>8</v>
      </c>
      <c r="HA24" s="1165">
        <v>8</v>
      </c>
      <c r="HB24" s="1165">
        <v>8</v>
      </c>
      <c r="HC24" s="1165">
        <v>8</v>
      </c>
      <c r="HD24" s="1165">
        <v>8</v>
      </c>
      <c r="HE24" s="1165">
        <v>8</v>
      </c>
      <c r="HF24" s="1165">
        <v>8</v>
      </c>
      <c r="HG24" s="1165">
        <v>8</v>
      </c>
      <c r="HH24" s="1165">
        <v>8</v>
      </c>
      <c r="HI24" s="1165">
        <v>8</v>
      </c>
      <c r="HJ24" s="1165">
        <v>8</v>
      </c>
      <c r="HK24" s="1165">
        <v>8</v>
      </c>
      <c r="HL24" s="1165">
        <v>8</v>
      </c>
      <c r="HM24" s="1165">
        <v>8</v>
      </c>
      <c r="HN24" s="1165">
        <v>8</v>
      </c>
      <c r="HO24" s="1165">
        <v>8</v>
      </c>
      <c r="HP24" s="1165">
        <v>8</v>
      </c>
      <c r="HQ24" s="1165">
        <v>8</v>
      </c>
      <c r="HR24" s="1165">
        <v>8</v>
      </c>
      <c r="HS24" s="1165">
        <v>8</v>
      </c>
      <c r="HT24" s="1165">
        <v>8</v>
      </c>
      <c r="HU24" s="1165">
        <v>8</v>
      </c>
      <c r="HV24" s="1165">
        <v>8</v>
      </c>
      <c r="HW24" s="1165">
        <v>8</v>
      </c>
      <c r="HX24" s="1165">
        <v>8</v>
      </c>
      <c r="HY24" s="1165">
        <v>8</v>
      </c>
      <c r="HZ24" s="1165">
        <v>8</v>
      </c>
      <c r="IA24" s="1165">
        <v>8</v>
      </c>
      <c r="IB24" s="1165">
        <v>8</v>
      </c>
      <c r="IC24" s="1165">
        <v>8</v>
      </c>
      <c r="ID24" s="1165">
        <v>8</v>
      </c>
      <c r="IE24" s="1165">
        <v>8</v>
      </c>
      <c r="IF24" s="1165">
        <v>8</v>
      </c>
      <c r="IG24" s="1165">
        <v>8</v>
      </c>
      <c r="IH24" s="1165">
        <v>8</v>
      </c>
      <c r="II24" s="1165">
        <v>8</v>
      </c>
      <c r="IJ24" s="1165">
        <v>8</v>
      </c>
      <c r="IK24" s="1165">
        <v>8</v>
      </c>
      <c r="IL24" s="1165">
        <v>8</v>
      </c>
      <c r="IM24" s="1165">
        <v>8</v>
      </c>
      <c r="IN24" s="1165">
        <v>8</v>
      </c>
      <c r="IO24" s="1165">
        <v>8</v>
      </c>
      <c r="IP24" s="1165">
        <v>8</v>
      </c>
      <c r="IQ24" s="1165">
        <v>8</v>
      </c>
      <c r="IR24" s="1165">
        <v>8</v>
      </c>
      <c r="IS24" s="1165">
        <v>8</v>
      </c>
      <c r="IT24" s="1165">
        <v>8</v>
      </c>
      <c r="IU24" s="1165">
        <v>23</v>
      </c>
    </row>
  </sheetData>
  <sheetProtection sheet="1" formatColumns="0" formatRows="0" autoFilter="0" sort="1" insertRows="1" insertColumns="1" deleteRows="1" deleteColumns="1"/>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43844C-7FA2-D528-937F-0.A254A24}"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45" width="9.140625" hidden="1"/>
    <col min="2" max="2" style="1376" width="9.140625" hidden="1"/>
    <col min="3" max="3" style="1645" width="3.7109375" hidden="1" customWidth="1"/>
    <col min="4" max="4" style="1852" width="3.00390625" customWidth="1"/>
    <col min="5" max="5" style="1645" width="6.00390625" customWidth="1"/>
    <col min="6" max="6" style="1645" width="27.00390625" customWidth="1"/>
    <col min="7" max="7" style="1645" width="16.00390625" customWidth="1"/>
    <col min="8" max="8" style="1645" width="12.00390625" customWidth="1"/>
    <col min="9" max="9" style="1645" width="32.00390625" customWidth="1"/>
    <col min="10" max="11" style="1645" width="41.00390625" customWidth="1"/>
    <col min="12" max="12" style="1645" width="89.00390625" customWidth="1"/>
    <col min="13" max="13" style="1634" width="3.00390625" customWidth="1"/>
    <col min="14" max="16" style="1634" width="8.00390625" customWidth="1"/>
    <col min="17" max="17" style="1634" width="25.00390625" customWidth="1"/>
    <col min="18" max="18" style="1634" width="14.00390625" customWidth="1"/>
    <col min="19" max="22" style="235" width="8.00390625" customWidth="1"/>
    <col min="23" max="256" style="1645" width="8.00390625" customWidth="1"/>
    <col min="257" max="257" style="1645" width="9.140625" hidden="1"/>
  </cols>
  <sheetData>
    <row customHeight="1" ht="22.5" hidden="1">
      <c r="IW1" s="1165" t="s">
        <v>14</v>
      </c>
    </row>
    <row s="1860" customFormat="1" customHeight="1" ht="22.5" hidden="1">
      <c r="A2" s="841"/>
      <c r="B2" s="1170">
        <v>1</v>
      </c>
      <c r="C2" s="1170"/>
      <c r="D2" s="1938" t="s">
        <v>105</v>
      </c>
      <c r="E2" s="1899"/>
      <c r="F2" s="1902" t="str">
        <f>IF(ROIV_INFO_NAME="","",ROIV_INFO_NAME)</f>
        <v>АО «ДГК» СП «Нерюнгринская ГРЭС»</v>
      </c>
      <c r="G2" s="1927" t="s">
        <v>22</v>
      </c>
      <c r="H2" s="1926"/>
      <c r="I2" s="1548"/>
      <c r="J2" s="828"/>
      <c r="K2" s="828"/>
      <c r="L2" s="238"/>
      <c r="M2" s="1545">
        <f>MERGEVALUE(F2)</f>
      </c>
      <c r="N2" s="521"/>
      <c r="O2" s="521"/>
      <c r="P2" s="510" t="str">
        <f t="array" ref="P2:P2">IF(ISERROR(MATCH(MID(Q2,1,250),MID(note_ter,1,250),0)),"n","y")</f>
        <v>n</v>
      </c>
      <c r="Q2" s="521"/>
      <c r="R2" s="510" t="str">
        <f>G2&amp;"("&amp;L2&amp;")"</f>
        <v>()</v>
      </c>
      <c r="S2" s="1170"/>
      <c r="T2" s="1170"/>
      <c r="U2" s="430"/>
      <c r="V2" s="1170"/>
      <c r="W2" s="1170"/>
      <c r="X2" s="1170"/>
      <c r="Y2" s="432"/>
      <c r="Z2" s="432"/>
      <c r="AA2" s="429"/>
      <c r="AB2" s="429"/>
      <c r="AC2" s="429"/>
      <c r="AD2" s="429"/>
      <c r="AE2" s="429"/>
      <c r="AF2" s="429"/>
      <c r="AG2" s="429"/>
      <c r="AH2" s="429"/>
      <c r="AI2" s="429"/>
      <c r="AJ2" s="429"/>
      <c r="AK2" s="429"/>
      <c r="AL2" s="429"/>
      <c r="AM2" s="429"/>
      <c r="AN2" s="429"/>
      <c r="AO2" s="429"/>
      <c r="AP2" s="429"/>
      <c r="AQ2" s="429"/>
      <c r="AR2" s="429"/>
      <c r="AS2" s="429"/>
      <c r="AT2" s="429"/>
      <c r="AU2" s="429"/>
      <c r="AV2" s="429"/>
      <c r="AW2" s="429"/>
      <c r="AX2" s="429"/>
      <c r="AY2" s="429"/>
      <c r="AZ2" s="429"/>
      <c r="BA2" s="429"/>
      <c r="BB2" s="429"/>
      <c r="BC2" s="429"/>
      <c r="BD2" s="429"/>
      <c r="BE2" s="429"/>
      <c r="BF2" s="429"/>
      <c r="BG2" s="429"/>
      <c r="BH2" s="429"/>
      <c r="BI2" s="429"/>
      <c r="BJ2" s="429"/>
      <c r="BK2" s="429"/>
      <c r="BL2" s="429"/>
      <c r="BM2" s="429"/>
      <c r="BN2" s="429"/>
      <c r="BO2" s="429"/>
      <c r="BP2" s="429"/>
      <c r="BQ2" s="429"/>
      <c r="BR2" s="429"/>
      <c r="BS2" s="429"/>
      <c r="BT2" s="429"/>
      <c r="BU2" s="429"/>
      <c r="BV2" s="432"/>
      <c r="BW2" s="432"/>
      <c r="BX2" s="432"/>
      <c r="BY2" s="432"/>
      <c r="BZ2" s="432"/>
      <c r="CA2" s="432"/>
      <c r="CB2" s="432"/>
      <c r="CC2" s="432"/>
      <c r="CD2" s="432"/>
      <c r="CE2" s="432"/>
      <c r="IW2" s="433">
        <v>0</v>
      </c>
    </row>
    <row s="1652" customFormat="1" customHeight="1" ht="5.25" hidden="1">
      <c r="A3" s="506"/>
      <c r="D3" s="504"/>
      <c r="F3" s="257" t="s">
        <v>83</v>
      </c>
      <c r="G3" s="1745" t="s">
        <v>84</v>
      </c>
      <c r="H3" s="504"/>
      <c r="I3" s="504"/>
      <c r="J3" s="504"/>
      <c r="K3" s="504"/>
      <c r="L3" s="237" t="s">
        <v>85</v>
      </c>
      <c r="M3" s="257" t="s">
        <v>83</v>
      </c>
      <c r="N3" s="257"/>
      <c r="O3" s="257"/>
      <c r="P3" s="257"/>
      <c r="Q3" s="258"/>
      <c r="R3" s="257"/>
      <c r="S3" s="257"/>
      <c r="T3" s="257"/>
      <c r="U3" s="257"/>
      <c r="V3" s="257"/>
      <c r="W3" s="237"/>
      <c r="X3" s="237"/>
      <c r="Y3" s="237"/>
      <c r="Z3" s="237"/>
      <c r="AA3" s="237"/>
      <c r="AB3" s="237"/>
      <c r="AC3" s="237"/>
      <c r="AD3" s="237"/>
      <c r="AE3" s="237"/>
      <c r="AF3" s="237"/>
      <c r="AG3" s="237"/>
      <c r="AH3" s="237"/>
      <c r="AI3" s="237"/>
      <c r="AJ3" s="237"/>
      <c r="AK3" s="237"/>
      <c r="AL3" s="237"/>
      <c r="AM3" s="237"/>
      <c r="AN3" s="237"/>
      <c r="AO3" s="237"/>
      <c r="AP3" s="237"/>
      <c r="AQ3" s="237"/>
      <c r="AR3" s="237"/>
      <c r="AS3" s="237"/>
      <c r="AT3" s="237"/>
      <c r="AU3" s="237"/>
      <c r="AV3" s="237"/>
      <c r="AW3" s="237"/>
      <c r="AX3" s="237"/>
      <c r="AY3" s="237"/>
      <c r="AZ3" s="237"/>
      <c r="BA3" s="237"/>
      <c r="BB3" s="237"/>
      <c r="BC3" s="237"/>
      <c r="BD3" s="237"/>
      <c r="BE3" s="237"/>
      <c r="BF3" s="237"/>
      <c r="BG3" s="237"/>
      <c r="BH3" s="237"/>
      <c r="BI3" s="237"/>
      <c r="BJ3" s="237"/>
      <c r="BK3" s="237"/>
      <c r="BL3" s="237"/>
      <c r="BM3" s="237"/>
      <c r="BN3" s="237"/>
      <c r="BO3" s="237"/>
      <c r="BP3" s="237"/>
      <c r="BQ3" s="237"/>
      <c r="BR3" s="237"/>
      <c r="BS3" s="237"/>
      <c r="BT3" s="237"/>
      <c r="BU3" s="237"/>
      <c r="BV3" s="237"/>
      <c r="BW3" s="237"/>
      <c r="BX3" s="237"/>
      <c r="BY3" s="237"/>
      <c r="BZ3" s="237"/>
      <c r="CA3" s="237"/>
      <c r="CB3" s="237"/>
      <c r="CC3" s="237"/>
      <c r="CD3" s="237"/>
      <c r="CE3" s="237"/>
      <c r="CF3" s="237"/>
      <c r="CG3" s="237"/>
      <c r="CH3" s="237"/>
      <c r="CI3" s="237"/>
      <c r="CJ3" s="237"/>
      <c r="CK3" s="237"/>
      <c r="CL3" s="237"/>
      <c r="CM3" s="237"/>
      <c r="CN3" s="237"/>
      <c r="CO3" s="237"/>
      <c r="CP3" s="237"/>
      <c r="CQ3" s="237"/>
      <c r="CR3" s="237"/>
      <c r="CS3" s="237"/>
      <c r="CT3" s="237"/>
      <c r="CU3" s="237"/>
      <c r="CV3" s="237"/>
      <c r="CW3" s="237"/>
      <c r="CX3" s="237"/>
      <c r="CY3" s="237"/>
      <c r="CZ3" s="237"/>
      <c r="DA3" s="237"/>
      <c r="DB3" s="237"/>
      <c r="DC3" s="237"/>
      <c r="DD3" s="237"/>
      <c r="DE3" s="237"/>
      <c r="DF3" s="237"/>
      <c r="DG3" s="237"/>
      <c r="DH3" s="237"/>
      <c r="DI3" s="237"/>
      <c r="DJ3" s="237"/>
      <c r="DK3" s="237"/>
      <c r="DL3" s="237"/>
      <c r="DM3" s="237"/>
      <c r="DN3" s="237"/>
      <c r="DO3" s="237"/>
      <c r="DP3" s="237"/>
      <c r="DQ3" s="237"/>
      <c r="DR3" s="237"/>
      <c r="DS3" s="237"/>
      <c r="DT3" s="237"/>
      <c r="DU3" s="237"/>
      <c r="DV3" s="237"/>
      <c r="DW3" s="237"/>
      <c r="DX3" s="237"/>
      <c r="DY3" s="237"/>
      <c r="DZ3" s="237"/>
      <c r="EA3" s="237"/>
      <c r="EB3" s="237"/>
      <c r="EC3" s="237"/>
      <c r="ED3" s="237"/>
      <c r="EE3" s="237"/>
      <c r="EF3" s="237"/>
      <c r="EG3" s="237"/>
      <c r="EH3" s="237"/>
      <c r="EI3" s="237"/>
      <c r="EJ3" s="237"/>
      <c r="EK3" s="237"/>
      <c r="EL3" s="237"/>
      <c r="EM3" s="237"/>
      <c r="EN3" s="237"/>
      <c r="EO3" s="237"/>
      <c r="EP3" s="237"/>
      <c r="EQ3" s="237"/>
      <c r="ER3" s="237"/>
      <c r="ES3" s="237"/>
      <c r="ET3" s="237"/>
      <c r="EU3" s="237"/>
      <c r="EV3" s="237"/>
      <c r="EW3" s="237"/>
      <c r="EX3" s="237"/>
      <c r="EY3" s="237"/>
      <c r="EZ3" s="237"/>
      <c r="FA3" s="237"/>
      <c r="FB3" s="237"/>
      <c r="FC3" s="237"/>
      <c r="FD3" s="237"/>
      <c r="FE3" s="237"/>
      <c r="FF3" s="237"/>
      <c r="FG3" s="237"/>
      <c r="FH3" s="237"/>
      <c r="FI3" s="237"/>
      <c r="FJ3" s="237"/>
      <c r="FK3" s="237"/>
      <c r="FL3" s="237"/>
      <c r="FM3" s="237"/>
      <c r="FN3" s="237"/>
      <c r="FO3" s="237"/>
      <c r="FP3" s="237"/>
      <c r="FQ3" s="237"/>
      <c r="FR3" s="237"/>
      <c r="FS3" s="237"/>
      <c r="FT3" s="237"/>
      <c r="FU3" s="237"/>
      <c r="FV3" s="237"/>
      <c r="FW3" s="237"/>
      <c r="FX3" s="237"/>
      <c r="FY3" s="237"/>
      <c r="FZ3" s="237"/>
      <c r="GA3" s="237"/>
      <c r="GB3" s="237"/>
      <c r="GC3" s="237"/>
      <c r="GD3" s="237"/>
      <c r="GE3" s="237"/>
      <c r="GF3" s="237"/>
      <c r="GG3" s="237"/>
      <c r="GH3" s="237"/>
      <c r="GI3" s="237"/>
      <c r="GJ3" s="237"/>
      <c r="GK3" s="237"/>
      <c r="GL3" s="237"/>
      <c r="GM3" s="237"/>
      <c r="GN3" s="237"/>
      <c r="GO3" s="237"/>
      <c r="GP3" s="237"/>
      <c r="GQ3" s="237"/>
      <c r="GR3" s="237"/>
      <c r="GS3" s="237"/>
      <c r="GT3" s="237"/>
      <c r="GU3" s="237"/>
      <c r="GV3" s="237"/>
      <c r="GW3" s="237"/>
      <c r="GX3" s="237"/>
      <c r="GY3" s="237"/>
      <c r="GZ3" s="237"/>
      <c r="HA3" s="237"/>
      <c r="HB3" s="237"/>
      <c r="HC3" s="237"/>
      <c r="HD3" s="237"/>
      <c r="HE3" s="237"/>
      <c r="HF3" s="237"/>
      <c r="HG3" s="237"/>
      <c r="HH3" s="237"/>
      <c r="HI3" s="237"/>
      <c r="HJ3" s="237"/>
      <c r="HK3" s="237"/>
      <c r="HL3" s="237"/>
      <c r="HM3" s="237"/>
      <c r="HN3" s="237"/>
      <c r="HO3" s="237"/>
      <c r="HP3" s="237"/>
      <c r="HQ3" s="237"/>
      <c r="HR3" s="237"/>
      <c r="HS3" s="237"/>
      <c r="HT3" s="237"/>
      <c r="HU3" s="237"/>
      <c r="HV3" s="237"/>
      <c r="HW3" s="237"/>
      <c r="HX3" s="237"/>
      <c r="HY3" s="237"/>
      <c r="HZ3" s="237"/>
      <c r="IA3" s="237"/>
      <c r="IB3" s="237"/>
      <c r="IC3" s="237"/>
      <c r="ID3" s="237"/>
      <c r="IE3" s="237"/>
      <c r="IF3" s="237"/>
      <c r="IG3" s="237"/>
      <c r="IH3" s="237"/>
      <c r="II3" s="237"/>
      <c r="IJ3" s="237"/>
      <c r="IK3" s="237"/>
      <c r="IL3" s="237"/>
      <c r="IM3" s="237"/>
      <c r="IN3" s="237"/>
      <c r="IO3" s="237"/>
      <c r="IP3" s="237"/>
      <c r="IQ3" s="237"/>
      <c r="IR3" s="237"/>
      <c r="IS3" s="237"/>
      <c r="IT3" s="237"/>
      <c r="IU3" s="237"/>
      <c r="IV3" s="237"/>
      <c r="IW3" s="521">
        <v>0</v>
      </c>
    </row>
    <row s="1829" customFormat="1" customHeight="1" ht="14.699999999999998">
      <c r="A4" s="1165"/>
      <c r="B4" s="1170"/>
      <c r="C4" s="1165"/>
      <c r="D4" s="1505"/>
      <c r="E4" s="519"/>
      <c r="F4" s="519"/>
      <c r="G4" s="519"/>
      <c r="H4" s="519"/>
      <c r="I4" s="519"/>
      <c r="J4" s="519"/>
      <c r="K4" s="519"/>
      <c r="L4" s="176"/>
      <c r="M4" s="257"/>
      <c r="N4" s="510"/>
      <c r="O4" s="510"/>
      <c r="P4" s="510"/>
      <c r="Q4" s="236"/>
      <c r="R4" s="510"/>
      <c r="S4" s="235"/>
      <c r="T4" s="235"/>
      <c r="U4" s="235"/>
      <c r="V4" s="235"/>
      <c r="IW4" s="517">
        <v>14</v>
      </c>
    </row>
    <row s="1829" customFormat="1" customHeight="1" ht="27.299999999999997">
      <c r="A5" s="1165"/>
      <c r="B5" s="1170"/>
      <c r="C5" s="1165"/>
      <c r="D5" s="1505"/>
      <c r="E5" s="211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10"/>
      <c r="G5" s="2110"/>
      <c r="H5" s="2110"/>
      <c r="I5" s="2110"/>
      <c r="J5" s="2110"/>
      <c r="K5" s="2110"/>
      <c r="L5" s="598"/>
      <c r="M5" s="257"/>
      <c r="N5" s="510"/>
      <c r="O5" s="510"/>
      <c r="P5" s="510"/>
      <c r="Q5" s="236"/>
      <c r="R5" s="510"/>
      <c r="S5" s="235"/>
      <c r="T5" s="235"/>
      <c r="U5" s="235"/>
      <c r="V5" s="235"/>
      <c r="IW5" s="517">
        <v>26</v>
      </c>
    </row>
    <row s="1829" customFormat="1" customHeight="1" ht="14.699999999999998">
      <c r="A6" s="1165"/>
      <c r="B6" s="1170"/>
      <c r="C6" s="1165"/>
      <c r="D6" s="1505"/>
      <c r="E6" s="519"/>
      <c r="F6" s="177"/>
      <c r="G6" s="177"/>
      <c r="H6" s="177"/>
      <c r="I6" s="177"/>
      <c r="J6" s="177"/>
      <c r="K6" s="177"/>
      <c r="L6" s="178"/>
      <c r="M6" s="510"/>
      <c r="N6" s="510"/>
      <c r="O6" s="510"/>
      <c r="P6" s="510"/>
      <c r="Q6" s="236"/>
      <c r="R6" s="510"/>
      <c r="S6" s="235"/>
      <c r="T6" s="235"/>
      <c r="U6" s="235"/>
      <c r="V6" s="235"/>
      <c r="IW6" s="517">
        <v>14</v>
      </c>
    </row>
    <row s="1829" customFormat="1" customHeight="1" ht="14.699999999999998">
      <c r="A7" s="1165"/>
      <c r="B7" s="1170"/>
      <c r="C7" s="1165"/>
      <c r="D7" s="1505"/>
      <c r="E7" s="2111" t="s">
        <v>322</v>
      </c>
      <c r="F7" s="2112"/>
      <c r="G7" s="2112"/>
      <c r="H7" s="2112"/>
      <c r="I7" s="2112"/>
      <c r="J7" s="2112"/>
      <c r="K7" s="2112"/>
      <c r="L7" s="2484" t="s">
        <v>323</v>
      </c>
      <c r="M7" s="510"/>
      <c r="N7" s="510"/>
      <c r="O7" s="510"/>
      <c r="P7" s="510"/>
      <c r="Q7" s="236"/>
      <c r="R7" s="510"/>
      <c r="S7" s="235"/>
      <c r="T7" s="235"/>
      <c r="U7" s="235"/>
      <c r="V7" s="235"/>
      <c r="IW7" s="517">
        <v>14</v>
      </c>
    </row>
    <row s="1829" customFormat="1" customHeight="1" ht="67.2">
      <c r="A8" s="1165"/>
      <c r="B8" s="1170"/>
      <c r="C8" s="1165"/>
      <c r="D8" s="1505"/>
      <c r="E8" s="2488" t="s">
        <v>88</v>
      </c>
      <c r="F8" s="248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9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91"/>
      <c r="I8" s="2492"/>
      <c r="J8" s="248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6"/>
      <c r="M8" s="510"/>
      <c r="N8" s="510"/>
      <c r="O8" s="510"/>
      <c r="P8" s="510"/>
      <c r="Q8" s="236"/>
      <c r="R8" s="510"/>
      <c r="S8" s="235"/>
      <c r="T8" s="235"/>
      <c r="U8" s="235"/>
      <c r="V8" s="235"/>
      <c r="IW8" s="517">
        <v>64</v>
      </c>
    </row>
    <row s="1829" customFormat="1" customHeight="1" ht="29.25">
      <c r="A9" s="1165"/>
      <c r="B9" s="1170"/>
      <c r="C9" s="1165"/>
      <c r="D9" s="1505"/>
      <c r="E9" s="2489"/>
      <c r="F9" s="2489"/>
      <c r="G9" s="1547" t="s">
        <v>2156</v>
      </c>
      <c r="H9" s="1547" t="s">
        <v>2157</v>
      </c>
      <c r="I9" s="1547" t="s">
        <v>2158</v>
      </c>
      <c r="J9" s="2489"/>
      <c r="K9" s="2489"/>
      <c r="L9" s="2485"/>
      <c r="M9" s="510"/>
      <c r="N9" s="510"/>
      <c r="O9" s="510"/>
      <c r="P9" s="510"/>
      <c r="Q9" s="236"/>
      <c r="R9" s="510"/>
      <c r="S9" s="235"/>
      <c r="T9" s="235"/>
      <c r="U9" s="235"/>
      <c r="V9" s="235"/>
      <c r="IW9" s="517">
        <v>28</v>
      </c>
    </row>
    <row s="1860" customFormat="1" customHeight="1" ht="23.25">
      <c r="A10" s="2109"/>
      <c r="B10" s="1170">
        <v>1</v>
      </c>
      <c r="C10" s="1170"/>
      <c r="D10" s="810"/>
      <c r="E10" s="808">
        <v>1</v>
      </c>
      <c r="F10" s="1549" t="str">
        <f>IF(ROIV_INFO_NAME="","",ROIV_INFO_NAME)</f>
        <v>АО «ДГК» СП «Нерюнгринская ГРЭС»</v>
      </c>
      <c r="G10" s="1742" t="s">
        <v>22</v>
      </c>
      <c r="H10" s="1926"/>
      <c r="I10" s="1544"/>
      <c r="J10" s="828"/>
      <c r="K10" s="828"/>
      <c r="L10" s="244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5">
        <f>MERGEVALUE(F10)</f>
      </c>
      <c r="N10" s="521"/>
      <c r="O10" s="521"/>
      <c r="P10" s="510" t="str">
        <f t="array" ref="P10:P10">IF(ISERROR(MATCH(MID(Q10,1,250),MID(note_ter,1,250),0)),"n","y")</f>
        <v>n</v>
      </c>
      <c r="Q10" s="521"/>
      <c r="R10" s="51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70"/>
      <c r="T10" s="1170"/>
      <c r="U10" s="430"/>
      <c r="V10" s="1170"/>
      <c r="W10" s="1170"/>
      <c r="X10" s="1170"/>
      <c r="Y10" s="432"/>
      <c r="Z10" s="432"/>
      <c r="AA10" s="429"/>
      <c r="AB10" s="429"/>
      <c r="AC10" s="429"/>
      <c r="AD10" s="429"/>
      <c r="AE10" s="429"/>
      <c r="AF10" s="429"/>
      <c r="AG10" s="429"/>
      <c r="AH10" s="429"/>
      <c r="AI10" s="429"/>
      <c r="AJ10" s="429"/>
      <c r="AK10" s="429"/>
      <c r="AL10" s="429"/>
      <c r="AM10" s="429"/>
      <c r="AN10" s="429"/>
      <c r="AO10" s="429"/>
      <c r="AP10" s="429"/>
      <c r="AQ10" s="429"/>
      <c r="AR10" s="429"/>
      <c r="AS10" s="429"/>
      <c r="AT10" s="429"/>
      <c r="AU10" s="429"/>
      <c r="AV10" s="429"/>
      <c r="AW10" s="429"/>
      <c r="AX10" s="429"/>
      <c r="AY10" s="429"/>
      <c r="AZ10" s="429"/>
      <c r="BA10" s="429"/>
      <c r="BB10" s="429"/>
      <c r="BC10" s="429"/>
      <c r="BD10" s="429"/>
      <c r="BE10" s="429"/>
      <c r="BF10" s="429"/>
      <c r="BG10" s="429"/>
      <c r="BH10" s="429"/>
      <c r="BI10" s="429"/>
      <c r="BJ10" s="429"/>
      <c r="BK10" s="429"/>
      <c r="BL10" s="429"/>
      <c r="BM10" s="429"/>
      <c r="BN10" s="429"/>
      <c r="BO10" s="429"/>
      <c r="BP10" s="429"/>
      <c r="BQ10" s="429"/>
      <c r="BR10" s="429"/>
      <c r="BS10" s="429"/>
      <c r="BT10" s="429"/>
      <c r="BU10" s="429"/>
      <c r="BV10" s="432"/>
      <c r="BW10" s="432"/>
      <c r="BX10" s="432"/>
      <c r="BY10" s="432"/>
      <c r="BZ10" s="432"/>
      <c r="CA10" s="432"/>
      <c r="CB10" s="432"/>
      <c r="CC10" s="432"/>
      <c r="CD10" s="432"/>
      <c r="CE10" s="432"/>
      <c r="IW10" s="433">
        <v>22</v>
      </c>
    </row>
    <row s="1860" customFormat="1" customHeight="1" ht="15.75">
      <c r="A11" s="2109"/>
      <c r="B11" s="1170"/>
      <c r="C11" s="422"/>
      <c r="D11" s="811"/>
      <c r="E11" s="431"/>
      <c r="F11" s="426" t="s">
        <v>2159</v>
      </c>
      <c r="G11" s="197"/>
      <c r="H11" s="197"/>
      <c r="I11" s="197"/>
      <c r="J11" s="197"/>
      <c r="K11" s="434"/>
      <c r="L11" s="2487"/>
      <c r="M11" s="1546"/>
      <c r="N11" s="521"/>
      <c r="O11" s="521"/>
      <c r="P11" s="521"/>
      <c r="Q11" s="510"/>
      <c r="R11" s="521"/>
      <c r="S11" s="1170"/>
      <c r="T11" s="1170"/>
      <c r="U11" s="430"/>
      <c r="V11" s="1170"/>
      <c r="W11" s="1170"/>
      <c r="X11" s="1170"/>
      <c r="Y11" s="432"/>
      <c r="Z11" s="432"/>
      <c r="AA11" s="429"/>
      <c r="AB11" s="429"/>
      <c r="AC11" s="429"/>
      <c r="AD11" s="429"/>
      <c r="AE11" s="429"/>
      <c r="AF11" s="429"/>
      <c r="AG11" s="429"/>
      <c r="AH11" s="429"/>
      <c r="AI11" s="429"/>
      <c r="AJ11" s="429"/>
      <c r="AK11" s="429"/>
      <c r="AL11" s="429"/>
      <c r="AM11" s="429"/>
      <c r="AN11" s="429"/>
      <c r="AO11" s="429"/>
      <c r="AP11" s="429"/>
      <c r="AQ11" s="429"/>
      <c r="AR11" s="429"/>
      <c r="AS11" s="429"/>
      <c r="AT11" s="429"/>
      <c r="AU11" s="429"/>
      <c r="AV11" s="429"/>
      <c r="AW11" s="429"/>
      <c r="AX11" s="429"/>
      <c r="AY11" s="429"/>
      <c r="AZ11" s="429"/>
      <c r="BA11" s="429"/>
      <c r="BB11" s="429"/>
      <c r="BC11" s="429"/>
      <c r="BD11" s="429"/>
      <c r="BE11" s="429"/>
      <c r="BF11" s="429"/>
      <c r="BG11" s="429"/>
      <c r="BH11" s="429"/>
      <c r="BI11" s="429"/>
      <c r="BJ11" s="429"/>
      <c r="BK11" s="429"/>
      <c r="BL11" s="429"/>
      <c r="BM11" s="429"/>
      <c r="BN11" s="429"/>
      <c r="BO11" s="429"/>
      <c r="BP11" s="429"/>
      <c r="BQ11" s="429"/>
      <c r="BR11" s="429"/>
      <c r="BS11" s="429"/>
      <c r="BT11" s="429"/>
      <c r="BU11" s="429"/>
      <c r="BV11" s="432"/>
      <c r="BW11" s="432"/>
      <c r="BX11" s="432"/>
      <c r="BY11" s="432"/>
      <c r="BZ11" s="432"/>
      <c r="CA11" s="432"/>
      <c r="CB11" s="432"/>
      <c r="CC11" s="432"/>
      <c r="CD11" s="432"/>
      <c r="CE11" s="432"/>
      <c r="IW11" s="433">
        <v>15</v>
      </c>
    </row>
    <row s="1829" customFormat="1" customHeight="1" ht="22.049999999999997">
      <c r="A12" s="1165"/>
      <c r="B12" s="1170"/>
      <c r="C12" s="1165"/>
      <c r="D12" s="461"/>
      <c r="E12" s="190"/>
      <c r="F12" s="190"/>
      <c r="G12" s="190"/>
      <c r="H12" s="190"/>
      <c r="I12" s="190"/>
      <c r="J12" s="190"/>
      <c r="K12" s="190"/>
      <c r="L12" s="190"/>
      <c r="M12" s="510"/>
      <c r="N12" s="510"/>
      <c r="O12" s="510"/>
      <c r="P12" s="510"/>
      <c r="Q12" s="236"/>
      <c r="R12" s="510"/>
      <c r="S12" s="235"/>
      <c r="T12" s="235"/>
      <c r="U12" s="235"/>
      <c r="V12" s="235"/>
      <c r="IW12" s="517">
        <v>21</v>
      </c>
    </row>
    <row s="1829" customFormat="1" customHeight="1" ht="14.699999999999998">
      <c r="A13" s="1165"/>
      <c r="B13" s="1170"/>
      <c r="C13" s="1165"/>
      <c r="D13" s="461"/>
      <c r="E13" s="1165"/>
      <c r="F13" s="1165"/>
      <c r="G13" s="1165"/>
      <c r="H13" s="1165"/>
      <c r="I13" s="1165"/>
      <c r="J13" s="1165"/>
      <c r="K13" s="1165"/>
      <c r="L13" s="1165"/>
      <c r="M13" s="510"/>
      <c r="N13" s="510"/>
      <c r="O13" s="510"/>
      <c r="P13" s="510"/>
      <c r="Q13" s="236"/>
      <c r="R13" s="510"/>
      <c r="S13" s="235"/>
      <c r="T13" s="235"/>
      <c r="U13" s="235"/>
      <c r="V13" s="235"/>
      <c r="IW13" s="517">
        <v>14</v>
      </c>
    </row>
    <row s="1829" customFormat="1" customHeight="1" ht="1.05">
      <c r="A14" s="1165"/>
      <c r="B14" s="1170"/>
      <c r="C14" s="1165"/>
      <c r="D14" s="461"/>
      <c r="E14" s="1165"/>
      <c r="F14" s="1165"/>
      <c r="G14" s="1165"/>
      <c r="H14" s="1165"/>
      <c r="I14" s="1165"/>
      <c r="J14" s="1165"/>
      <c r="K14" s="1165"/>
      <c r="L14" s="1165"/>
      <c r="M14" s="510"/>
      <c r="N14" s="510"/>
      <c r="O14" s="510"/>
      <c r="P14" s="510"/>
      <c r="Q14" s="236"/>
      <c r="R14" s="510"/>
      <c r="S14" s="235"/>
      <c r="T14" s="235"/>
      <c r="U14" s="235"/>
      <c r="V14" s="235"/>
      <c r="IW14" s="517">
        <v>1</v>
      </c>
    </row>
    <row customHeight="1" ht="22.5" hidden="1">
      <c r="A15" s="1165" t="s">
        <v>82</v>
      </c>
      <c r="B15" s="1170">
        <v>0</v>
      </c>
      <c r="C15" s="1165">
        <v>0</v>
      </c>
      <c r="D15" s="461">
        <v>3</v>
      </c>
      <c r="E15" s="1165">
        <v>6</v>
      </c>
      <c r="F15" s="1165">
        <v>27</v>
      </c>
      <c r="G15" s="1165">
        <v>16</v>
      </c>
      <c r="H15" s="1165">
        <v>12</v>
      </c>
      <c r="I15" s="1165">
        <v>32</v>
      </c>
      <c r="J15" s="1165">
        <v>41</v>
      </c>
      <c r="K15" s="1165">
        <v>41</v>
      </c>
      <c r="L15" s="1165">
        <v>89</v>
      </c>
      <c r="M15" s="510">
        <v>3</v>
      </c>
      <c r="N15" s="510">
        <v>8</v>
      </c>
      <c r="O15" s="510">
        <v>8</v>
      </c>
      <c r="P15" s="510">
        <v>8</v>
      </c>
      <c r="Q15" s="236">
        <v>25</v>
      </c>
      <c r="R15" s="510">
        <v>14</v>
      </c>
      <c r="S15" s="235">
        <v>8</v>
      </c>
      <c r="T15" s="235">
        <v>8</v>
      </c>
      <c r="U15" s="235">
        <v>8</v>
      </c>
      <c r="V15" s="235">
        <v>8</v>
      </c>
      <c r="W15" s="1165">
        <v>8</v>
      </c>
      <c r="X15" s="1165">
        <v>8</v>
      </c>
      <c r="Y15" s="1165">
        <v>8</v>
      </c>
      <c r="Z15" s="1165">
        <v>8</v>
      </c>
      <c r="AA15" s="1165">
        <v>8</v>
      </c>
      <c r="AB15" s="1165">
        <v>8</v>
      </c>
      <c r="AC15" s="1165">
        <v>8</v>
      </c>
      <c r="AD15" s="1165">
        <v>8</v>
      </c>
      <c r="AE15" s="1165">
        <v>8</v>
      </c>
      <c r="AF15" s="1165">
        <v>8</v>
      </c>
      <c r="AG15" s="1165">
        <v>8</v>
      </c>
      <c r="AH15" s="1165">
        <v>8</v>
      </c>
      <c r="AI15" s="1165">
        <v>8</v>
      </c>
      <c r="AJ15" s="1165">
        <v>8</v>
      </c>
      <c r="AK15" s="1165">
        <v>8</v>
      </c>
      <c r="AL15" s="1165">
        <v>8</v>
      </c>
      <c r="AM15" s="1165">
        <v>8</v>
      </c>
      <c r="AN15" s="1165">
        <v>8</v>
      </c>
      <c r="AO15" s="1165">
        <v>8</v>
      </c>
      <c r="AP15" s="1165">
        <v>8</v>
      </c>
      <c r="AQ15" s="1165">
        <v>8</v>
      </c>
      <c r="AR15" s="1165">
        <v>8</v>
      </c>
      <c r="AS15" s="1165">
        <v>8</v>
      </c>
      <c r="AT15" s="1165">
        <v>8</v>
      </c>
      <c r="AU15" s="1165">
        <v>8</v>
      </c>
      <c r="AV15" s="1165">
        <v>8</v>
      </c>
      <c r="AW15" s="1165">
        <v>8</v>
      </c>
      <c r="AX15" s="1165">
        <v>8</v>
      </c>
      <c r="AY15" s="1165">
        <v>8</v>
      </c>
      <c r="AZ15" s="1165">
        <v>8</v>
      </c>
      <c r="BA15" s="1165">
        <v>8</v>
      </c>
      <c r="BB15" s="1165">
        <v>8</v>
      </c>
      <c r="BC15" s="1165">
        <v>8</v>
      </c>
      <c r="BD15" s="1165">
        <v>8</v>
      </c>
      <c r="BE15" s="1165">
        <v>8</v>
      </c>
      <c r="BF15" s="1165">
        <v>8</v>
      </c>
      <c r="BG15" s="1165">
        <v>8</v>
      </c>
      <c r="BH15" s="1165">
        <v>8</v>
      </c>
      <c r="BI15" s="1165">
        <v>8</v>
      </c>
      <c r="BJ15" s="1165">
        <v>8</v>
      </c>
      <c r="BK15" s="1165">
        <v>8</v>
      </c>
      <c r="BL15" s="1165">
        <v>8</v>
      </c>
      <c r="BM15" s="1165">
        <v>8</v>
      </c>
      <c r="BN15" s="1165">
        <v>8</v>
      </c>
      <c r="BO15" s="1165">
        <v>8</v>
      </c>
      <c r="BP15" s="1165">
        <v>8</v>
      </c>
      <c r="BQ15" s="1165">
        <v>8</v>
      </c>
      <c r="BR15" s="1165">
        <v>8</v>
      </c>
      <c r="BS15" s="1165">
        <v>8</v>
      </c>
      <c r="BT15" s="1165">
        <v>8</v>
      </c>
      <c r="BU15" s="1165">
        <v>8</v>
      </c>
      <c r="BV15" s="1165">
        <v>8</v>
      </c>
      <c r="BW15" s="1165">
        <v>8</v>
      </c>
      <c r="BX15" s="1165">
        <v>8</v>
      </c>
      <c r="BY15" s="1165">
        <v>8</v>
      </c>
      <c r="BZ15" s="1165">
        <v>8</v>
      </c>
      <c r="CA15" s="1165">
        <v>8</v>
      </c>
      <c r="CB15" s="1165">
        <v>8</v>
      </c>
      <c r="CC15" s="1165">
        <v>8</v>
      </c>
      <c r="CD15" s="1165">
        <v>8</v>
      </c>
      <c r="CE15" s="1165">
        <v>8</v>
      </c>
      <c r="CF15" s="1165">
        <v>8</v>
      </c>
      <c r="CG15" s="1165">
        <v>8</v>
      </c>
      <c r="CH15" s="1165">
        <v>8</v>
      </c>
      <c r="CI15" s="1165">
        <v>8</v>
      </c>
      <c r="CJ15" s="1165">
        <v>8</v>
      </c>
      <c r="CK15" s="1165">
        <v>8</v>
      </c>
      <c r="CL15" s="1165">
        <v>8</v>
      </c>
      <c r="CM15" s="1165">
        <v>8</v>
      </c>
      <c r="CN15" s="1165">
        <v>8</v>
      </c>
      <c r="CO15" s="1165">
        <v>8</v>
      </c>
      <c r="CP15" s="1165">
        <v>8</v>
      </c>
      <c r="CQ15" s="1165">
        <v>8</v>
      </c>
      <c r="CR15" s="1165">
        <v>8</v>
      </c>
      <c r="CS15" s="1165">
        <v>8</v>
      </c>
      <c r="CT15" s="1165">
        <v>8</v>
      </c>
      <c r="CU15" s="1165">
        <v>8</v>
      </c>
      <c r="CV15" s="1165">
        <v>8</v>
      </c>
      <c r="CW15" s="1165">
        <v>8</v>
      </c>
      <c r="CX15" s="1165">
        <v>8</v>
      </c>
      <c r="CY15" s="1165">
        <v>8</v>
      </c>
      <c r="CZ15" s="1165">
        <v>8</v>
      </c>
      <c r="DA15" s="1165">
        <v>8</v>
      </c>
      <c r="DB15" s="1165">
        <v>8</v>
      </c>
      <c r="DC15" s="1165">
        <v>8</v>
      </c>
      <c r="DD15" s="1165">
        <v>8</v>
      </c>
      <c r="DE15" s="1165">
        <v>8</v>
      </c>
      <c r="DF15" s="1165">
        <v>8</v>
      </c>
      <c r="DG15" s="1165">
        <v>8</v>
      </c>
      <c r="DH15" s="1165">
        <v>8</v>
      </c>
      <c r="DI15" s="1165">
        <v>8</v>
      </c>
      <c r="DJ15" s="1165">
        <v>8</v>
      </c>
      <c r="DK15" s="1165">
        <v>8</v>
      </c>
      <c r="DL15" s="1165">
        <v>8</v>
      </c>
      <c r="DM15" s="1165">
        <v>8</v>
      </c>
      <c r="DN15" s="1165">
        <v>8</v>
      </c>
      <c r="DO15" s="1165">
        <v>8</v>
      </c>
      <c r="DP15" s="1165">
        <v>8</v>
      </c>
      <c r="DQ15" s="1165">
        <v>8</v>
      </c>
      <c r="DR15" s="1165">
        <v>8</v>
      </c>
      <c r="DS15" s="1165">
        <v>8</v>
      </c>
      <c r="DT15" s="1165">
        <v>8</v>
      </c>
      <c r="DU15" s="1165">
        <v>8</v>
      </c>
      <c r="DV15" s="1165">
        <v>8</v>
      </c>
      <c r="DW15" s="1165">
        <v>8</v>
      </c>
      <c r="DX15" s="1165">
        <v>8</v>
      </c>
      <c r="DY15" s="1165">
        <v>8</v>
      </c>
      <c r="DZ15" s="1165">
        <v>8</v>
      </c>
      <c r="EA15" s="1165">
        <v>8</v>
      </c>
      <c r="EB15" s="1165">
        <v>8</v>
      </c>
      <c r="EC15" s="1165">
        <v>8</v>
      </c>
      <c r="ED15" s="1165">
        <v>8</v>
      </c>
      <c r="EE15" s="1165">
        <v>8</v>
      </c>
      <c r="EF15" s="1165">
        <v>8</v>
      </c>
      <c r="EG15" s="1165">
        <v>8</v>
      </c>
      <c r="EH15" s="1165">
        <v>8</v>
      </c>
      <c r="EI15" s="1165">
        <v>8</v>
      </c>
      <c r="EJ15" s="1165">
        <v>8</v>
      </c>
      <c r="EK15" s="1165">
        <v>8</v>
      </c>
      <c r="EL15" s="1165">
        <v>8</v>
      </c>
      <c r="EM15" s="1165">
        <v>8</v>
      </c>
      <c r="EN15" s="1165">
        <v>8</v>
      </c>
      <c r="EO15" s="1165">
        <v>8</v>
      </c>
      <c r="EP15" s="1165">
        <v>8</v>
      </c>
      <c r="EQ15" s="1165">
        <v>8</v>
      </c>
      <c r="ER15" s="1165">
        <v>8</v>
      </c>
      <c r="ES15" s="1165">
        <v>8</v>
      </c>
      <c r="ET15" s="1165">
        <v>8</v>
      </c>
      <c r="EU15" s="1165">
        <v>8</v>
      </c>
      <c r="EV15" s="1165">
        <v>8</v>
      </c>
      <c r="EW15" s="1165">
        <v>8</v>
      </c>
      <c r="EX15" s="1165">
        <v>8</v>
      </c>
      <c r="EY15" s="1165">
        <v>8</v>
      </c>
      <c r="EZ15" s="1165">
        <v>8</v>
      </c>
      <c r="FA15" s="1165">
        <v>8</v>
      </c>
      <c r="FB15" s="1165">
        <v>8</v>
      </c>
      <c r="FC15" s="1165">
        <v>8</v>
      </c>
      <c r="FD15" s="1165">
        <v>8</v>
      </c>
      <c r="FE15" s="1165">
        <v>8</v>
      </c>
      <c r="FF15" s="1165">
        <v>8</v>
      </c>
      <c r="FG15" s="1165">
        <v>8</v>
      </c>
      <c r="FH15" s="1165">
        <v>8</v>
      </c>
      <c r="FI15" s="1165">
        <v>8</v>
      </c>
      <c r="FJ15" s="1165">
        <v>8</v>
      </c>
      <c r="FK15" s="1165">
        <v>8</v>
      </c>
      <c r="FL15" s="1165">
        <v>8</v>
      </c>
      <c r="FM15" s="1165">
        <v>8</v>
      </c>
      <c r="FN15" s="1165">
        <v>8</v>
      </c>
      <c r="FO15" s="1165">
        <v>8</v>
      </c>
      <c r="FP15" s="1165">
        <v>8</v>
      </c>
      <c r="FQ15" s="1165">
        <v>8</v>
      </c>
      <c r="FR15" s="1165">
        <v>8</v>
      </c>
      <c r="FS15" s="1165">
        <v>8</v>
      </c>
      <c r="FT15" s="1165">
        <v>8</v>
      </c>
      <c r="FU15" s="1165">
        <v>8</v>
      </c>
      <c r="FV15" s="1165">
        <v>8</v>
      </c>
      <c r="FW15" s="1165">
        <v>8</v>
      </c>
      <c r="FX15" s="1165">
        <v>8</v>
      </c>
      <c r="FY15" s="1165">
        <v>8</v>
      </c>
      <c r="FZ15" s="1165">
        <v>8</v>
      </c>
      <c r="GA15" s="1165">
        <v>8</v>
      </c>
      <c r="GB15" s="1165">
        <v>8</v>
      </c>
      <c r="GC15" s="1165">
        <v>8</v>
      </c>
      <c r="GD15" s="1165">
        <v>8</v>
      </c>
      <c r="GE15" s="1165">
        <v>8</v>
      </c>
      <c r="GF15" s="1165">
        <v>8</v>
      </c>
      <c r="GG15" s="1165">
        <v>8</v>
      </c>
      <c r="GH15" s="1165">
        <v>8</v>
      </c>
      <c r="GI15" s="1165">
        <v>8</v>
      </c>
      <c r="GJ15" s="1165">
        <v>8</v>
      </c>
      <c r="GK15" s="1165">
        <v>8</v>
      </c>
      <c r="GL15" s="1165">
        <v>8</v>
      </c>
      <c r="GM15" s="1165">
        <v>8</v>
      </c>
      <c r="GN15" s="1165">
        <v>8</v>
      </c>
      <c r="GO15" s="1165">
        <v>8</v>
      </c>
      <c r="GP15" s="1165">
        <v>8</v>
      </c>
      <c r="GQ15" s="1165">
        <v>8</v>
      </c>
      <c r="GR15" s="1165">
        <v>8</v>
      </c>
      <c r="GS15" s="1165">
        <v>8</v>
      </c>
      <c r="GT15" s="1165">
        <v>8</v>
      </c>
      <c r="GU15" s="1165">
        <v>8</v>
      </c>
      <c r="GV15" s="1165">
        <v>8</v>
      </c>
      <c r="GW15" s="1165">
        <v>8</v>
      </c>
      <c r="GX15" s="1165">
        <v>8</v>
      </c>
      <c r="GY15" s="1165">
        <v>8</v>
      </c>
      <c r="GZ15" s="1165">
        <v>8</v>
      </c>
      <c r="HA15" s="1165">
        <v>8</v>
      </c>
      <c r="HB15" s="1165">
        <v>8</v>
      </c>
      <c r="HC15" s="1165">
        <v>8</v>
      </c>
      <c r="HD15" s="1165">
        <v>8</v>
      </c>
      <c r="HE15" s="1165">
        <v>8</v>
      </c>
      <c r="HF15" s="1165">
        <v>8</v>
      </c>
      <c r="HG15" s="1165">
        <v>8</v>
      </c>
      <c r="HH15" s="1165">
        <v>8</v>
      </c>
      <c r="HI15" s="1165">
        <v>8</v>
      </c>
      <c r="HJ15" s="1165">
        <v>8</v>
      </c>
      <c r="HK15" s="1165">
        <v>8</v>
      </c>
      <c r="HL15" s="1165">
        <v>8</v>
      </c>
      <c r="HM15" s="1165">
        <v>8</v>
      </c>
      <c r="HN15" s="1165">
        <v>8</v>
      </c>
      <c r="HO15" s="1165">
        <v>8</v>
      </c>
      <c r="HP15" s="1165">
        <v>8</v>
      </c>
      <c r="HQ15" s="1165">
        <v>8</v>
      </c>
      <c r="HR15" s="1165">
        <v>8</v>
      </c>
      <c r="HS15" s="1165">
        <v>8</v>
      </c>
      <c r="HT15" s="1165">
        <v>8</v>
      </c>
      <c r="HU15" s="1165">
        <v>8</v>
      </c>
      <c r="HV15" s="1165">
        <v>8</v>
      </c>
      <c r="HW15" s="1165">
        <v>8</v>
      </c>
      <c r="HX15" s="1165">
        <v>8</v>
      </c>
      <c r="HY15" s="1165">
        <v>8</v>
      </c>
      <c r="HZ15" s="1165">
        <v>8</v>
      </c>
      <c r="IA15" s="1165">
        <v>8</v>
      </c>
      <c r="IB15" s="1165">
        <v>8</v>
      </c>
      <c r="IC15" s="1165">
        <v>8</v>
      </c>
      <c r="ID15" s="1165">
        <v>8</v>
      </c>
      <c r="IE15" s="1165">
        <v>8</v>
      </c>
      <c r="IF15" s="1165">
        <v>8</v>
      </c>
      <c r="IG15" s="1165">
        <v>8</v>
      </c>
      <c r="IH15" s="1165">
        <v>8</v>
      </c>
      <c r="II15" s="1165">
        <v>8</v>
      </c>
      <c r="IJ15" s="1165">
        <v>8</v>
      </c>
      <c r="IK15" s="1165">
        <v>8</v>
      </c>
      <c r="IL15" s="1165">
        <v>8</v>
      </c>
      <c r="IM15" s="1165">
        <v>8</v>
      </c>
      <c r="IN15" s="1165">
        <v>8</v>
      </c>
      <c r="IO15" s="1165">
        <v>8</v>
      </c>
      <c r="IP15" s="1165">
        <v>8</v>
      </c>
      <c r="IQ15" s="1165">
        <v>8</v>
      </c>
      <c r="IR15" s="1165">
        <v>8</v>
      </c>
      <c r="IS15" s="1165">
        <v>8</v>
      </c>
      <c r="IT15" s="1165">
        <v>8</v>
      </c>
      <c r="IU15" s="1165">
        <v>8</v>
      </c>
      <c r="IV15" s="1165">
        <v>8</v>
      </c>
      <c r="IW15" s="1165">
        <v>23</v>
      </c>
    </row>
  </sheetData>
  <sheetProtection sheet="1" formatColumns="0" formatRows="0" autoFilter="0" sort="1" insertRows="1" insertColumns="1" deleteRows="1" deleteColumns="1"/>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5941FB-26E1-DC5F-EFB7-0.81E4C7C2}"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45" width="9.140625" hidden="1"/>
    <col min="2" max="2" style="1376" width="9.140625" hidden="1"/>
    <col min="3" max="3" style="1645" width="3.7109375" hidden="1" customWidth="1"/>
    <col min="4" max="4" style="1852" width="3.00390625" customWidth="1"/>
    <col min="5" max="5" style="1645" width="6.00390625" customWidth="1"/>
    <col min="6" max="6" style="1645" width="27.00390625" customWidth="1"/>
    <col min="7" max="7" style="1645" width="16.00390625" customWidth="1"/>
    <col min="8" max="8" style="1645" width="12.00390625" customWidth="1"/>
    <col min="9" max="9" style="1645" width="32.00390625" customWidth="1"/>
    <col min="10" max="11" style="1645" width="41.00390625" customWidth="1"/>
    <col min="12" max="12" style="1645" width="89.00390625" customWidth="1"/>
    <col min="13" max="13" style="1634" width="3.00390625" customWidth="1"/>
    <col min="14" max="16" style="1634" width="8.00390625" customWidth="1"/>
    <col min="17" max="17" style="1634" width="25.00390625" customWidth="1"/>
    <col min="18" max="18" style="1634" width="14.00390625" customWidth="1"/>
    <col min="19" max="22" style="235" width="8.00390625" customWidth="1"/>
    <col min="23" max="256" style="1645" width="8.00390625" customWidth="1"/>
    <col min="257" max="257" style="1645" width="9.140625" hidden="1"/>
  </cols>
  <sheetData>
    <row customHeight="1" ht="22.5" hidden="1">
      <c r="IW1" s="1641" t="s">
        <v>14</v>
      </c>
    </row>
    <row s="1860" customFormat="1" customHeight="1" ht="22.5" hidden="1">
      <c r="A2" s="841"/>
      <c r="B2" s="1376">
        <v>1</v>
      </c>
      <c r="C2" s="1376"/>
      <c r="D2" s="1938" t="s">
        <v>105</v>
      </c>
      <c r="E2" s="1914"/>
      <c r="F2" s="1916" t="str">
        <f>IF(ROIV_INFO_NAME="","",ROIV_INFO_NAME)</f>
        <v>АО «ДГК» СП «Нерюнгринская ГРЭС»</v>
      </c>
      <c r="G2" s="1742" t="s">
        <v>22</v>
      </c>
      <c r="H2" s="1926"/>
      <c r="I2" s="1548"/>
      <c r="J2" s="828"/>
      <c r="K2" s="828"/>
      <c r="L2" s="238"/>
      <c r="M2" s="1545">
        <f>MERGEVALUE(F2)</f>
      </c>
      <c r="N2" s="1646"/>
      <c r="O2" s="1646"/>
      <c r="P2" s="1634" t="str">
        <f t="array" ref="P2:P2">IF(ISERROR(MATCH(MID(Q2,1,250),MID(note_ter,1,250),0)),"n","y")</f>
        <v>n</v>
      </c>
      <c r="Q2" s="1646"/>
      <c r="R2" s="1634" t="str">
        <f>G2&amp;"("&amp;L2&amp;")"</f>
        <v>()</v>
      </c>
      <c r="S2" s="1376"/>
      <c r="T2" s="1376"/>
      <c r="U2" s="430"/>
      <c r="V2" s="1376"/>
      <c r="W2" s="1376"/>
      <c r="X2" s="1376"/>
      <c r="Y2" s="843"/>
      <c r="Z2" s="843"/>
      <c r="AA2" s="637"/>
      <c r="AB2" s="637"/>
      <c r="AC2" s="637"/>
      <c r="AD2" s="637"/>
      <c r="AE2" s="637"/>
      <c r="AF2" s="637"/>
      <c r="AG2" s="637"/>
      <c r="AH2" s="637"/>
      <c r="AI2" s="637"/>
      <c r="AJ2" s="637"/>
      <c r="AK2" s="637"/>
      <c r="AL2" s="637"/>
      <c r="AM2" s="637"/>
      <c r="AN2" s="637"/>
      <c r="AO2" s="637"/>
      <c r="AP2" s="637"/>
      <c r="AQ2" s="637"/>
      <c r="AR2" s="637"/>
      <c r="AS2" s="637"/>
      <c r="AT2" s="637"/>
      <c r="AU2" s="637"/>
      <c r="AV2" s="637"/>
      <c r="AW2" s="637"/>
      <c r="AX2" s="637"/>
      <c r="AY2" s="637"/>
      <c r="AZ2" s="637"/>
      <c r="BA2" s="637"/>
      <c r="BB2" s="637"/>
      <c r="BC2" s="637"/>
      <c r="BD2" s="637"/>
      <c r="BE2" s="637"/>
      <c r="BF2" s="637"/>
      <c r="BG2" s="637"/>
      <c r="BH2" s="637"/>
      <c r="BI2" s="637"/>
      <c r="BJ2" s="637"/>
      <c r="BK2" s="637"/>
      <c r="BL2" s="637"/>
      <c r="BM2" s="637"/>
      <c r="BN2" s="637"/>
      <c r="BO2" s="637"/>
      <c r="BP2" s="637"/>
      <c r="BQ2" s="637"/>
      <c r="BR2" s="637"/>
      <c r="BS2" s="637"/>
      <c r="BT2" s="637"/>
      <c r="BU2" s="637"/>
      <c r="BV2" s="843"/>
      <c r="BW2" s="843"/>
      <c r="BX2" s="843"/>
      <c r="BY2" s="843"/>
      <c r="BZ2" s="843"/>
      <c r="CA2" s="843"/>
      <c r="CB2" s="843"/>
      <c r="CC2" s="843"/>
      <c r="CD2" s="843"/>
      <c r="CE2" s="843"/>
      <c r="IW2" s="634">
        <v>0</v>
      </c>
    </row>
    <row s="1652" customFormat="1" customHeight="1" ht="5.25" hidden="1">
      <c r="A3" s="1651"/>
      <c r="D3" s="1903"/>
      <c r="F3" s="258" t="s">
        <v>83</v>
      </c>
      <c r="G3" s="1745" t="s">
        <v>84</v>
      </c>
      <c r="H3" s="1903"/>
      <c r="I3" s="1903"/>
      <c r="J3" s="1903"/>
      <c r="K3" s="1903"/>
      <c r="L3" s="237" t="s">
        <v>85</v>
      </c>
      <c r="M3" s="258" t="s">
        <v>83</v>
      </c>
      <c r="N3" s="258"/>
      <c r="O3" s="258"/>
      <c r="P3" s="258"/>
      <c r="Q3" s="258"/>
      <c r="R3" s="258"/>
      <c r="S3" s="258"/>
      <c r="T3" s="258"/>
      <c r="U3" s="258"/>
      <c r="V3" s="258"/>
      <c r="W3" s="237"/>
      <c r="X3" s="237"/>
      <c r="Y3" s="237"/>
      <c r="Z3" s="237"/>
      <c r="AA3" s="237"/>
      <c r="AB3" s="237"/>
      <c r="AC3" s="237"/>
      <c r="AD3" s="237"/>
      <c r="AE3" s="237"/>
      <c r="AF3" s="237"/>
      <c r="AG3" s="237"/>
      <c r="AH3" s="237"/>
      <c r="AI3" s="237"/>
      <c r="AJ3" s="237"/>
      <c r="AK3" s="237"/>
      <c r="AL3" s="237"/>
      <c r="AM3" s="237"/>
      <c r="AN3" s="237"/>
      <c r="AO3" s="237"/>
      <c r="AP3" s="237"/>
      <c r="AQ3" s="237"/>
      <c r="AR3" s="237"/>
      <c r="AS3" s="237"/>
      <c r="AT3" s="237"/>
      <c r="AU3" s="237"/>
      <c r="AV3" s="237"/>
      <c r="AW3" s="237"/>
      <c r="AX3" s="237"/>
      <c r="AY3" s="237"/>
      <c r="AZ3" s="237"/>
      <c r="BA3" s="237"/>
      <c r="BB3" s="237"/>
      <c r="BC3" s="237"/>
      <c r="BD3" s="237"/>
      <c r="BE3" s="237"/>
      <c r="BF3" s="237"/>
      <c r="BG3" s="237"/>
      <c r="BH3" s="237"/>
      <c r="BI3" s="237"/>
      <c r="BJ3" s="237"/>
      <c r="BK3" s="237"/>
      <c r="BL3" s="237"/>
      <c r="BM3" s="237"/>
      <c r="BN3" s="237"/>
      <c r="BO3" s="237"/>
      <c r="BP3" s="237"/>
      <c r="BQ3" s="237"/>
      <c r="BR3" s="237"/>
      <c r="BS3" s="237"/>
      <c r="BT3" s="237"/>
      <c r="BU3" s="237"/>
      <c r="BV3" s="237"/>
      <c r="BW3" s="237"/>
      <c r="BX3" s="237"/>
      <c r="BY3" s="237"/>
      <c r="BZ3" s="237"/>
      <c r="CA3" s="237"/>
      <c r="CB3" s="237"/>
      <c r="CC3" s="237"/>
      <c r="CD3" s="237"/>
      <c r="CE3" s="237"/>
      <c r="CF3" s="237"/>
      <c r="CG3" s="237"/>
      <c r="CH3" s="237"/>
      <c r="CI3" s="237"/>
      <c r="CJ3" s="237"/>
      <c r="CK3" s="237"/>
      <c r="CL3" s="237"/>
      <c r="CM3" s="237"/>
      <c r="CN3" s="237"/>
      <c r="CO3" s="237"/>
      <c r="CP3" s="237"/>
      <c r="CQ3" s="237"/>
      <c r="CR3" s="237"/>
      <c r="CS3" s="237"/>
      <c r="CT3" s="237"/>
      <c r="CU3" s="237"/>
      <c r="CV3" s="237"/>
      <c r="CW3" s="237"/>
      <c r="CX3" s="237"/>
      <c r="CY3" s="237"/>
      <c r="CZ3" s="237"/>
      <c r="DA3" s="237"/>
      <c r="DB3" s="237"/>
      <c r="DC3" s="237"/>
      <c r="DD3" s="237"/>
      <c r="DE3" s="237"/>
      <c r="DF3" s="237"/>
      <c r="DG3" s="237"/>
      <c r="DH3" s="237"/>
      <c r="DI3" s="237"/>
      <c r="DJ3" s="237"/>
      <c r="DK3" s="237"/>
      <c r="DL3" s="237"/>
      <c r="DM3" s="237"/>
      <c r="DN3" s="237"/>
      <c r="DO3" s="237"/>
      <c r="DP3" s="237"/>
      <c r="DQ3" s="237"/>
      <c r="DR3" s="237"/>
      <c r="DS3" s="237"/>
      <c r="DT3" s="237"/>
      <c r="DU3" s="237"/>
      <c r="DV3" s="237"/>
      <c r="DW3" s="237"/>
      <c r="DX3" s="237"/>
      <c r="DY3" s="237"/>
      <c r="DZ3" s="237"/>
      <c r="EA3" s="237"/>
      <c r="EB3" s="237"/>
      <c r="EC3" s="237"/>
      <c r="ED3" s="237"/>
      <c r="EE3" s="237"/>
      <c r="EF3" s="237"/>
      <c r="EG3" s="237"/>
      <c r="EH3" s="237"/>
      <c r="EI3" s="237"/>
      <c r="EJ3" s="237"/>
      <c r="EK3" s="237"/>
      <c r="EL3" s="237"/>
      <c r="EM3" s="237"/>
      <c r="EN3" s="237"/>
      <c r="EO3" s="237"/>
      <c r="EP3" s="237"/>
      <c r="EQ3" s="237"/>
      <c r="ER3" s="237"/>
      <c r="ES3" s="237"/>
      <c r="ET3" s="237"/>
      <c r="EU3" s="237"/>
      <c r="EV3" s="237"/>
      <c r="EW3" s="237"/>
      <c r="EX3" s="237"/>
      <c r="EY3" s="237"/>
      <c r="EZ3" s="237"/>
      <c r="FA3" s="237"/>
      <c r="FB3" s="237"/>
      <c r="FC3" s="237"/>
      <c r="FD3" s="237"/>
      <c r="FE3" s="237"/>
      <c r="FF3" s="237"/>
      <c r="FG3" s="237"/>
      <c r="FH3" s="237"/>
      <c r="FI3" s="237"/>
      <c r="FJ3" s="237"/>
      <c r="FK3" s="237"/>
      <c r="FL3" s="237"/>
      <c r="FM3" s="237"/>
      <c r="FN3" s="237"/>
      <c r="FO3" s="237"/>
      <c r="FP3" s="237"/>
      <c r="FQ3" s="237"/>
      <c r="FR3" s="237"/>
      <c r="FS3" s="237"/>
      <c r="FT3" s="237"/>
      <c r="FU3" s="237"/>
      <c r="FV3" s="237"/>
      <c r="FW3" s="237"/>
      <c r="FX3" s="237"/>
      <c r="FY3" s="237"/>
      <c r="FZ3" s="237"/>
      <c r="GA3" s="237"/>
      <c r="GB3" s="237"/>
      <c r="GC3" s="237"/>
      <c r="GD3" s="237"/>
      <c r="GE3" s="237"/>
      <c r="GF3" s="237"/>
      <c r="GG3" s="237"/>
      <c r="GH3" s="237"/>
      <c r="GI3" s="237"/>
      <c r="GJ3" s="237"/>
      <c r="GK3" s="237"/>
      <c r="GL3" s="237"/>
      <c r="GM3" s="237"/>
      <c r="GN3" s="237"/>
      <c r="GO3" s="237"/>
      <c r="GP3" s="237"/>
      <c r="GQ3" s="237"/>
      <c r="GR3" s="237"/>
      <c r="GS3" s="237"/>
      <c r="GT3" s="237"/>
      <c r="GU3" s="237"/>
      <c r="GV3" s="237"/>
      <c r="GW3" s="237"/>
      <c r="GX3" s="237"/>
      <c r="GY3" s="237"/>
      <c r="GZ3" s="237"/>
      <c r="HA3" s="237"/>
      <c r="HB3" s="237"/>
      <c r="HC3" s="237"/>
      <c r="HD3" s="237"/>
      <c r="HE3" s="237"/>
      <c r="HF3" s="237"/>
      <c r="HG3" s="237"/>
      <c r="HH3" s="237"/>
      <c r="HI3" s="237"/>
      <c r="HJ3" s="237"/>
      <c r="HK3" s="237"/>
      <c r="HL3" s="237"/>
      <c r="HM3" s="237"/>
      <c r="HN3" s="237"/>
      <c r="HO3" s="237"/>
      <c r="HP3" s="237"/>
      <c r="HQ3" s="237"/>
      <c r="HR3" s="237"/>
      <c r="HS3" s="237"/>
      <c r="HT3" s="237"/>
      <c r="HU3" s="237"/>
      <c r="HV3" s="237"/>
      <c r="HW3" s="237"/>
      <c r="HX3" s="237"/>
      <c r="HY3" s="237"/>
      <c r="HZ3" s="237"/>
      <c r="IA3" s="237"/>
      <c r="IB3" s="237"/>
      <c r="IC3" s="237"/>
      <c r="ID3" s="237"/>
      <c r="IE3" s="237"/>
      <c r="IF3" s="237"/>
      <c r="IG3" s="237"/>
      <c r="IH3" s="237"/>
      <c r="II3" s="237"/>
      <c r="IJ3" s="237"/>
      <c r="IK3" s="237"/>
      <c r="IL3" s="237"/>
      <c r="IM3" s="237"/>
      <c r="IN3" s="237"/>
      <c r="IO3" s="237"/>
      <c r="IP3" s="237"/>
      <c r="IQ3" s="237"/>
      <c r="IR3" s="237"/>
      <c r="IS3" s="237"/>
      <c r="IT3" s="237"/>
      <c r="IU3" s="237"/>
      <c r="IV3" s="237"/>
      <c r="IW3" s="1646">
        <v>0</v>
      </c>
    </row>
    <row s="1829" customFormat="1" customHeight="1" ht="14.699999999999998">
      <c r="A4" s="1641"/>
      <c r="B4" s="1376"/>
      <c r="C4" s="1641"/>
      <c r="D4" s="1525"/>
      <c r="E4" s="1645"/>
      <c r="F4" s="1645"/>
      <c r="G4" s="1645"/>
      <c r="H4" s="1645"/>
      <c r="I4" s="1645"/>
      <c r="J4" s="1645"/>
      <c r="K4" s="1645"/>
      <c r="L4" s="1905"/>
      <c r="M4" s="258"/>
      <c r="N4" s="1634"/>
      <c r="O4" s="1634"/>
      <c r="P4" s="1634"/>
      <c r="Q4" s="1634"/>
      <c r="R4" s="1634"/>
      <c r="S4" s="235"/>
      <c r="T4" s="235"/>
      <c r="U4" s="235"/>
      <c r="V4" s="235"/>
      <c r="IW4" s="1619">
        <v>14</v>
      </c>
    </row>
    <row s="1829" customFormat="1" customHeight="1" ht="27.299999999999997">
      <c r="A5" s="1641"/>
      <c r="B5" s="1376"/>
      <c r="C5" s="1641"/>
      <c r="D5" s="1525"/>
      <c r="E5" s="211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10"/>
      <c r="G5" s="2110"/>
      <c r="H5" s="2110"/>
      <c r="I5" s="2110"/>
      <c r="J5" s="2110"/>
      <c r="K5" s="2110"/>
      <c r="L5" s="1645"/>
      <c r="M5" s="258"/>
      <c r="N5" s="1634"/>
      <c r="O5" s="1634"/>
      <c r="P5" s="1634"/>
      <c r="Q5" s="1634"/>
      <c r="R5" s="1634"/>
      <c r="S5" s="235"/>
      <c r="T5" s="235"/>
      <c r="U5" s="235"/>
      <c r="V5" s="235"/>
      <c r="IW5" s="1619">
        <v>26</v>
      </c>
    </row>
    <row s="1829" customFormat="1" customHeight="1" ht="14.699999999999998">
      <c r="A6" s="1641"/>
      <c r="B6" s="1376"/>
      <c r="C6" s="1641"/>
      <c r="D6" s="1525"/>
      <c r="E6" s="1645"/>
      <c r="F6" s="626"/>
      <c r="G6" s="626"/>
      <c r="H6" s="626"/>
      <c r="I6" s="626"/>
      <c r="J6" s="626"/>
      <c r="K6" s="626"/>
      <c r="L6" s="1262"/>
      <c r="M6" s="1634"/>
      <c r="N6" s="1634"/>
      <c r="O6" s="1634"/>
      <c r="P6" s="1634"/>
      <c r="Q6" s="1634"/>
      <c r="R6" s="1634"/>
      <c r="S6" s="235"/>
      <c r="T6" s="235"/>
      <c r="U6" s="235"/>
      <c r="V6" s="235"/>
      <c r="IW6" s="1619">
        <v>14</v>
      </c>
    </row>
    <row s="1829" customFormat="1" customHeight="1" ht="14.699999999999998">
      <c r="A7" s="1641"/>
      <c r="B7" s="1376"/>
      <c r="C7" s="1641"/>
      <c r="D7" s="1525"/>
      <c r="E7" s="2111" t="s">
        <v>322</v>
      </c>
      <c r="F7" s="2112"/>
      <c r="G7" s="2112"/>
      <c r="H7" s="2112"/>
      <c r="I7" s="2112"/>
      <c r="J7" s="2112"/>
      <c r="K7" s="2112"/>
      <c r="L7" s="2484" t="s">
        <v>323</v>
      </c>
      <c r="M7" s="1634"/>
      <c r="N7" s="1634"/>
      <c r="O7" s="1634"/>
      <c r="P7" s="1634"/>
      <c r="Q7" s="1634"/>
      <c r="R7" s="1634"/>
      <c r="S7" s="235"/>
      <c r="T7" s="235"/>
      <c r="U7" s="235"/>
      <c r="V7" s="235"/>
      <c r="IW7" s="1619">
        <v>14</v>
      </c>
    </row>
    <row s="1829" customFormat="1" customHeight="1" ht="67.2">
      <c r="A8" s="1641"/>
      <c r="B8" s="1376"/>
      <c r="C8" s="1641"/>
      <c r="D8" s="1525"/>
      <c r="E8" s="2488" t="s">
        <v>88</v>
      </c>
      <c r="F8" s="2488" t="s">
        <v>2160</v>
      </c>
      <c r="G8" s="2490" t="s">
        <v>2161</v>
      </c>
      <c r="H8" s="2491"/>
      <c r="I8" s="2492"/>
      <c r="J8" s="2488" t="s">
        <v>2162</v>
      </c>
      <c r="K8" s="248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6"/>
      <c r="M8" s="1634"/>
      <c r="N8" s="1634"/>
      <c r="O8" s="1634"/>
      <c r="P8" s="1634"/>
      <c r="Q8" s="1634"/>
      <c r="R8" s="1634"/>
      <c r="S8" s="235"/>
      <c r="T8" s="235"/>
      <c r="U8" s="235"/>
      <c r="V8" s="235"/>
      <c r="IW8" s="1619">
        <v>64</v>
      </c>
    </row>
    <row s="1829" customFormat="1" customHeight="1" ht="29.25">
      <c r="A9" s="1641"/>
      <c r="B9" s="1376"/>
      <c r="C9" s="1641"/>
      <c r="D9" s="1525"/>
      <c r="E9" s="2489"/>
      <c r="F9" s="2489"/>
      <c r="G9" s="1904" t="s">
        <v>2156</v>
      </c>
      <c r="H9" s="1904" t="s">
        <v>2157</v>
      </c>
      <c r="I9" s="1904" t="s">
        <v>2158</v>
      </c>
      <c r="J9" s="2489"/>
      <c r="K9" s="2489"/>
      <c r="L9" s="2485"/>
      <c r="M9" s="1634"/>
      <c r="N9" s="1634"/>
      <c r="O9" s="1634"/>
      <c r="P9" s="1634"/>
      <c r="Q9" s="1634"/>
      <c r="R9" s="1634"/>
      <c r="S9" s="235"/>
      <c r="T9" s="235"/>
      <c r="U9" s="235"/>
      <c r="V9" s="235"/>
      <c r="IW9" s="1619">
        <v>28</v>
      </c>
    </row>
    <row s="1860" customFormat="1" customHeight="1" ht="1.05">
      <c r="A10" s="2109"/>
      <c r="B10" s="1376">
        <v>1</v>
      </c>
      <c r="C10" s="1376"/>
      <c r="D10" s="810"/>
      <c r="E10" s="805">
        <v>0</v>
      </c>
      <c r="F10" s="1901" t="str">
        <f>IF(ROIV_INFO_NAME="","",ROIV_INFO_NAME)</f>
        <v>АО «ДГК» СП «Нерюнгринская ГРЭС»</v>
      </c>
      <c r="G10" s="1743" t="s">
        <v>22</v>
      </c>
      <c r="H10" s="1913"/>
      <c r="I10" s="1913"/>
      <c r="J10" s="529"/>
      <c r="K10" s="529"/>
      <c r="L10" s="244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5">
        <f>MERGEVALUE(F10)</f>
      </c>
      <c r="N10" s="1646"/>
      <c r="O10" s="1646"/>
      <c r="P10" s="1634" t="str">
        <f t="array" ref="P10:P10">IF(ISERROR(MATCH(MID(Q10,1,250),MID(note_ter,1,250),0)),"n","y")</f>
        <v>n</v>
      </c>
      <c r="Q10" s="1646"/>
      <c r="R10" s="163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6"/>
      <c r="T10" s="1376"/>
      <c r="U10" s="430"/>
      <c r="V10" s="1376"/>
      <c r="W10" s="1376"/>
      <c r="X10" s="1376"/>
      <c r="Y10" s="843"/>
      <c r="Z10" s="843"/>
      <c r="AA10" s="637"/>
      <c r="AB10" s="637"/>
      <c r="AC10" s="637"/>
      <c r="AD10" s="637"/>
      <c r="AE10" s="637"/>
      <c r="AF10" s="637"/>
      <c r="AG10" s="637"/>
      <c r="AH10" s="637"/>
      <c r="AI10" s="637"/>
      <c r="AJ10" s="637"/>
      <c r="AK10" s="637"/>
      <c r="AL10" s="637"/>
      <c r="AM10" s="637"/>
      <c r="AN10" s="637"/>
      <c r="AO10" s="637"/>
      <c r="AP10" s="637"/>
      <c r="AQ10" s="637"/>
      <c r="AR10" s="637"/>
      <c r="AS10" s="637"/>
      <c r="AT10" s="637"/>
      <c r="AU10" s="637"/>
      <c r="AV10" s="637"/>
      <c r="AW10" s="637"/>
      <c r="AX10" s="637"/>
      <c r="AY10" s="637"/>
      <c r="AZ10" s="637"/>
      <c r="BA10" s="637"/>
      <c r="BB10" s="637"/>
      <c r="BC10" s="637"/>
      <c r="BD10" s="637"/>
      <c r="BE10" s="637"/>
      <c r="BF10" s="637"/>
      <c r="BG10" s="637"/>
      <c r="BH10" s="637"/>
      <c r="BI10" s="637"/>
      <c r="BJ10" s="637"/>
      <c r="BK10" s="637"/>
      <c r="BL10" s="637"/>
      <c r="BM10" s="637"/>
      <c r="BN10" s="637"/>
      <c r="BO10" s="637"/>
      <c r="BP10" s="637"/>
      <c r="BQ10" s="637"/>
      <c r="BR10" s="637"/>
      <c r="BS10" s="637"/>
      <c r="BT10" s="637"/>
      <c r="BU10" s="637"/>
      <c r="BV10" s="843"/>
      <c r="BW10" s="843"/>
      <c r="BX10" s="843"/>
      <c r="BY10" s="843"/>
      <c r="BZ10" s="843"/>
      <c r="CA10" s="843"/>
      <c r="CB10" s="843"/>
      <c r="CC10" s="843"/>
      <c r="CD10" s="843"/>
      <c r="CE10" s="843"/>
      <c r="IW10" s="634">
        <v>1</v>
      </c>
    </row>
    <row s="1860" customFormat="1" customHeight="1" ht="15.75">
      <c r="A11" s="2109"/>
      <c r="B11" s="1376"/>
      <c r="C11" s="422"/>
      <c r="D11" s="811"/>
      <c r="E11" s="431"/>
      <c r="F11" s="661" t="s">
        <v>2159</v>
      </c>
      <c r="G11" s="197"/>
      <c r="H11" s="197"/>
      <c r="I11" s="197"/>
      <c r="J11" s="197"/>
      <c r="K11" s="434"/>
      <c r="L11" s="2487"/>
      <c r="M11" s="1546"/>
      <c r="N11" s="1646"/>
      <c r="O11" s="1646"/>
      <c r="P11" s="1646"/>
      <c r="Q11" s="1634"/>
      <c r="R11" s="1646"/>
      <c r="S11" s="1376"/>
      <c r="T11" s="1376"/>
      <c r="U11" s="430"/>
      <c r="V11" s="1376"/>
      <c r="W11" s="1376"/>
      <c r="X11" s="1376"/>
      <c r="Y11" s="843"/>
      <c r="Z11" s="843"/>
      <c r="AA11" s="637"/>
      <c r="AB11" s="637"/>
      <c r="AC11" s="637"/>
      <c r="AD11" s="637"/>
      <c r="AE11" s="637"/>
      <c r="AF11" s="637"/>
      <c r="AG11" s="637"/>
      <c r="AH11" s="637"/>
      <c r="AI11" s="637"/>
      <c r="AJ11" s="637"/>
      <c r="AK11" s="637"/>
      <c r="AL11" s="637"/>
      <c r="AM11" s="637"/>
      <c r="AN11" s="637"/>
      <c r="AO11" s="637"/>
      <c r="AP11" s="637"/>
      <c r="AQ11" s="637"/>
      <c r="AR11" s="637"/>
      <c r="AS11" s="637"/>
      <c r="AT11" s="637"/>
      <c r="AU11" s="637"/>
      <c r="AV11" s="637"/>
      <c r="AW11" s="637"/>
      <c r="AX11" s="637"/>
      <c r="AY11" s="637"/>
      <c r="AZ11" s="637"/>
      <c r="BA11" s="637"/>
      <c r="BB11" s="637"/>
      <c r="BC11" s="637"/>
      <c r="BD11" s="637"/>
      <c r="BE11" s="637"/>
      <c r="BF11" s="637"/>
      <c r="BG11" s="637"/>
      <c r="BH11" s="637"/>
      <c r="BI11" s="637"/>
      <c r="BJ11" s="637"/>
      <c r="BK11" s="637"/>
      <c r="BL11" s="637"/>
      <c r="BM11" s="637"/>
      <c r="BN11" s="637"/>
      <c r="BO11" s="637"/>
      <c r="BP11" s="637"/>
      <c r="BQ11" s="637"/>
      <c r="BR11" s="637"/>
      <c r="BS11" s="637"/>
      <c r="BT11" s="637"/>
      <c r="BU11" s="637"/>
      <c r="BV11" s="843"/>
      <c r="BW11" s="843"/>
      <c r="BX11" s="843"/>
      <c r="BY11" s="843"/>
      <c r="BZ11" s="843"/>
      <c r="CA11" s="843"/>
      <c r="CB11" s="843"/>
      <c r="CC11" s="843"/>
      <c r="CD11" s="843"/>
      <c r="CE11" s="843"/>
      <c r="IW11" s="634">
        <v>15</v>
      </c>
    </row>
    <row s="1829" customFormat="1" customHeight="1" ht="22.049999999999997">
      <c r="A12" s="1641"/>
      <c r="B12" s="1376"/>
      <c r="C12" s="1641"/>
      <c r="D12" s="1643"/>
      <c r="E12" s="190"/>
      <c r="F12" s="190"/>
      <c r="G12" s="190"/>
      <c r="H12" s="190"/>
      <c r="I12" s="190"/>
      <c r="J12" s="190"/>
      <c r="K12" s="190"/>
      <c r="L12" s="190"/>
      <c r="M12" s="1634"/>
      <c r="N12" s="1634"/>
      <c r="O12" s="1634"/>
      <c r="P12" s="1634"/>
      <c r="Q12" s="1634"/>
      <c r="R12" s="1634"/>
      <c r="S12" s="235"/>
      <c r="T12" s="235"/>
      <c r="U12" s="235"/>
      <c r="V12" s="235"/>
      <c r="IW12" s="1619">
        <v>21</v>
      </c>
    </row>
    <row s="1829" customFormat="1" customHeight="1" ht="14.699999999999998">
      <c r="A13" s="1641"/>
      <c r="B13" s="1376"/>
      <c r="C13" s="1641"/>
      <c r="D13" s="1643"/>
      <c r="E13" s="1641"/>
      <c r="F13" s="1641"/>
      <c r="G13" s="1641"/>
      <c r="H13" s="1641"/>
      <c r="I13" s="1641"/>
      <c r="J13" s="1641"/>
      <c r="K13" s="1641"/>
      <c r="L13" s="1641"/>
      <c r="M13" s="1634"/>
      <c r="N13" s="1634"/>
      <c r="O13" s="1634"/>
      <c r="P13" s="1634"/>
      <c r="Q13" s="1634"/>
      <c r="R13" s="1634"/>
      <c r="S13" s="235"/>
      <c r="T13" s="235"/>
      <c r="U13" s="235"/>
      <c r="V13" s="235"/>
      <c r="IW13" s="1619">
        <v>14</v>
      </c>
    </row>
    <row s="1829" customFormat="1" customHeight="1" ht="1.05">
      <c r="A14" s="1641"/>
      <c r="B14" s="1376"/>
      <c r="C14" s="1641"/>
      <c r="D14" s="1643"/>
      <c r="E14" s="1641"/>
      <c r="F14" s="1641"/>
      <c r="G14" s="1641"/>
      <c r="H14" s="1641"/>
      <c r="I14" s="1641"/>
      <c r="J14" s="1641"/>
      <c r="K14" s="1641"/>
      <c r="L14" s="1641"/>
      <c r="M14" s="1634"/>
      <c r="N14" s="1634"/>
      <c r="O14" s="1634"/>
      <c r="P14" s="1634"/>
      <c r="Q14" s="1634"/>
      <c r="R14" s="1634"/>
      <c r="S14" s="235"/>
      <c r="T14" s="235"/>
      <c r="U14" s="235"/>
      <c r="V14" s="235"/>
      <c r="IW14" s="1619">
        <v>1</v>
      </c>
    </row>
    <row customHeight="1" ht="22.5" hidden="1">
      <c r="A15" s="1641" t="s">
        <v>82</v>
      </c>
      <c r="B15" s="1376">
        <v>0</v>
      </c>
      <c r="C15" s="1641">
        <v>0</v>
      </c>
      <c r="D15" s="1643">
        <v>3</v>
      </c>
      <c r="E15" s="1641">
        <v>6</v>
      </c>
      <c r="F15" s="1641">
        <v>27</v>
      </c>
      <c r="G15" s="1641">
        <v>16</v>
      </c>
      <c r="H15" s="1641">
        <v>12</v>
      </c>
      <c r="I15" s="1641">
        <v>32</v>
      </c>
      <c r="J15" s="1641">
        <v>41</v>
      </c>
      <c r="K15" s="1641">
        <v>41</v>
      </c>
      <c r="L15" s="1641">
        <v>89</v>
      </c>
      <c r="M15" s="1634">
        <v>3</v>
      </c>
      <c r="N15" s="1634">
        <v>8</v>
      </c>
      <c r="O15" s="1634">
        <v>8</v>
      </c>
      <c r="P15" s="1634">
        <v>8</v>
      </c>
      <c r="Q15" s="1634">
        <v>25</v>
      </c>
      <c r="R15" s="1634">
        <v>14</v>
      </c>
      <c r="S15" s="235">
        <v>8</v>
      </c>
      <c r="T15" s="235">
        <v>8</v>
      </c>
      <c r="U15" s="235">
        <v>8</v>
      </c>
      <c r="V15" s="235">
        <v>8</v>
      </c>
      <c r="W15" s="1641">
        <v>8</v>
      </c>
      <c r="X15" s="1641">
        <v>8</v>
      </c>
      <c r="Y15" s="1641">
        <v>8</v>
      </c>
      <c r="Z15" s="1641">
        <v>8</v>
      </c>
      <c r="AA15" s="1641">
        <v>8</v>
      </c>
      <c r="AB15" s="1641">
        <v>8</v>
      </c>
      <c r="AC15" s="1641">
        <v>8</v>
      </c>
      <c r="AD15" s="1641">
        <v>8</v>
      </c>
      <c r="AE15" s="1641">
        <v>8</v>
      </c>
      <c r="AF15" s="1641">
        <v>8</v>
      </c>
      <c r="AG15" s="1641">
        <v>8</v>
      </c>
      <c r="AH15" s="1641">
        <v>8</v>
      </c>
      <c r="AI15" s="1641">
        <v>8</v>
      </c>
      <c r="AJ15" s="1641">
        <v>8</v>
      </c>
      <c r="AK15" s="1641">
        <v>8</v>
      </c>
      <c r="AL15" s="1641">
        <v>8</v>
      </c>
      <c r="AM15" s="1641">
        <v>8</v>
      </c>
      <c r="AN15" s="1641">
        <v>8</v>
      </c>
      <c r="AO15" s="1641">
        <v>8</v>
      </c>
      <c r="AP15" s="1641">
        <v>8</v>
      </c>
      <c r="AQ15" s="1641">
        <v>8</v>
      </c>
      <c r="AR15" s="1641">
        <v>8</v>
      </c>
      <c r="AS15" s="1641">
        <v>8</v>
      </c>
      <c r="AT15" s="1641">
        <v>8</v>
      </c>
      <c r="AU15" s="1641">
        <v>8</v>
      </c>
      <c r="AV15" s="1641">
        <v>8</v>
      </c>
      <c r="AW15" s="1641">
        <v>8</v>
      </c>
      <c r="AX15" s="1641">
        <v>8</v>
      </c>
      <c r="AY15" s="1641">
        <v>8</v>
      </c>
      <c r="AZ15" s="1641">
        <v>8</v>
      </c>
      <c r="BA15" s="1641">
        <v>8</v>
      </c>
      <c r="BB15" s="1641">
        <v>8</v>
      </c>
      <c r="BC15" s="1641">
        <v>8</v>
      </c>
      <c r="BD15" s="1641">
        <v>8</v>
      </c>
      <c r="BE15" s="1641">
        <v>8</v>
      </c>
      <c r="BF15" s="1641">
        <v>8</v>
      </c>
      <c r="BG15" s="1641">
        <v>8</v>
      </c>
      <c r="BH15" s="1641">
        <v>8</v>
      </c>
      <c r="BI15" s="1641">
        <v>8</v>
      </c>
      <c r="BJ15" s="1641">
        <v>8</v>
      </c>
      <c r="BK15" s="1641">
        <v>8</v>
      </c>
      <c r="BL15" s="1641">
        <v>8</v>
      </c>
      <c r="BM15" s="1641">
        <v>8</v>
      </c>
      <c r="BN15" s="1641">
        <v>8</v>
      </c>
      <c r="BO15" s="1641">
        <v>8</v>
      </c>
      <c r="BP15" s="1641">
        <v>8</v>
      </c>
      <c r="BQ15" s="1641">
        <v>8</v>
      </c>
      <c r="BR15" s="1641">
        <v>8</v>
      </c>
      <c r="BS15" s="1641">
        <v>8</v>
      </c>
      <c r="BT15" s="1641">
        <v>8</v>
      </c>
      <c r="BU15" s="1641">
        <v>8</v>
      </c>
      <c r="BV15" s="1641">
        <v>8</v>
      </c>
      <c r="BW15" s="1641">
        <v>8</v>
      </c>
      <c r="BX15" s="1641">
        <v>8</v>
      </c>
      <c r="BY15" s="1641">
        <v>8</v>
      </c>
      <c r="BZ15" s="1641">
        <v>8</v>
      </c>
      <c r="CA15" s="1641">
        <v>8</v>
      </c>
      <c r="CB15" s="1641">
        <v>8</v>
      </c>
      <c r="CC15" s="1641">
        <v>8</v>
      </c>
      <c r="CD15" s="1641">
        <v>8</v>
      </c>
      <c r="CE15" s="1641">
        <v>8</v>
      </c>
      <c r="CF15" s="1641">
        <v>8</v>
      </c>
      <c r="CG15" s="1641">
        <v>8</v>
      </c>
      <c r="CH15" s="1641">
        <v>8</v>
      </c>
      <c r="CI15" s="1641">
        <v>8</v>
      </c>
      <c r="CJ15" s="1641">
        <v>8</v>
      </c>
      <c r="CK15" s="1641">
        <v>8</v>
      </c>
      <c r="CL15" s="1641">
        <v>8</v>
      </c>
      <c r="CM15" s="1641">
        <v>8</v>
      </c>
      <c r="CN15" s="1641">
        <v>8</v>
      </c>
      <c r="CO15" s="1641">
        <v>8</v>
      </c>
      <c r="CP15" s="1641">
        <v>8</v>
      </c>
      <c r="CQ15" s="1641">
        <v>8</v>
      </c>
      <c r="CR15" s="1641">
        <v>8</v>
      </c>
      <c r="CS15" s="1641">
        <v>8</v>
      </c>
      <c r="CT15" s="1641">
        <v>8</v>
      </c>
      <c r="CU15" s="1641">
        <v>8</v>
      </c>
      <c r="CV15" s="1641">
        <v>8</v>
      </c>
      <c r="CW15" s="1641">
        <v>8</v>
      </c>
      <c r="CX15" s="1641">
        <v>8</v>
      </c>
      <c r="CY15" s="1641">
        <v>8</v>
      </c>
      <c r="CZ15" s="1641">
        <v>8</v>
      </c>
      <c r="DA15" s="1641">
        <v>8</v>
      </c>
      <c r="DB15" s="1641">
        <v>8</v>
      </c>
      <c r="DC15" s="1641">
        <v>8</v>
      </c>
      <c r="DD15" s="1641">
        <v>8</v>
      </c>
      <c r="DE15" s="1641">
        <v>8</v>
      </c>
      <c r="DF15" s="1641">
        <v>8</v>
      </c>
      <c r="DG15" s="1641">
        <v>8</v>
      </c>
      <c r="DH15" s="1641">
        <v>8</v>
      </c>
      <c r="DI15" s="1641">
        <v>8</v>
      </c>
      <c r="DJ15" s="1641">
        <v>8</v>
      </c>
      <c r="DK15" s="1641">
        <v>8</v>
      </c>
      <c r="DL15" s="1641">
        <v>8</v>
      </c>
      <c r="DM15" s="1641">
        <v>8</v>
      </c>
      <c r="DN15" s="1641">
        <v>8</v>
      </c>
      <c r="DO15" s="1641">
        <v>8</v>
      </c>
      <c r="DP15" s="1641">
        <v>8</v>
      </c>
      <c r="DQ15" s="1641">
        <v>8</v>
      </c>
      <c r="DR15" s="1641">
        <v>8</v>
      </c>
      <c r="DS15" s="1641">
        <v>8</v>
      </c>
      <c r="DT15" s="1641">
        <v>8</v>
      </c>
      <c r="DU15" s="1641">
        <v>8</v>
      </c>
      <c r="DV15" s="1641">
        <v>8</v>
      </c>
      <c r="DW15" s="1641">
        <v>8</v>
      </c>
      <c r="DX15" s="1641">
        <v>8</v>
      </c>
      <c r="DY15" s="1641">
        <v>8</v>
      </c>
      <c r="DZ15" s="1641">
        <v>8</v>
      </c>
      <c r="EA15" s="1641">
        <v>8</v>
      </c>
      <c r="EB15" s="1641">
        <v>8</v>
      </c>
      <c r="EC15" s="1641">
        <v>8</v>
      </c>
      <c r="ED15" s="1641">
        <v>8</v>
      </c>
      <c r="EE15" s="1641">
        <v>8</v>
      </c>
      <c r="EF15" s="1641">
        <v>8</v>
      </c>
      <c r="EG15" s="1641">
        <v>8</v>
      </c>
      <c r="EH15" s="1641">
        <v>8</v>
      </c>
      <c r="EI15" s="1641">
        <v>8</v>
      </c>
      <c r="EJ15" s="1641">
        <v>8</v>
      </c>
      <c r="EK15" s="1641">
        <v>8</v>
      </c>
      <c r="EL15" s="1641">
        <v>8</v>
      </c>
      <c r="EM15" s="1641">
        <v>8</v>
      </c>
      <c r="EN15" s="1641">
        <v>8</v>
      </c>
      <c r="EO15" s="1641">
        <v>8</v>
      </c>
      <c r="EP15" s="1641">
        <v>8</v>
      </c>
      <c r="EQ15" s="1641">
        <v>8</v>
      </c>
      <c r="ER15" s="1641">
        <v>8</v>
      </c>
      <c r="ES15" s="1641">
        <v>8</v>
      </c>
      <c r="ET15" s="1641">
        <v>8</v>
      </c>
      <c r="EU15" s="1641">
        <v>8</v>
      </c>
      <c r="EV15" s="1641">
        <v>8</v>
      </c>
      <c r="EW15" s="1641">
        <v>8</v>
      </c>
      <c r="EX15" s="1641">
        <v>8</v>
      </c>
      <c r="EY15" s="1641">
        <v>8</v>
      </c>
      <c r="EZ15" s="1641">
        <v>8</v>
      </c>
      <c r="FA15" s="1641">
        <v>8</v>
      </c>
      <c r="FB15" s="1641">
        <v>8</v>
      </c>
      <c r="FC15" s="1641">
        <v>8</v>
      </c>
      <c r="FD15" s="1641">
        <v>8</v>
      </c>
      <c r="FE15" s="1641">
        <v>8</v>
      </c>
      <c r="FF15" s="1641">
        <v>8</v>
      </c>
      <c r="FG15" s="1641">
        <v>8</v>
      </c>
      <c r="FH15" s="1641">
        <v>8</v>
      </c>
      <c r="FI15" s="1641">
        <v>8</v>
      </c>
      <c r="FJ15" s="1641">
        <v>8</v>
      </c>
      <c r="FK15" s="1641">
        <v>8</v>
      </c>
      <c r="FL15" s="1641">
        <v>8</v>
      </c>
      <c r="FM15" s="1641">
        <v>8</v>
      </c>
      <c r="FN15" s="1641">
        <v>8</v>
      </c>
      <c r="FO15" s="1641">
        <v>8</v>
      </c>
      <c r="FP15" s="1641">
        <v>8</v>
      </c>
      <c r="FQ15" s="1641">
        <v>8</v>
      </c>
      <c r="FR15" s="1641">
        <v>8</v>
      </c>
      <c r="FS15" s="1641">
        <v>8</v>
      </c>
      <c r="FT15" s="1641">
        <v>8</v>
      </c>
      <c r="FU15" s="1641">
        <v>8</v>
      </c>
      <c r="FV15" s="1641">
        <v>8</v>
      </c>
      <c r="FW15" s="1641">
        <v>8</v>
      </c>
      <c r="FX15" s="1641">
        <v>8</v>
      </c>
      <c r="FY15" s="1641">
        <v>8</v>
      </c>
      <c r="FZ15" s="1641">
        <v>8</v>
      </c>
      <c r="GA15" s="1641">
        <v>8</v>
      </c>
      <c r="GB15" s="1641">
        <v>8</v>
      </c>
      <c r="GC15" s="1641">
        <v>8</v>
      </c>
      <c r="GD15" s="1641">
        <v>8</v>
      </c>
      <c r="GE15" s="1641">
        <v>8</v>
      </c>
      <c r="GF15" s="1641">
        <v>8</v>
      </c>
      <c r="GG15" s="1641">
        <v>8</v>
      </c>
      <c r="GH15" s="1641">
        <v>8</v>
      </c>
      <c r="GI15" s="1641">
        <v>8</v>
      </c>
      <c r="GJ15" s="1641">
        <v>8</v>
      </c>
      <c r="GK15" s="1641">
        <v>8</v>
      </c>
      <c r="GL15" s="1641">
        <v>8</v>
      </c>
      <c r="GM15" s="1641">
        <v>8</v>
      </c>
      <c r="GN15" s="1641">
        <v>8</v>
      </c>
      <c r="GO15" s="1641">
        <v>8</v>
      </c>
      <c r="GP15" s="1641">
        <v>8</v>
      </c>
      <c r="GQ15" s="1641">
        <v>8</v>
      </c>
      <c r="GR15" s="1641">
        <v>8</v>
      </c>
      <c r="GS15" s="1641">
        <v>8</v>
      </c>
      <c r="GT15" s="1641">
        <v>8</v>
      </c>
      <c r="GU15" s="1641">
        <v>8</v>
      </c>
      <c r="GV15" s="1641">
        <v>8</v>
      </c>
      <c r="GW15" s="1641">
        <v>8</v>
      </c>
      <c r="GX15" s="1641">
        <v>8</v>
      </c>
      <c r="GY15" s="1641">
        <v>8</v>
      </c>
      <c r="GZ15" s="1641">
        <v>8</v>
      </c>
      <c r="HA15" s="1641">
        <v>8</v>
      </c>
      <c r="HB15" s="1641">
        <v>8</v>
      </c>
      <c r="HC15" s="1641">
        <v>8</v>
      </c>
      <c r="HD15" s="1641">
        <v>8</v>
      </c>
      <c r="HE15" s="1641">
        <v>8</v>
      </c>
      <c r="HF15" s="1641">
        <v>8</v>
      </c>
      <c r="HG15" s="1641">
        <v>8</v>
      </c>
      <c r="HH15" s="1641">
        <v>8</v>
      </c>
      <c r="HI15" s="1641">
        <v>8</v>
      </c>
      <c r="HJ15" s="1641">
        <v>8</v>
      </c>
      <c r="HK15" s="1641">
        <v>8</v>
      </c>
      <c r="HL15" s="1641">
        <v>8</v>
      </c>
      <c r="HM15" s="1641">
        <v>8</v>
      </c>
      <c r="HN15" s="1641">
        <v>8</v>
      </c>
      <c r="HO15" s="1641">
        <v>8</v>
      </c>
      <c r="HP15" s="1641">
        <v>8</v>
      </c>
      <c r="HQ15" s="1641">
        <v>8</v>
      </c>
      <c r="HR15" s="1641">
        <v>8</v>
      </c>
      <c r="HS15" s="1641">
        <v>8</v>
      </c>
      <c r="HT15" s="1641">
        <v>8</v>
      </c>
      <c r="HU15" s="1641">
        <v>8</v>
      </c>
      <c r="HV15" s="1641">
        <v>8</v>
      </c>
      <c r="HW15" s="1641">
        <v>8</v>
      </c>
      <c r="HX15" s="1641">
        <v>8</v>
      </c>
      <c r="HY15" s="1641">
        <v>8</v>
      </c>
      <c r="HZ15" s="1641">
        <v>8</v>
      </c>
      <c r="IA15" s="1641">
        <v>8</v>
      </c>
      <c r="IB15" s="1641">
        <v>8</v>
      </c>
      <c r="IC15" s="1641">
        <v>8</v>
      </c>
      <c r="ID15" s="1641">
        <v>8</v>
      </c>
      <c r="IE15" s="1641">
        <v>8</v>
      </c>
      <c r="IF15" s="1641">
        <v>8</v>
      </c>
      <c r="IG15" s="1641">
        <v>8</v>
      </c>
      <c r="IH15" s="1641">
        <v>8</v>
      </c>
      <c r="II15" s="1641">
        <v>8</v>
      </c>
      <c r="IJ15" s="1641">
        <v>8</v>
      </c>
      <c r="IK15" s="1641">
        <v>8</v>
      </c>
      <c r="IL15" s="1641">
        <v>8</v>
      </c>
      <c r="IM15" s="1641">
        <v>8</v>
      </c>
      <c r="IN15" s="1641">
        <v>8</v>
      </c>
      <c r="IO15" s="1641">
        <v>8</v>
      </c>
      <c r="IP15" s="1641">
        <v>8</v>
      </c>
      <c r="IQ15" s="1641">
        <v>8</v>
      </c>
      <c r="IR15" s="1641">
        <v>8</v>
      </c>
      <c r="IS15" s="1641">
        <v>8</v>
      </c>
      <c r="IT15" s="1641">
        <v>8</v>
      </c>
      <c r="IU15" s="1641">
        <v>8</v>
      </c>
      <c r="IV15" s="1641">
        <v>8</v>
      </c>
      <c r="IW15" s="1641">
        <v>23</v>
      </c>
    </row>
  </sheetData>
  <sheetProtection sheet="1" sort="1" autoFilter="0" insertRows="1" insertColumns="1" deleteRows="1" deleteColumns="1"/>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5F3BDD-D10A-A2CD-06ED-0.E1ED6C24}"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45" width="9.140625" hidden="1"/>
    <col min="2" max="2" style="1376" width="9.140625" hidden="1"/>
    <col min="3" max="3" style="1645" width="3.7109375" hidden="1" customWidth="1"/>
    <col min="4" max="4" style="1852" width="3.00390625" customWidth="1"/>
    <col min="5" max="5" style="1645" width="6.00390625" customWidth="1"/>
    <col min="6" max="6" style="1645" width="27.00390625" customWidth="1"/>
    <col min="7" max="7" style="1645" width="29.00390625" customWidth="1"/>
    <col min="8" max="8" style="1645" width="25.00390625" customWidth="1"/>
    <col min="9" max="9" style="1645" width="5.00390625" customWidth="1"/>
    <col min="10" max="10" style="1645" width="6.00390625" customWidth="1"/>
    <col min="11" max="11" style="1645" width="41.00390625" customWidth="1"/>
    <col min="12" max="12" style="1645" width="42.00390625" customWidth="1"/>
    <col min="13" max="13" style="1645" width="41.00390625" customWidth="1"/>
    <col min="14" max="14" style="1645" width="89.00390625" customWidth="1"/>
    <col min="15" max="15" style="1634" width="3.00390625" customWidth="1"/>
    <col min="16" max="16" style="1634" width="8.00390625" customWidth="1"/>
    <col min="17" max="17" style="1645" width="9.140625" hidden="1"/>
  </cols>
  <sheetData>
    <row customHeight="1" ht="22.5" hidden="1">
      <c r="Q1" s="1165" t="s">
        <v>14</v>
      </c>
    </row>
    <row s="1860" customFormat="1" customHeight="1" ht="22.5" hidden="1">
      <c r="A2" s="506"/>
      <c r="B2" s="1170">
        <v>1</v>
      </c>
      <c r="C2" s="1170"/>
      <c r="D2" s="1938" t="s">
        <v>105</v>
      </c>
      <c r="E2" s="2137">
        <v>1</v>
      </c>
      <c r="F2" s="2313" t="str">
        <f>IF(region_name="","",region_name)</f>
        <v>Республика Саха (Якутия)</v>
      </c>
      <c r="G2" s="2493"/>
      <c r="H2" s="2494"/>
      <c r="I2" s="484"/>
      <c r="J2" s="1920">
        <v>1</v>
      </c>
      <c r="K2" s="1922"/>
      <c r="L2" s="1922"/>
      <c r="M2" s="1922"/>
      <c r="N2" s="502"/>
      <c r="O2" s="1545"/>
      <c r="P2" s="521"/>
      <c r="Q2" s="433">
        <v>0</v>
      </c>
    </row>
    <row s="1860" customFormat="1" customHeight="1" ht="22.5" hidden="1">
      <c r="A3" s="841"/>
      <c r="B3" s="1170"/>
      <c r="C3" s="1170"/>
      <c r="D3" s="811"/>
      <c r="E3" s="2137"/>
      <c r="F3" s="2313"/>
      <c r="G3" s="2493"/>
      <c r="H3" s="2495"/>
      <c r="I3" s="431"/>
      <c r="J3" s="1510"/>
      <c r="K3" s="1510" t="s">
        <v>2163</v>
      </c>
      <c r="L3" s="1553"/>
      <c r="M3" s="1930"/>
      <c r="N3" s="1923"/>
      <c r="O3" s="1545"/>
      <c r="P3" s="521"/>
      <c r="Q3" s="433">
        <v>0</v>
      </c>
    </row>
    <row s="1652" customFormat="1" customHeight="1" ht="5.25" hidden="1">
      <c r="A4" s="506"/>
      <c r="D4" s="504"/>
      <c r="F4" s="257" t="s">
        <v>83</v>
      </c>
      <c r="G4" s="504" t="s">
        <v>84</v>
      </c>
      <c r="H4" s="504"/>
      <c r="I4" s="1933"/>
      <c r="J4" s="1554"/>
      <c r="K4" s="1921"/>
      <c r="L4" s="1921"/>
      <c r="M4" s="1921"/>
      <c r="N4" s="1917"/>
      <c r="O4" s="257" t="s">
        <v>83</v>
      </c>
      <c r="P4" s="257"/>
      <c r="Q4" s="521">
        <v>0</v>
      </c>
    </row>
    <row s="1860" customFormat="1" customHeight="1" ht="22.5" hidden="1">
      <c r="A5" s="1651"/>
      <c r="B5" s="1376">
        <v>1</v>
      </c>
      <c r="C5" s="1376"/>
      <c r="D5" s="811"/>
      <c r="E5" s="1923"/>
      <c r="F5" s="1923"/>
      <c r="G5" s="1923"/>
      <c r="H5" s="1934"/>
      <c r="I5" s="1939" t="s">
        <v>105</v>
      </c>
      <c r="J5" s="1932">
        <v>1</v>
      </c>
      <c r="K5" s="1922"/>
      <c r="L5" s="1922"/>
      <c r="M5" s="1922"/>
      <c r="N5" s="502"/>
      <c r="O5" s="1545"/>
      <c r="P5" s="1646"/>
      <c r="Q5" s="634">
        <v>0</v>
      </c>
    </row>
    <row s="1829" customFormat="1" customHeight="1" ht="14.699999999999998">
      <c r="A6" s="1165"/>
      <c r="B6" s="1170"/>
      <c r="C6" s="1165"/>
      <c r="D6" s="1505"/>
      <c r="E6" s="519"/>
      <c r="F6" s="519"/>
      <c r="G6" s="519"/>
      <c r="H6" s="519"/>
      <c r="I6" s="519"/>
      <c r="J6" s="519"/>
      <c r="K6" s="519"/>
      <c r="L6" s="519"/>
      <c r="M6" s="519"/>
      <c r="N6" s="1645"/>
      <c r="O6" s="257"/>
      <c r="P6" s="510"/>
      <c r="Q6" s="517">
        <v>14</v>
      </c>
    </row>
    <row s="1829" customFormat="1" customHeight="1" ht="27.299999999999997">
      <c r="A7" s="1165"/>
      <c r="B7" s="1170"/>
      <c r="C7" s="1165"/>
      <c r="D7" s="1505"/>
      <c r="E7" s="250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500"/>
      <c r="G7" s="2500"/>
      <c r="H7" s="2500"/>
      <c r="I7" s="2500"/>
      <c r="J7" s="2500"/>
      <c r="K7" s="2500"/>
      <c r="L7" s="2500"/>
      <c r="M7" s="2500"/>
      <c r="N7" s="1262"/>
      <c r="O7" s="257"/>
      <c r="P7" s="510"/>
      <c r="Q7" s="517">
        <v>26</v>
      </c>
    </row>
    <row s="1829" customFormat="1" customHeight="1" ht="14.699999999999998">
      <c r="A8" s="1165"/>
      <c r="B8" s="1170"/>
      <c r="C8" s="1165"/>
      <c r="D8" s="1505"/>
      <c r="E8" s="519"/>
      <c r="F8" s="177"/>
      <c r="G8" s="177"/>
      <c r="H8" s="177"/>
      <c r="I8" s="177"/>
      <c r="J8" s="177"/>
      <c r="K8" s="177"/>
      <c r="L8" s="177"/>
      <c r="M8" s="177"/>
      <c r="N8" s="626"/>
      <c r="O8" s="510"/>
      <c r="P8" s="510"/>
      <c r="Q8" s="517">
        <v>14</v>
      </c>
    </row>
    <row s="1556" customFormat="1" customHeight="1" ht="14.25" hidden="1">
      <c r="A9" s="1478"/>
      <c r="B9" s="1488"/>
      <c r="C9" s="1478"/>
      <c r="D9" s="1505"/>
      <c r="E9" s="1924"/>
      <c r="F9" s="1924"/>
      <c r="G9" s="1924"/>
      <c r="H9" s="1924"/>
      <c r="I9" s="2503"/>
      <c r="J9" s="2503"/>
      <c r="K9" s="2503"/>
      <c r="L9" s="1924"/>
      <c r="M9" s="1925"/>
      <c r="O9" s="1555"/>
      <c r="P9" s="1555"/>
      <c r="Q9" s="1556">
        <v>0</v>
      </c>
    </row>
    <row s="1829" customFormat="1" customHeight="1" ht="14.699999999999998">
      <c r="A10" s="1165"/>
      <c r="B10" s="1170"/>
      <c r="C10" s="1165"/>
      <c r="D10" s="1505"/>
      <c r="E10" s="2137" t="s">
        <v>322</v>
      </c>
      <c r="F10" s="2137"/>
      <c r="G10" s="2137"/>
      <c r="H10" s="2137"/>
      <c r="I10" s="2137"/>
      <c r="J10" s="2137"/>
      <c r="K10" s="2137"/>
      <c r="L10" s="2137"/>
      <c r="M10" s="2111"/>
      <c r="N10" s="2488" t="s">
        <v>323</v>
      </c>
      <c r="O10" s="510"/>
      <c r="P10" s="510"/>
      <c r="Q10" s="517">
        <v>14</v>
      </c>
    </row>
    <row s="1829" customFormat="1" customHeight="1" ht="44.25">
      <c r="A11" s="1641"/>
      <c r="B11" s="1376"/>
      <c r="C11" s="1641"/>
      <c r="D11" s="1525"/>
      <c r="E11" s="2502" t="s">
        <v>88</v>
      </c>
      <c r="F11" s="2502" t="s">
        <v>326</v>
      </c>
      <c r="G11" s="2502" t="s">
        <v>2164</v>
      </c>
      <c r="H11" s="2502"/>
      <c r="I11" s="2502" t="s">
        <v>2165</v>
      </c>
      <c r="J11" s="2502"/>
      <c r="K11" s="2502"/>
      <c r="L11" s="2502" t="s">
        <v>2166</v>
      </c>
      <c r="M11" s="2490" t="s">
        <v>2167</v>
      </c>
      <c r="N11" s="2501"/>
      <c r="O11" s="1634"/>
      <c r="P11" s="1634"/>
      <c r="Q11" s="1619">
        <v>42</v>
      </c>
    </row>
    <row s="1829" customFormat="1" customHeight="1" ht="29.25">
      <c r="A12" s="1165"/>
      <c r="B12" s="1170"/>
      <c r="C12" s="1165"/>
      <c r="D12" s="1505"/>
      <c r="E12" s="2488"/>
      <c r="F12" s="2502"/>
      <c r="G12" s="1919" t="s">
        <v>2168</v>
      </c>
      <c r="H12" s="1919" t="s">
        <v>330</v>
      </c>
      <c r="I12" s="2502"/>
      <c r="J12" s="2502"/>
      <c r="K12" s="2502"/>
      <c r="L12" s="2502"/>
      <c r="M12" s="2490"/>
      <c r="N12" s="2489"/>
      <c r="O12" s="510"/>
      <c r="P12" s="510"/>
      <c r="Q12" s="517">
        <v>28</v>
      </c>
    </row>
    <row s="1860" customFormat="1" customHeight="1" ht="23.25">
      <c r="A13" s="2109">
        <v>26379339</v>
      </c>
      <c r="B13" s="1170">
        <v>1</v>
      </c>
      <c r="C13" s="1170"/>
      <c r="D13" s="811"/>
      <c r="E13" s="2137">
        <v>1</v>
      </c>
      <c r="F13" s="2496" t="str">
        <f>IF(region_name="","",region_name)</f>
        <v>Республика Саха (Якутия)</v>
      </c>
      <c r="G13" s="2497"/>
      <c r="H13" s="2504"/>
      <c r="I13" s="484"/>
      <c r="J13" s="1915">
        <v>1</v>
      </c>
      <c r="K13" s="1928"/>
      <c r="L13" s="1929"/>
      <c r="M13" s="1929"/>
      <c r="N13" s="2498" t="s">
        <v>2169</v>
      </c>
      <c r="O13" s="1545"/>
      <c r="P13" s="521"/>
      <c r="Q13" s="433">
        <v>22</v>
      </c>
    </row>
    <row s="1860" customFormat="1" customHeight="1" ht="23.25">
      <c r="A14" s="2109"/>
      <c r="B14" s="1170"/>
      <c r="C14" s="1170"/>
      <c r="D14" s="811"/>
      <c r="E14" s="2137"/>
      <c r="F14" s="2496"/>
      <c r="G14" s="2497"/>
      <c r="H14" s="2505"/>
      <c r="I14" s="431"/>
      <c r="J14" s="1510"/>
      <c r="K14" s="1510" t="s">
        <v>2163</v>
      </c>
      <c r="L14" s="1553"/>
      <c r="M14" s="1553"/>
      <c r="N14" s="2499"/>
      <c r="O14" s="1545"/>
      <c r="P14" s="521"/>
      <c r="Q14" s="433">
        <v>22</v>
      </c>
    </row>
    <row s="1860" customFormat="1" customHeight="1" ht="23.25">
      <c r="A15" s="2109"/>
      <c r="B15" s="1170"/>
      <c r="C15" s="422"/>
      <c r="D15" s="811"/>
      <c r="E15" s="431"/>
      <c r="F15" s="1510" t="s">
        <v>2155</v>
      </c>
      <c r="G15" s="1552"/>
      <c r="H15" s="1552"/>
      <c r="I15" s="197"/>
      <c r="J15" s="197"/>
      <c r="K15" s="197"/>
      <c r="L15" s="197"/>
      <c r="M15" s="197"/>
      <c r="N15" s="2499"/>
      <c r="O15" s="1546"/>
      <c r="P15" s="521"/>
      <c r="Q15" s="433">
        <v>22</v>
      </c>
    </row>
    <row s="1829" customFormat="1" customHeight="1" ht="22.049999999999997">
      <c r="A16" s="1165"/>
      <c r="B16" s="1170"/>
      <c r="C16" s="1165"/>
      <c r="D16" s="461"/>
      <c r="E16" s="190"/>
      <c r="F16" s="190"/>
      <c r="G16" s="190"/>
      <c r="H16" s="190"/>
      <c r="I16" s="190"/>
      <c r="J16" s="190"/>
      <c r="K16" s="190"/>
      <c r="L16" s="190"/>
      <c r="M16" s="519"/>
      <c r="N16" s="1645"/>
      <c r="O16" s="510"/>
      <c r="P16" s="510"/>
      <c r="Q16" s="517">
        <v>21</v>
      </c>
    </row>
    <row s="1829" customFormat="1" customHeight="1" ht="14.699999999999998">
      <c r="A17" s="1165"/>
      <c r="B17" s="1170"/>
      <c r="C17" s="1165"/>
      <c r="D17" s="461"/>
      <c r="E17" s="1165"/>
      <c r="F17" s="1165"/>
      <c r="G17" s="1165"/>
      <c r="H17" s="1165"/>
      <c r="I17" s="1165"/>
      <c r="J17" s="1165"/>
      <c r="K17" s="1165"/>
      <c r="L17" s="1165"/>
      <c r="M17" s="1165"/>
      <c r="N17" s="1641"/>
      <c r="O17" s="510"/>
      <c r="P17" s="510"/>
      <c r="Q17" s="517">
        <v>14</v>
      </c>
    </row>
    <row s="1829" customFormat="1" customHeight="1" ht="1.05">
      <c r="A18" s="1165"/>
      <c r="B18" s="1170"/>
      <c r="C18" s="1165"/>
      <c r="D18" s="461"/>
      <c r="E18" s="1165"/>
      <c r="F18" s="1165"/>
      <c r="G18" s="1165"/>
      <c r="H18" s="1165"/>
      <c r="I18" s="1165"/>
      <c r="J18" s="1165"/>
      <c r="K18" s="1165"/>
      <c r="L18" s="1165"/>
      <c r="M18" s="1165"/>
      <c r="N18" s="1641"/>
      <c r="O18" s="510"/>
      <c r="P18" s="510"/>
      <c r="Q18" s="517">
        <v>1</v>
      </c>
    </row>
    <row customHeight="1" ht="22.5" hidden="1">
      <c r="A19" s="1165" t="s">
        <v>82</v>
      </c>
      <c r="B19" s="1170">
        <v>0</v>
      </c>
      <c r="C19" s="1165">
        <v>0</v>
      </c>
      <c r="D19" s="461">
        <v>3</v>
      </c>
      <c r="E19" s="1165">
        <v>6</v>
      </c>
      <c r="F19" s="1165">
        <v>27</v>
      </c>
      <c r="G19" s="1165">
        <v>29</v>
      </c>
      <c r="H19" s="1165">
        <v>25</v>
      </c>
      <c r="I19" s="1165">
        <v>5</v>
      </c>
      <c r="J19" s="1165">
        <v>6</v>
      </c>
      <c r="K19" s="1165">
        <v>41</v>
      </c>
      <c r="L19" s="1165">
        <v>42</v>
      </c>
      <c r="M19" s="1165">
        <v>41</v>
      </c>
      <c r="N19" s="1641">
        <v>89</v>
      </c>
      <c r="O19" s="510">
        <v>3</v>
      </c>
      <c r="P19" s="510">
        <v>8</v>
      </c>
      <c r="Q19" s="1165">
        <v>23</v>
      </c>
    </row>
  </sheetData>
  <sheetProtection sheet="1" formatColumns="0" formatRows="0" autoFilter="0" sort="1" insertRows="1" insertColumns="1" deleteRows="1" deleteColumns="1"/>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CD8CF-7686-636F-794C-0.F6A3D04}"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8" width="9.140625" hidden="1"/>
    <col min="2" max="2" style="1833" width="9.140625" hidden="1"/>
    <col min="3" max="3" style="130" width="3.00390625" customWidth="1"/>
    <col min="4" max="4" style="1833" width="6.00390625" customWidth="1"/>
    <col min="5" max="5" style="1833" width="22.00390625" customWidth="1"/>
    <col min="6" max="6" style="1833" width="15.00390625" customWidth="1"/>
    <col min="7" max="7" style="1833" width="14.00390625" customWidth="1"/>
    <col min="8" max="8" style="1833" width="47.00390625" customWidth="1"/>
    <col min="9" max="9" style="1833" width="115.00390625" customWidth="1"/>
    <col min="10" max="10" style="1833" width="3.00390625" customWidth="1"/>
    <col min="11" max="12" style="1833" width="8.00390625" customWidth="1"/>
    <col min="13" max="13" style="1833" width="9.140625" hidden="1"/>
  </cols>
  <sheetData>
    <row customHeight="1" ht="14.25" hidden="1">
      <c r="M1" s="131" t="s">
        <v>14</v>
      </c>
    </row>
    <row customHeight="1" ht="14.25" hidden="1">
      <c r="M2" s="131">
        <v>0</v>
      </c>
    </row>
    <row customHeight="1" ht="14.25" hidden="1">
      <c r="M3" s="131">
        <v>0</v>
      </c>
    </row>
    <row customHeight="1" ht="3">
      <c r="M4" s="131">
        <v>3</v>
      </c>
    </row>
    <row s="1645" customFormat="1" customHeight="1" ht="31.5">
      <c r="A5" s="125"/>
      <c r="C5" s="100"/>
      <c r="D5" s="2110" t="s">
        <v>2170</v>
      </c>
      <c r="E5" s="2110"/>
      <c r="F5" s="2110"/>
      <c r="G5" s="2110"/>
      <c r="H5" s="2110"/>
      <c r="I5" s="275"/>
      <c r="M5" s="93">
        <v>30</v>
      </c>
    </row>
    <row customHeight="1" ht="3" hidden="1">
      <c r="D6" s="132"/>
      <c r="E6" s="132"/>
      <c r="F6" s="132"/>
      <c r="G6" s="132"/>
      <c r="H6" s="132"/>
      <c r="I6" s="132"/>
      <c r="M6" s="131">
        <v>0</v>
      </c>
    </row>
    <row s="368" customFormat="1" customHeight="1" ht="14.699999999999998">
      <c r="B7" s="129"/>
      <c r="C7" s="130"/>
      <c r="D7" s="133"/>
      <c r="E7" s="133"/>
      <c r="F7" s="133"/>
      <c r="G7" s="133"/>
      <c r="H7" s="762"/>
      <c r="I7" s="133"/>
      <c r="J7" s="134"/>
      <c r="M7" s="128">
        <v>14</v>
      </c>
    </row>
    <row customHeight="1" ht="14.699999999999998">
      <c r="D8" s="2219" t="s">
        <v>322</v>
      </c>
      <c r="E8" s="2219"/>
      <c r="F8" s="2219"/>
      <c r="G8" s="2219"/>
      <c r="H8" s="2219"/>
      <c r="I8" s="2219" t="s">
        <v>323</v>
      </c>
      <c r="M8" s="131">
        <v>14</v>
      </c>
    </row>
    <row customHeight="1" ht="29.25">
      <c r="D9" s="2219" t="s">
        <v>88</v>
      </c>
      <c r="E9" s="2219" t="s">
        <v>2171</v>
      </c>
      <c r="F9" s="2219"/>
      <c r="G9" s="2219"/>
      <c r="H9" s="2219"/>
      <c r="I9" s="2219"/>
      <c r="M9" s="131">
        <v>28</v>
      </c>
    </row>
    <row customHeight="1" ht="24">
      <c r="D10" s="2219"/>
      <c r="E10" s="137" t="s">
        <v>2172</v>
      </c>
      <c r="F10" s="137" t="s">
        <v>2173</v>
      </c>
      <c r="G10" s="137" t="s">
        <v>2174</v>
      </c>
      <c r="H10" s="137" t="s">
        <v>412</v>
      </c>
      <c r="I10" s="2219"/>
      <c r="M10" s="131">
        <v>23</v>
      </c>
    </row>
    <row customHeight="1" ht="12" hidden="1">
      <c r="D11" s="97" t="s">
        <v>124</v>
      </c>
      <c r="E11" s="97" t="s">
        <v>91</v>
      </c>
      <c r="F11" s="97" t="s">
        <v>125</v>
      </c>
      <c r="G11" s="97" t="s">
        <v>92</v>
      </c>
      <c r="H11" s="97" t="s">
        <v>93</v>
      </c>
      <c r="I11" s="97" t="s">
        <v>126</v>
      </c>
      <c r="M11" s="131">
        <v>0</v>
      </c>
    </row>
    <row s="1833" customFormat="1" customHeight="1" ht="26.25">
      <c r="A12" s="155" t="s">
        <v>90</v>
      </c>
      <c r="B12" s="135" t="s">
        <v>22</v>
      </c>
      <c r="C12" s="136"/>
      <c r="D12" s="138" t="s">
        <v>124</v>
      </c>
      <c r="E12" s="391"/>
      <c r="F12" s="391"/>
      <c r="G12" s="1744" t="s">
        <v>22</v>
      </c>
      <c r="H12" s="392"/>
      <c r="I12" s="2179" t="s">
        <v>2175</v>
      </c>
      <c r="K12" s="282"/>
      <c r="L12" s="283"/>
      <c r="M12" s="127">
        <v>25</v>
      </c>
    </row>
    <row customHeight="1" ht="15.75">
      <c r="A13" s="131"/>
      <c r="B13" s="131"/>
      <c r="C13" s="131"/>
      <c r="D13" s="119"/>
      <c r="E13" s="140" t="s">
        <v>490</v>
      </c>
      <c r="F13" s="139"/>
      <c r="G13" s="139"/>
      <c r="H13" s="224"/>
      <c r="I13" s="2181"/>
      <c r="M13" s="131">
        <v>15</v>
      </c>
    </row>
    <row customHeight="1" ht="3">
      <c r="A14" s="131"/>
      <c r="B14" s="131"/>
      <c r="C14" s="131"/>
      <c r="M14" s="131">
        <v>3</v>
      </c>
    </row>
    <row customHeight="1" ht="29.25">
      <c r="E15" s="2506" t="s">
        <v>2176</v>
      </c>
      <c r="F15" s="2506"/>
      <c r="G15" s="2506"/>
      <c r="H15" s="2506"/>
      <c r="M15" s="131">
        <v>28</v>
      </c>
    </row>
    <row customHeight="1" ht="14.25" hidden="1">
      <c r="A16" s="128" t="s">
        <v>82</v>
      </c>
      <c r="B16" s="129">
        <v>0</v>
      </c>
      <c r="C16" s="130">
        <v>3</v>
      </c>
      <c r="D16" s="131">
        <v>6</v>
      </c>
      <c r="E16" s="131">
        <v>22</v>
      </c>
      <c r="F16" s="131">
        <v>15</v>
      </c>
      <c r="G16" s="131">
        <v>14</v>
      </c>
      <c r="H16" s="131">
        <v>47</v>
      </c>
      <c r="I16" s="131">
        <v>115</v>
      </c>
      <c r="J16" s="131">
        <v>3</v>
      </c>
      <c r="K16" s="131">
        <v>8</v>
      </c>
      <c r="L16" s="131">
        <v>8</v>
      </c>
      <c r="M16" s="131">
        <v>14</v>
      </c>
    </row>
  </sheetData>
  <sheetProtection sheet="1" formatColumns="0" formatRows="0" autoFilter="0" sort="1" insertRows="1" insertColumns="1" deleteRows="1" deleteColumns="1"/>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95EBB9-FEC2-7FC7-BF91-0.7F3AE0FD}"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74" width="9.140625" hidden="1"/>
    <col min="3" max="3" style="101" width="3.00390625" customWidth="1"/>
    <col min="4" max="4" style="274" width="6.00390625" customWidth="1"/>
    <col min="5" max="5" style="274" width="94.00390625" customWidth="1"/>
    <col min="6" max="9" style="274" width="8.00390625" customWidth="1"/>
    <col min="10" max="10" style="274" width="9.140625" hidden="1"/>
  </cols>
  <sheetData>
    <row customHeight="1" ht="14.25" hidden="1">
      <c r="J1" s="79" t="s">
        <v>14</v>
      </c>
    </row>
    <row customHeight="1" ht="14.25" hidden="1">
      <c r="J2" s="79">
        <v>0</v>
      </c>
    </row>
    <row customHeight="1" ht="14.25" hidden="1">
      <c r="J3" s="79">
        <v>0</v>
      </c>
    </row>
    <row customHeight="1" ht="14.25" hidden="1">
      <c r="J4" s="79">
        <v>0</v>
      </c>
    </row>
    <row customHeight="1" ht="14.25" hidden="1">
      <c r="J5" s="79">
        <v>0</v>
      </c>
    </row>
    <row customHeight="1" ht="3">
      <c r="C6" s="102"/>
      <c r="D6" s="80"/>
      <c r="E6" s="80"/>
      <c r="J6" s="79">
        <v>3</v>
      </c>
    </row>
    <row customHeight="1" ht="23.25">
      <c r="C7" s="102"/>
      <c r="D7" s="2507" t="s">
        <v>2177</v>
      </c>
      <c r="E7" s="2508"/>
      <c r="F7" s="277"/>
      <c r="J7" s="79">
        <v>22</v>
      </c>
    </row>
    <row customHeight="1" ht="3">
      <c r="C8" s="102"/>
      <c r="D8" s="80"/>
      <c r="E8" s="80"/>
      <c r="J8" s="79">
        <v>3</v>
      </c>
    </row>
    <row customHeight="1" ht="16.8">
      <c r="C9" s="102"/>
      <c r="D9" s="115" t="s">
        <v>88</v>
      </c>
      <c r="E9" s="270" t="s">
        <v>2178</v>
      </c>
      <c r="J9" s="79">
        <v>16</v>
      </c>
    </row>
    <row customHeight="1" ht="1.05">
      <c r="C10" s="102"/>
      <c r="D10" s="97"/>
      <c r="E10" s="97"/>
      <c r="J10" s="79">
        <v>1</v>
      </c>
    </row>
    <row customHeight="1" ht="11.25" hidden="1">
      <c r="C11" s="102"/>
      <c r="D11" s="160">
        <v>0</v>
      </c>
      <c r="E11" s="271"/>
      <c r="J11" s="79">
        <v>0</v>
      </c>
    </row>
    <row customHeight="1" ht="15.75">
      <c r="C12" s="146"/>
      <c r="D12" s="123">
        <v>1</v>
      </c>
      <c r="E12" s="387"/>
      <c r="J12" s="79">
        <v>15</v>
      </c>
    </row>
    <row customHeight="1" ht="12.75">
      <c r="C13" s="102"/>
      <c r="D13" s="272"/>
      <c r="E13" s="273" t="s">
        <v>2179</v>
      </c>
      <c r="J13" s="79">
        <v>12</v>
      </c>
    </row>
    <row customHeight="1" ht="3">
      <c r="J14" s="79">
        <v>3</v>
      </c>
    </row>
    <row customHeight="1" ht="23.25">
      <c r="C15" s="147"/>
      <c r="D15" s="2509" t="s">
        <v>2180</v>
      </c>
      <c r="E15" s="2509"/>
      <c r="F15" s="148"/>
      <c r="G15" s="148"/>
      <c r="H15" s="148"/>
      <c r="I15" s="148"/>
      <c r="J15" s="79">
        <v>22</v>
      </c>
    </row>
    <row customHeight="1" ht="14.25" hidden="1">
      <c r="A16" s="79" t="s">
        <v>82</v>
      </c>
      <c r="B16" s="79">
        <v>0</v>
      </c>
      <c r="C16" s="101">
        <v>3</v>
      </c>
      <c r="D16" s="79">
        <v>6</v>
      </c>
      <c r="E16" s="79">
        <v>94</v>
      </c>
      <c r="F16" s="79">
        <v>8</v>
      </c>
      <c r="G16" s="79">
        <v>8</v>
      </c>
      <c r="H16" s="79">
        <v>8</v>
      </c>
      <c r="I16" s="79">
        <v>8</v>
      </c>
      <c r="J16" s="79">
        <v>14</v>
      </c>
    </row>
  </sheetData>
  <sheetProtection sheet="1" formatColumns="0" formatRows="0" sort="1" autoFilter="0" insertRows="1" insertColumns="1" deleteRows="1" deleteColumns="1"/>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D3F6CD-FEB6-4F18-1F78-0.AE4766BA}" mc:Ignorable="x14ac xr xr2 xr3">
  <sheetPr>
    <tabColor rgb="FFCCCCFF"/>
    <pageSetUpPr fitToPage="1"/>
  </sheetPr>
  <dimension ref="A1:M13"/>
  <sheetViews>
    <sheetView topLeftCell="C6" showGridLines="0" zoomScale="90" workbookViewId="0" tabSelected="1">
      <selection activeCell="A1" sqref="A1"/>
    </sheetView>
  </sheetViews>
  <sheetFormatPr defaultColWidth="9.140625" customHeight="1" defaultRowHeight="14.25"/>
  <cols>
    <col min="1" max="2" style="274" width="9.140625" hidden="1"/>
    <col min="3" max="3" style="101" width="3.00390625" customWidth="1"/>
    <col min="4" max="4" style="274" width="6.00390625" customWidth="1"/>
    <col min="5" max="5" style="274" width="94.00390625" customWidth="1"/>
    <col min="6" max="12" style="274" width="8.00390625" customWidth="1"/>
    <col min="13" max="13" style="274" width="9.140625" hidden="1"/>
  </cols>
  <sheetData>
    <row customHeight="1" ht="14.25" hidden="1">
      <c r="L1" s="274"/>
      <c r="M1" s="79" t="s">
        <v>14</v>
      </c>
    </row>
    <row customHeight="1" ht="14.25" hidden="1">
      <c r="M2" s="79">
        <v>0</v>
      </c>
    </row>
    <row customHeight="1" ht="14.25" hidden="1">
      <c r="M3" s="79">
        <v>0</v>
      </c>
    </row>
    <row customHeight="1" ht="14.25" hidden="1">
      <c r="M4" s="79">
        <v>0</v>
      </c>
    </row>
    <row customHeight="1" ht="14.25" hidden="1">
      <c r="M5" s="79">
        <v>0</v>
      </c>
    </row>
    <row customHeight="1" ht="3">
      <c r="C6" s="102"/>
      <c r="D6" s="80"/>
      <c r="E6" s="80"/>
      <c r="M6" s="79">
        <v>3</v>
      </c>
    </row>
    <row customHeight="1" ht="23.25">
      <c r="C7" s="102"/>
      <c r="D7" s="2110" t="s">
        <v>2181</v>
      </c>
      <c r="E7" s="2110"/>
      <c r="F7" s="277"/>
      <c r="M7" s="79">
        <v>22</v>
      </c>
    </row>
    <row customHeight="1" ht="3">
      <c r="C8" s="102"/>
      <c r="D8" s="80"/>
      <c r="E8" s="80"/>
      <c r="M8" s="79">
        <v>3</v>
      </c>
    </row>
    <row customHeight="1" ht="16.8">
      <c r="C9" s="102"/>
      <c r="D9" s="115" t="s">
        <v>88</v>
      </c>
      <c r="E9" s="118" t="s">
        <v>309</v>
      </c>
      <c r="M9" s="79">
        <v>16</v>
      </c>
    </row>
    <row customHeight="1" ht="12.75">
      <c r="C10" s="102"/>
      <c r="D10" s="97" t="s">
        <v>124</v>
      </c>
      <c r="E10" s="97" t="s">
        <v>104</v>
      </c>
      <c r="M10" s="79">
        <v>12</v>
      </c>
    </row>
    <row customHeight="1" ht="15" hidden="1">
      <c r="C11" s="102"/>
      <c r="D11" s="123">
        <v>0</v>
      </c>
      <c r="E11" s="159"/>
      <c r="M11" s="79">
        <v>0</v>
      </c>
    </row>
    <row customHeight="1" ht="14.699999999999998">
      <c r="C12" s="102"/>
      <c r="D12" s="119"/>
      <c r="E12" s="117" t="s">
        <v>2179</v>
      </c>
      <c r="M12" s="79">
        <v>14</v>
      </c>
    </row>
    <row customHeight="1" ht="14.25" hidden="1">
      <c r="A13" s="79" t="s">
        <v>82</v>
      </c>
      <c r="B13" s="79">
        <v>0</v>
      </c>
      <c r="C13" s="101">
        <v>3</v>
      </c>
      <c r="D13" s="79">
        <v>6</v>
      </c>
      <c r="E13" s="79">
        <v>94</v>
      </c>
      <c r="F13" s="79">
        <v>8</v>
      </c>
      <c r="G13" s="79">
        <v>8</v>
      </c>
      <c r="H13" s="79">
        <v>8</v>
      </c>
      <c r="I13" s="79">
        <v>8</v>
      </c>
      <c r="J13" s="79">
        <v>8</v>
      </c>
      <c r="K13" s="79">
        <v>8</v>
      </c>
      <c r="L13" s="79">
        <v>8</v>
      </c>
      <c r="M13" s="79">
        <v>14</v>
      </c>
    </row>
  </sheetData>
  <sheetProtection sheet="1" formatColumns="0" formatRows="0" autoFilter="0" sort="1" insertRows="1" insertColumns="1" deleteRows="1" deleteColumns="1"/>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94A25A-13CE-C16C-9E7B-0.A237BEB5}"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60" width="9.140625" hidden="1"/>
    <col min="3" max="4" style="1860" width="3.00390625" customWidth="1"/>
    <col min="5" max="6" style="1860" width="15.00390625" customWidth="1"/>
    <col min="7" max="7" style="1860" width="11.57421875" customWidth="1"/>
    <col min="8" max="9" style="1860" width="3.00390625" customWidth="1"/>
    <col min="10" max="10" style="1860" width="12.00390625" customWidth="1"/>
    <col min="11" max="11" style="1860" width="0.28125" customWidth="1"/>
    <col min="12" max="13" style="1860" width="10.00390625" customWidth="1"/>
    <col min="14" max="15" style="1860" width="3.00390625" customWidth="1"/>
    <col min="16" max="16" style="1860" width="19.00390625" customWidth="1"/>
    <col min="17" max="17" style="1860" width="0.28125" customWidth="1"/>
    <col min="18" max="19" style="1860" width="10.00390625" customWidth="1"/>
    <col min="20" max="21" style="1860" width="3.00390625" customWidth="1"/>
    <col min="22" max="22" style="1860" width="25.00390625" customWidth="1"/>
    <col min="23" max="23" style="1860" width="0.28125" customWidth="1"/>
    <col min="24" max="25" style="1860" width="10.00390625" customWidth="1"/>
    <col min="26" max="27" style="1860" width="3.00390625" customWidth="1"/>
    <col min="28" max="28" style="1860" width="16.00390625" customWidth="1"/>
    <col min="29" max="29" style="1860" width="0.28125" customWidth="1"/>
    <col min="30" max="31" style="1860" width="10.00390625" customWidth="1"/>
    <col min="32" max="33" style="1860" width="3.00390625" customWidth="1"/>
    <col min="34" max="34" style="1860" width="8.00390625" customWidth="1"/>
    <col min="35" max="35" style="1860" width="21.00390625" customWidth="1"/>
    <col min="36" max="36" style="1860" width="8.00390625" customWidth="1"/>
    <col min="37" max="37" style="368" width="8.00390625" customWidth="1"/>
    <col min="38" max="64" style="1860" width="8.00390625" customWidth="1"/>
    <col min="65" max="65" style="1860" width="9.140625" hidden="1"/>
  </cols>
  <sheetData>
    <row s="1326" customFormat="1" customHeight="1" ht="11.25" hidden="1">
      <c r="AJ1" s="432"/>
      <c r="AK1" s="432"/>
      <c r="AL1" s="432"/>
      <c r="AM1" s="432"/>
      <c r="AN1" s="432"/>
      <c r="AO1" s="432"/>
      <c r="AP1" s="432"/>
      <c r="AQ1" s="432"/>
      <c r="AR1" s="432"/>
      <c r="AS1" s="432"/>
      <c r="AT1" s="432"/>
      <c r="AU1" s="432"/>
      <c r="AV1" s="432"/>
      <c r="AW1" s="432"/>
      <c r="AX1" s="432"/>
      <c r="AY1" s="432"/>
      <c r="AZ1" s="432"/>
      <c r="BA1" s="432"/>
      <c r="BB1" s="432"/>
      <c r="BC1" s="432"/>
      <c r="BD1" s="432"/>
      <c r="BE1" s="432"/>
      <c r="BF1" s="432"/>
      <c r="BG1" s="432"/>
      <c r="BH1" s="432"/>
      <c r="BI1" s="432"/>
      <c r="BJ1" s="432"/>
      <c r="BK1" s="432"/>
      <c r="BL1" s="432"/>
      <c r="BM1" s="429" t="s">
        <v>14</v>
      </c>
    </row>
    <row s="1563" customFormat="1" customHeight="1" ht="11.25" hidden="1">
      <c r="L2" s="1563" t="s">
        <v>301</v>
      </c>
      <c r="M2" s="1563" t="s">
        <v>302</v>
      </c>
      <c r="R2" s="1563" t="s">
        <v>303</v>
      </c>
      <c r="S2" s="1563" t="s">
        <v>302</v>
      </c>
      <c r="X2" s="1563" t="s">
        <v>301</v>
      </c>
      <c r="Y2" s="1563" t="s">
        <v>302</v>
      </c>
      <c r="AD2" s="1563" t="s">
        <v>301</v>
      </c>
      <c r="AE2" s="1563" t="s">
        <v>302</v>
      </c>
      <c r="AJ2" s="1585"/>
      <c r="AK2" s="1585"/>
      <c r="AL2" s="1585"/>
      <c r="AM2" s="1585"/>
      <c r="AN2" s="1585"/>
      <c r="AO2" s="1585"/>
      <c r="AP2" s="1585"/>
      <c r="AQ2" s="1585"/>
      <c r="AR2" s="1585"/>
      <c r="AS2" s="1585"/>
      <c r="AT2" s="1585"/>
      <c r="AU2" s="1585"/>
      <c r="AV2" s="1585"/>
      <c r="AW2" s="1585"/>
      <c r="AX2" s="1585"/>
      <c r="AY2" s="1585"/>
      <c r="AZ2" s="1585"/>
      <c r="BA2" s="1585"/>
      <c r="BB2" s="1585"/>
      <c r="BC2" s="1585"/>
      <c r="BD2" s="1585"/>
      <c r="BE2" s="1585"/>
      <c r="BF2" s="1585"/>
      <c r="BG2" s="1585"/>
      <c r="BH2" s="1585"/>
      <c r="BI2" s="1585"/>
      <c r="BJ2" s="1585"/>
      <c r="BK2" s="1585"/>
      <c r="BL2" s="1585"/>
      <c r="BM2" s="1563">
        <v>0</v>
      </c>
    </row>
    <row s="1564" customFormat="1" customHeight="1" ht="11.549999999999999">
      <c r="AJ3" s="1584"/>
      <c r="AK3" s="316"/>
      <c r="AL3" s="1584"/>
      <c r="AM3" s="1584"/>
      <c r="AN3" s="1584"/>
      <c r="AO3" s="1584"/>
      <c r="AP3" s="1584"/>
      <c r="AQ3" s="1584"/>
      <c r="AR3" s="1584"/>
      <c r="AS3" s="1584"/>
      <c r="AT3" s="1584"/>
      <c r="AU3" s="1584"/>
      <c r="AV3" s="1584"/>
      <c r="AW3" s="1584"/>
      <c r="AX3" s="1584"/>
      <c r="AY3" s="1584"/>
      <c r="AZ3" s="1584"/>
      <c r="BA3" s="1584"/>
      <c r="BB3" s="1584"/>
      <c r="BC3" s="1584"/>
      <c r="BD3" s="1584"/>
      <c r="BE3" s="1584"/>
      <c r="BF3" s="1584"/>
      <c r="BG3" s="1584"/>
      <c r="BH3" s="1584"/>
      <c r="BI3" s="1584"/>
      <c r="BJ3" s="1584"/>
      <c r="BK3" s="1584"/>
      <c r="BL3" s="1584"/>
      <c r="BM3" s="1564">
        <v>11</v>
      </c>
    </row>
    <row s="1829" customFormat="1" customHeight="1" ht="34.5">
      <c r="A4" s="1166"/>
      <c r="B4" s="1165"/>
      <c r="C4" s="1525"/>
      <c r="D4" s="2201" t="s">
        <v>304</v>
      </c>
      <c r="E4" s="2201"/>
      <c r="F4" s="2201"/>
      <c r="G4" s="2201"/>
      <c r="H4" s="2201"/>
      <c r="I4" s="2201"/>
      <c r="J4" s="2201"/>
      <c r="K4" s="709"/>
      <c r="T4" s="1565"/>
      <c r="AJ4" s="1586"/>
      <c r="AK4" s="1587"/>
      <c r="AL4" s="1586"/>
      <c r="AM4" s="1586"/>
      <c r="AN4" s="1586"/>
      <c r="AO4" s="1586"/>
      <c r="AP4" s="1586"/>
      <c r="AQ4" s="1586"/>
      <c r="AR4" s="1586"/>
      <c r="AS4" s="1586"/>
      <c r="AT4" s="1586"/>
      <c r="AU4" s="1586"/>
      <c r="AV4" s="1586"/>
      <c r="AW4" s="1586"/>
      <c r="AX4" s="1586"/>
      <c r="AY4" s="1586"/>
      <c r="AZ4" s="1586"/>
      <c r="BA4" s="1586"/>
      <c r="BB4" s="1586"/>
      <c r="BC4" s="1586"/>
      <c r="BD4" s="1586"/>
      <c r="BE4" s="1586"/>
      <c r="BF4" s="1586"/>
      <c r="BG4" s="1586"/>
      <c r="BH4" s="1586"/>
      <c r="BI4" s="1586"/>
      <c r="BJ4" s="1586"/>
      <c r="BK4" s="1586"/>
      <c r="BL4" s="1586"/>
      <c r="BM4" s="517">
        <v>33</v>
      </c>
    </row>
    <row s="1829" customFormat="1" customHeight="1" ht="14.699999999999998">
      <c r="A5" s="1642"/>
      <c r="B5" s="1641"/>
      <c r="C5" s="1525"/>
      <c r="D5" s="2186" t="str">
        <f>IF(org=0,"Не определено",org)</f>
        <v>АО «ДГК» СП «Нерюнгринская ГРЭС»</v>
      </c>
      <c r="E5" s="2186"/>
      <c r="F5" s="2186"/>
      <c r="G5" s="2186"/>
      <c r="H5" s="2186"/>
      <c r="I5" s="2186"/>
      <c r="J5" s="2186"/>
      <c r="K5" s="709"/>
      <c r="T5" s="1565"/>
      <c r="AJ5" s="1586"/>
      <c r="AK5" s="1587"/>
      <c r="AL5" s="1586"/>
      <c r="AM5" s="1586"/>
      <c r="AN5" s="1586"/>
      <c r="AO5" s="1586"/>
      <c r="AP5" s="1586"/>
      <c r="AQ5" s="1586"/>
      <c r="AR5" s="1586"/>
      <c r="AS5" s="1586"/>
      <c r="AT5" s="1586"/>
      <c r="AU5" s="1586"/>
      <c r="AV5" s="1586"/>
      <c r="AW5" s="1586"/>
      <c r="AX5" s="1586"/>
      <c r="AY5" s="1586"/>
      <c r="AZ5" s="1586"/>
      <c r="BA5" s="1586"/>
      <c r="BB5" s="1586"/>
      <c r="BC5" s="1586"/>
      <c r="BD5" s="1586"/>
      <c r="BE5" s="1586"/>
      <c r="BF5" s="1586"/>
      <c r="BG5" s="1586"/>
      <c r="BH5" s="1586"/>
      <c r="BI5" s="1586"/>
      <c r="BJ5" s="1586"/>
      <c r="BK5" s="1586"/>
      <c r="BL5" s="1586"/>
      <c r="BM5" s="1619">
        <v>14</v>
      </c>
    </row>
    <row s="1829" customFormat="1" customHeight="1" ht="14.699999999999998">
      <c r="A6" s="1166"/>
      <c r="B6" s="1165"/>
      <c r="C6" s="1525"/>
      <c r="D6" s="709"/>
      <c r="E6" s="709"/>
      <c r="F6" s="709"/>
      <c r="G6" s="709"/>
      <c r="H6" s="709"/>
      <c r="I6" s="709"/>
      <c r="J6" s="709"/>
      <c r="K6" s="709"/>
      <c r="T6" s="1565"/>
      <c r="AJ6" s="1586"/>
      <c r="AK6" s="1587"/>
      <c r="AL6" s="1586"/>
      <c r="AM6" s="1586"/>
      <c r="AN6" s="1586"/>
      <c r="AO6" s="1586"/>
      <c r="AP6" s="1586"/>
      <c r="AQ6" s="1586"/>
      <c r="AR6" s="1586"/>
      <c r="AS6" s="1586"/>
      <c r="AT6" s="1586"/>
      <c r="AU6" s="1586"/>
      <c r="AV6" s="1586"/>
      <c r="AW6" s="1586"/>
      <c r="AX6" s="1586"/>
      <c r="AY6" s="1586"/>
      <c r="AZ6" s="1586"/>
      <c r="BA6" s="1586"/>
      <c r="BB6" s="1586"/>
      <c r="BC6" s="1586"/>
      <c r="BD6" s="1586"/>
      <c r="BE6" s="1586"/>
      <c r="BF6" s="1586"/>
      <c r="BG6" s="1586"/>
      <c r="BH6" s="1586"/>
      <c r="BI6" s="1586"/>
      <c r="BJ6" s="1586"/>
      <c r="BK6" s="1586"/>
      <c r="BL6" s="1586"/>
      <c r="BM6" s="517">
        <v>14</v>
      </c>
    </row>
    <row s="1326" customFormat="1" customHeight="1" ht="1.05">
      <c r="AJ7" s="432"/>
      <c r="AK7" s="432"/>
      <c r="AL7" s="432"/>
      <c r="AM7" s="432"/>
      <c r="AN7" s="432"/>
      <c r="AO7" s="432"/>
      <c r="AP7" s="432"/>
      <c r="AQ7" s="432"/>
      <c r="AR7" s="432"/>
      <c r="AS7" s="432"/>
      <c r="AT7" s="432"/>
      <c r="AU7" s="432"/>
      <c r="AV7" s="432"/>
      <c r="AW7" s="432"/>
      <c r="AX7" s="432"/>
      <c r="AY7" s="432"/>
      <c r="AZ7" s="432"/>
      <c r="BA7" s="432"/>
      <c r="BB7" s="432"/>
      <c r="BC7" s="432"/>
      <c r="BD7" s="432"/>
      <c r="BE7" s="432"/>
      <c r="BF7" s="432"/>
      <c r="BG7" s="432"/>
      <c r="BH7" s="432"/>
      <c r="BI7" s="432"/>
      <c r="BJ7" s="432"/>
      <c r="BK7" s="432"/>
      <c r="BL7" s="432"/>
      <c r="BM7" s="429">
        <v>1</v>
      </c>
    </row>
    <row customHeight="1" ht="33.75">
      <c r="D8" s="2137" t="s">
        <v>88</v>
      </c>
      <c r="E8" s="2137" t="s">
        <v>120</v>
      </c>
      <c r="F8" s="2202" t="s">
        <v>146</v>
      </c>
      <c r="G8" s="2203"/>
      <c r="H8" s="2202" t="s">
        <v>88</v>
      </c>
      <c r="I8" s="2203"/>
      <c r="J8" s="2137" t="s">
        <v>147</v>
      </c>
      <c r="K8" s="1566"/>
      <c r="L8" s="2206" t="s">
        <v>305</v>
      </c>
      <c r="M8" s="2206"/>
      <c r="N8" s="2206"/>
      <c r="O8" s="2206"/>
      <c r="P8" s="2206"/>
      <c r="Q8" s="1567"/>
      <c r="R8" s="2106" t="s">
        <v>306</v>
      </c>
      <c r="S8" s="2207"/>
      <c r="T8" s="2207"/>
      <c r="U8" s="2207"/>
      <c r="V8" s="2207"/>
      <c r="W8" s="1567"/>
      <c r="X8" s="2208" t="s">
        <v>307</v>
      </c>
      <c r="Y8" s="2208"/>
      <c r="Z8" s="2208"/>
      <c r="AA8" s="2208"/>
      <c r="AB8" s="2208"/>
      <c r="AC8" s="1568"/>
      <c r="AD8" s="2137" t="s">
        <v>308</v>
      </c>
      <c r="AE8" s="2137"/>
      <c r="AF8" s="2137"/>
      <c r="AG8" s="2137"/>
      <c r="AH8" s="2111"/>
      <c r="AI8" s="2137" t="s">
        <v>309</v>
      </c>
      <c r="AJ8" s="1584"/>
      <c r="BM8" s="303">
        <v>32</v>
      </c>
    </row>
    <row customHeight="1" ht="23.25">
      <c r="D9" s="2137"/>
      <c r="E9" s="2137"/>
      <c r="F9" s="2185" t="s">
        <v>89</v>
      </c>
      <c r="G9" s="2185" t="s">
        <v>152</v>
      </c>
      <c r="H9" s="2204"/>
      <c r="I9" s="2205"/>
      <c r="J9" s="2111"/>
      <c r="K9" s="1569"/>
      <c r="L9" s="2137" t="s">
        <v>310</v>
      </c>
      <c r="M9" s="2111"/>
      <c r="N9" s="2202" t="s">
        <v>88</v>
      </c>
      <c r="O9" s="2203"/>
      <c r="P9" s="2137" t="s">
        <v>153</v>
      </c>
      <c r="Q9" s="1566"/>
      <c r="R9" s="2137" t="s">
        <v>310</v>
      </c>
      <c r="S9" s="2111"/>
      <c r="T9" s="2202" t="s">
        <v>88</v>
      </c>
      <c r="U9" s="2203"/>
      <c r="V9" s="2137" t="s">
        <v>153</v>
      </c>
      <c r="W9" s="1566"/>
      <c r="X9" s="2137" t="s">
        <v>310</v>
      </c>
      <c r="Y9" s="2111"/>
      <c r="Z9" s="2202" t="s">
        <v>88</v>
      </c>
      <c r="AA9" s="2203"/>
      <c r="AB9" s="2137" t="s">
        <v>311</v>
      </c>
      <c r="AC9" s="1566"/>
      <c r="AD9" s="2137" t="s">
        <v>310</v>
      </c>
      <c r="AE9" s="2111"/>
      <c r="AF9" s="2202" t="s">
        <v>88</v>
      </c>
      <c r="AG9" s="2203"/>
      <c r="AH9" s="2111" t="s">
        <v>311</v>
      </c>
      <c r="AI9" s="2137"/>
      <c r="AJ9" s="1584"/>
      <c r="BM9" s="303">
        <v>22</v>
      </c>
    </row>
    <row customHeight="1" ht="24">
      <c r="D10" s="2185"/>
      <c r="E10" s="2185"/>
      <c r="F10" s="2209"/>
      <c r="G10" s="2209"/>
      <c r="H10" s="2210"/>
      <c r="I10" s="2211"/>
      <c r="J10" s="2202"/>
      <c r="K10" s="1569"/>
      <c r="L10" s="1588" t="s">
        <v>312</v>
      </c>
      <c r="M10" s="1583" t="s">
        <v>313</v>
      </c>
      <c r="N10" s="2204"/>
      <c r="O10" s="2205"/>
      <c r="P10" s="2185"/>
      <c r="Q10" s="1566"/>
      <c r="R10" s="1588" t="s">
        <v>312</v>
      </c>
      <c r="S10" s="1583" t="s">
        <v>313</v>
      </c>
      <c r="T10" s="2204"/>
      <c r="U10" s="2205"/>
      <c r="V10" s="2185"/>
      <c r="W10" s="1566"/>
      <c r="X10" s="1588" t="s">
        <v>312</v>
      </c>
      <c r="Y10" s="1583" t="s">
        <v>313</v>
      </c>
      <c r="Z10" s="2204"/>
      <c r="AA10" s="2205"/>
      <c r="AB10" s="2185"/>
      <c r="AC10" s="1566"/>
      <c r="AD10" s="1588" t="s">
        <v>312</v>
      </c>
      <c r="AE10" s="1583" t="s">
        <v>313</v>
      </c>
      <c r="AF10" s="2204"/>
      <c r="AG10" s="2205"/>
      <c r="AH10" s="2202"/>
      <c r="AI10" s="2185"/>
      <c r="AJ10" s="1584"/>
      <c r="AK10" s="264" t="s">
        <v>314</v>
      </c>
      <c r="AL10" s="264" t="s">
        <v>154</v>
      </c>
      <c r="BM10" s="303">
        <v>23</v>
      </c>
    </row>
    <row customHeight="1" ht="15">
      <c r="D11" s="2193" t="s">
        <v>124</v>
      </c>
      <c r="E11" s="2189" t="s">
        <v>315</v>
      </c>
      <c r="F11" s="2189" t="s">
        <v>316</v>
      </c>
      <c r="G11" s="2195" t="s">
        <v>19</v>
      </c>
      <c r="H11" s="1609"/>
      <c r="I11" s="2191"/>
      <c r="J11" s="2162"/>
      <c r="K11" s="1524"/>
      <c r="L11" s="2147"/>
      <c r="M11" s="2147"/>
      <c r="N11" s="1594"/>
      <c r="O11" s="2147"/>
      <c r="P11" s="2162"/>
      <c r="Q11" s="1595"/>
      <c r="R11" s="2147"/>
      <c r="S11" s="2147"/>
      <c r="T11" s="1596"/>
      <c r="U11" s="2147"/>
      <c r="V11" s="2162"/>
      <c r="W11" s="1597"/>
      <c r="X11" s="2147"/>
      <c r="Y11" s="2147"/>
      <c r="Z11" s="1594"/>
      <c r="AA11" s="2147"/>
      <c r="AB11" s="2162"/>
      <c r="AC11" s="1598"/>
      <c r="AD11" s="2147"/>
      <c r="AE11" s="2147"/>
      <c r="AF11" s="1523"/>
      <c r="AG11" s="1523"/>
      <c r="AH11" s="1599"/>
      <c r="AI11" s="1306"/>
      <c r="AJ11" s="1584"/>
      <c r="BM11" s="303">
        <v>14</v>
      </c>
    </row>
    <row customHeight="1" ht="14.699999999999998">
      <c r="D12" s="2193"/>
      <c r="E12" s="2189"/>
      <c r="F12" s="2189"/>
      <c r="G12" s="2196"/>
      <c r="H12" s="1610"/>
      <c r="I12" s="2192"/>
      <c r="J12" s="2163"/>
      <c r="K12" s="1620"/>
      <c r="L12" s="2148"/>
      <c r="M12" s="2148"/>
      <c r="N12" s="1600"/>
      <c r="O12" s="2148"/>
      <c r="P12" s="2163"/>
      <c r="Q12" s="1601"/>
      <c r="R12" s="2148"/>
      <c r="S12" s="2148"/>
      <c r="T12" s="1602"/>
      <c r="U12" s="2148"/>
      <c r="V12" s="2163"/>
      <c r="W12" s="1603"/>
      <c r="X12" s="2148"/>
      <c r="Y12" s="2148"/>
      <c r="Z12" s="1600"/>
      <c r="AA12" s="2148"/>
      <c r="AB12" s="2163"/>
      <c r="AC12" s="1604"/>
      <c r="AD12" s="2148"/>
      <c r="AE12" s="2148"/>
      <c r="AF12" s="1605"/>
      <c r="AG12" s="1605"/>
      <c r="AH12" s="2187"/>
      <c r="AI12" s="2188"/>
      <c r="AJ12" s="1584"/>
      <c r="BM12" s="303">
        <v>14</v>
      </c>
    </row>
    <row customHeight="1" ht="14.699999999999998">
      <c r="D13" s="2193"/>
      <c r="E13" s="2189"/>
      <c r="F13" s="2189"/>
      <c r="G13" s="2196"/>
      <c r="H13" s="1610"/>
      <c r="I13" s="2192"/>
      <c r="J13" s="2163"/>
      <c r="K13" s="1620"/>
      <c r="L13" s="2148"/>
      <c r="M13" s="2148"/>
      <c r="N13" s="1600"/>
      <c r="O13" s="2148"/>
      <c r="P13" s="2163"/>
      <c r="Q13" s="1601"/>
      <c r="R13" s="2148"/>
      <c r="S13" s="2148"/>
      <c r="T13" s="1602"/>
      <c r="U13" s="2148"/>
      <c r="V13" s="2163"/>
      <c r="W13" s="1603"/>
      <c r="X13" s="2148"/>
      <c r="Y13" s="2148"/>
      <c r="Z13" s="1522"/>
      <c r="AA13" s="1605"/>
      <c r="AB13" s="2187"/>
      <c r="AC13" s="2187"/>
      <c r="AD13" s="2187"/>
      <c r="AE13" s="2187"/>
      <c r="AF13" s="2187"/>
      <c r="AG13" s="2187"/>
      <c r="AH13" s="2187"/>
      <c r="AI13" s="2188"/>
      <c r="AJ13" s="1584"/>
      <c r="BM13" s="303">
        <v>14</v>
      </c>
    </row>
    <row customHeight="1" ht="14.699999999999998">
      <c r="D14" s="2193"/>
      <c r="E14" s="2189"/>
      <c r="F14" s="2189"/>
      <c r="G14" s="2196"/>
      <c r="H14" s="1610"/>
      <c r="I14" s="2192"/>
      <c r="J14" s="2163"/>
      <c r="K14" s="1620"/>
      <c r="L14" s="2148"/>
      <c r="M14" s="2148"/>
      <c r="N14" s="1600"/>
      <c r="O14" s="2148"/>
      <c r="P14" s="2163"/>
      <c r="Q14" s="1601"/>
      <c r="R14" s="2148"/>
      <c r="S14" s="2148"/>
      <c r="T14" s="1606"/>
      <c r="U14" s="1607"/>
      <c r="V14" s="2187"/>
      <c r="W14" s="2187"/>
      <c r="X14" s="2187"/>
      <c r="Y14" s="2187"/>
      <c r="Z14" s="2187"/>
      <c r="AA14" s="2187"/>
      <c r="AB14" s="2187"/>
      <c r="AC14" s="2187"/>
      <c r="AD14" s="2187"/>
      <c r="AE14" s="2187"/>
      <c r="AF14" s="2187"/>
      <c r="AG14" s="2187"/>
      <c r="AH14" s="2187"/>
      <c r="AI14" s="2188"/>
      <c r="AJ14" s="1584"/>
      <c r="BM14" s="303">
        <v>14</v>
      </c>
    </row>
    <row customHeight="1" ht="11.549999999999999">
      <c r="D15" s="2193"/>
      <c r="E15" s="2189"/>
      <c r="F15" s="2189"/>
      <c r="G15" s="2196"/>
      <c r="H15" s="1611"/>
      <c r="I15" s="2192"/>
      <c r="J15" s="2163"/>
      <c r="K15" s="1620"/>
      <c r="L15" s="2148"/>
      <c r="M15" s="2148"/>
      <c r="N15" s="1605"/>
      <c r="O15" s="1605"/>
      <c r="P15" s="2187"/>
      <c r="Q15" s="2187"/>
      <c r="R15" s="2187"/>
      <c r="S15" s="2187"/>
      <c r="T15" s="2187"/>
      <c r="U15" s="2187"/>
      <c r="V15" s="2187"/>
      <c r="W15" s="2187"/>
      <c r="X15" s="2187"/>
      <c r="Y15" s="2187"/>
      <c r="Z15" s="2187"/>
      <c r="AA15" s="2187"/>
      <c r="AB15" s="2187"/>
      <c r="AC15" s="2187"/>
      <c r="AD15" s="2187"/>
      <c r="AE15" s="2187"/>
      <c r="AF15" s="2187"/>
      <c r="AG15" s="2187"/>
      <c r="AH15" s="2187"/>
      <c r="AI15" s="2188"/>
      <c r="AJ15" s="1584"/>
      <c r="BM15" s="303">
        <v>11</v>
      </c>
    </row>
    <row s="1564" customFormat="1" customHeight="1" ht="11.549999999999999">
      <c r="D16" s="2199"/>
      <c r="E16" s="2200"/>
      <c r="F16" s="2190"/>
      <c r="G16" s="2122"/>
      <c r="H16" s="1608"/>
      <c r="I16" s="1612"/>
      <c r="J16" s="2197"/>
      <c r="K16" s="2197"/>
      <c r="L16" s="2197"/>
      <c r="M16" s="2197"/>
      <c r="N16" s="2197"/>
      <c r="O16" s="2197"/>
      <c r="P16" s="2197"/>
      <c r="Q16" s="2197"/>
      <c r="R16" s="2197"/>
      <c r="S16" s="2197"/>
      <c r="T16" s="2197"/>
      <c r="U16" s="2197"/>
      <c r="V16" s="2197"/>
      <c r="W16" s="2197"/>
      <c r="X16" s="2197"/>
      <c r="Y16" s="2197"/>
      <c r="Z16" s="2197"/>
      <c r="AA16" s="2197"/>
      <c r="AB16" s="2197"/>
      <c r="AC16" s="2197"/>
      <c r="AD16" s="2197"/>
      <c r="AE16" s="2197"/>
      <c r="AF16" s="2197"/>
      <c r="AG16" s="2197"/>
      <c r="AH16" s="2197"/>
      <c r="AI16" s="2198"/>
      <c r="AJ16" s="1584"/>
      <c r="AK16" s="316"/>
      <c r="AL16" s="1584"/>
      <c r="AM16" s="1584"/>
      <c r="AN16" s="1584"/>
      <c r="AO16" s="1584"/>
      <c r="AP16" s="1584"/>
      <c r="AQ16" s="1584"/>
      <c r="AR16" s="1584"/>
      <c r="AS16" s="1584"/>
      <c r="AT16" s="1584"/>
      <c r="AU16" s="1584"/>
      <c r="AV16" s="1584"/>
      <c r="AW16" s="1584"/>
      <c r="AX16" s="1584"/>
      <c r="AY16" s="1584"/>
      <c r="AZ16" s="1584"/>
      <c r="BA16" s="1584"/>
      <c r="BB16" s="1584"/>
      <c r="BC16" s="1584"/>
      <c r="BD16" s="1584"/>
      <c r="BE16" s="1584"/>
      <c r="BF16" s="1584"/>
      <c r="BG16" s="1584"/>
      <c r="BH16" s="1584"/>
      <c r="BI16" s="1584"/>
      <c r="BJ16" s="1584"/>
      <c r="BK16" s="1584"/>
      <c r="BL16" s="1584"/>
      <c r="BM16" s="1564">
        <v>11</v>
      </c>
    </row>
    <row customHeight="1" ht="15">
      <c r="D17" s="2193" t="s">
        <v>104</v>
      </c>
      <c r="E17" s="2189" t="s">
        <v>315</v>
      </c>
      <c r="F17" s="2189" t="s">
        <v>317</v>
      </c>
      <c r="G17" s="2195" t="s">
        <v>19</v>
      </c>
      <c r="H17" s="1609"/>
      <c r="I17" s="2191"/>
      <c r="J17" s="2162"/>
      <c r="K17" s="1524"/>
      <c r="L17" s="2147"/>
      <c r="M17" s="2147"/>
      <c r="N17" s="1594"/>
      <c r="O17" s="2147"/>
      <c r="P17" s="2162"/>
      <c r="Q17" s="1595"/>
      <c r="R17" s="2147"/>
      <c r="S17" s="2147"/>
      <c r="T17" s="1596"/>
      <c r="U17" s="2147"/>
      <c r="V17" s="2162"/>
      <c r="W17" s="1597"/>
      <c r="X17" s="2147"/>
      <c r="Y17" s="2147"/>
      <c r="Z17" s="1594"/>
      <c r="AA17" s="2147"/>
      <c r="AB17" s="2162"/>
      <c r="AC17" s="1598"/>
      <c r="AD17" s="2147"/>
      <c r="AE17" s="2147"/>
      <c r="AF17" s="1523"/>
      <c r="AG17" s="1523"/>
      <c r="AH17" s="1599"/>
      <c r="AI17" s="1306"/>
      <c r="AJ17" s="1584"/>
      <c r="BM17" s="303">
        <v>14</v>
      </c>
    </row>
    <row customHeight="1" ht="14.699999999999998">
      <c r="D18" s="2193"/>
      <c r="E18" s="2189"/>
      <c r="F18" s="2189"/>
      <c r="G18" s="2196"/>
      <c r="H18" s="1610"/>
      <c r="I18" s="2192"/>
      <c r="J18" s="2163"/>
      <c r="K18" s="1593"/>
      <c r="L18" s="2148"/>
      <c r="M18" s="2148"/>
      <c r="N18" s="1600"/>
      <c r="O18" s="2148"/>
      <c r="P18" s="2163"/>
      <c r="Q18" s="1601"/>
      <c r="R18" s="2148"/>
      <c r="S18" s="2148"/>
      <c r="T18" s="1602"/>
      <c r="U18" s="2148"/>
      <c r="V18" s="2163"/>
      <c r="W18" s="1603"/>
      <c r="X18" s="2148"/>
      <c r="Y18" s="2148"/>
      <c r="Z18" s="1600"/>
      <c r="AA18" s="2148"/>
      <c r="AB18" s="2163"/>
      <c r="AC18" s="1604"/>
      <c r="AD18" s="2148"/>
      <c r="AE18" s="2148"/>
      <c r="AF18" s="1605"/>
      <c r="AG18" s="1605"/>
      <c r="AH18" s="2187"/>
      <c r="AI18" s="2188"/>
      <c r="AJ18" s="1584"/>
      <c r="BM18" s="303">
        <v>14</v>
      </c>
    </row>
    <row customHeight="1" ht="14.699999999999998">
      <c r="D19" s="2193"/>
      <c r="E19" s="2189"/>
      <c r="F19" s="2189"/>
      <c r="G19" s="2196"/>
      <c r="H19" s="1610"/>
      <c r="I19" s="2192"/>
      <c r="J19" s="2163"/>
      <c r="K19" s="1593"/>
      <c r="L19" s="2148"/>
      <c r="M19" s="2148"/>
      <c r="N19" s="1600"/>
      <c r="O19" s="2148"/>
      <c r="P19" s="2163"/>
      <c r="Q19" s="1601"/>
      <c r="R19" s="2148"/>
      <c r="S19" s="2148"/>
      <c r="T19" s="1602"/>
      <c r="U19" s="2148"/>
      <c r="V19" s="2163"/>
      <c r="W19" s="1603"/>
      <c r="X19" s="2148"/>
      <c r="Y19" s="2148"/>
      <c r="Z19" s="1522"/>
      <c r="AA19" s="1605"/>
      <c r="AB19" s="2187"/>
      <c r="AC19" s="2187"/>
      <c r="AD19" s="2187"/>
      <c r="AE19" s="2187"/>
      <c r="AF19" s="2187"/>
      <c r="AG19" s="2187"/>
      <c r="AH19" s="2187"/>
      <c r="AI19" s="2188"/>
      <c r="AJ19" s="1584"/>
      <c r="BM19" s="303">
        <v>14</v>
      </c>
    </row>
    <row customHeight="1" ht="14.699999999999998">
      <c r="D20" s="2193"/>
      <c r="E20" s="2189"/>
      <c r="F20" s="2189"/>
      <c r="G20" s="2196"/>
      <c r="H20" s="1610"/>
      <c r="I20" s="2192"/>
      <c r="J20" s="2163"/>
      <c r="K20" s="1593"/>
      <c r="L20" s="2148"/>
      <c r="M20" s="2148"/>
      <c r="N20" s="1600"/>
      <c r="O20" s="2148"/>
      <c r="P20" s="2163"/>
      <c r="Q20" s="1601"/>
      <c r="R20" s="2148"/>
      <c r="S20" s="2148"/>
      <c r="T20" s="1606"/>
      <c r="U20" s="1607"/>
      <c r="V20" s="2187"/>
      <c r="W20" s="2187"/>
      <c r="X20" s="2187"/>
      <c r="Y20" s="2187"/>
      <c r="Z20" s="2187"/>
      <c r="AA20" s="2187"/>
      <c r="AB20" s="2187"/>
      <c r="AC20" s="2187"/>
      <c r="AD20" s="2187"/>
      <c r="AE20" s="2187"/>
      <c r="AF20" s="2187"/>
      <c r="AG20" s="2187"/>
      <c r="AH20" s="2187"/>
      <c r="AI20" s="2188"/>
      <c r="AJ20" s="1584"/>
      <c r="BM20" s="303">
        <v>14</v>
      </c>
    </row>
    <row customHeight="1" ht="11.549999999999999">
      <c r="D21" s="2193"/>
      <c r="E21" s="2189"/>
      <c r="F21" s="2189"/>
      <c r="G21" s="2196"/>
      <c r="H21" s="1611"/>
      <c r="I21" s="2192"/>
      <c r="J21" s="2163"/>
      <c r="K21" s="1593"/>
      <c r="L21" s="2148"/>
      <c r="M21" s="2148"/>
      <c r="N21" s="1605"/>
      <c r="O21" s="1605"/>
      <c r="P21" s="2187"/>
      <c r="Q21" s="2187"/>
      <c r="R21" s="2187"/>
      <c r="S21" s="2187"/>
      <c r="T21" s="2187"/>
      <c r="U21" s="2187"/>
      <c r="V21" s="2187"/>
      <c r="W21" s="2187"/>
      <c r="X21" s="2187"/>
      <c r="Y21" s="2187"/>
      <c r="Z21" s="2187"/>
      <c r="AA21" s="2187"/>
      <c r="AB21" s="2187"/>
      <c r="AC21" s="2187"/>
      <c r="AD21" s="2187"/>
      <c r="AE21" s="2187"/>
      <c r="AF21" s="2187"/>
      <c r="AG21" s="2187"/>
      <c r="AH21" s="2187"/>
      <c r="AI21" s="2188"/>
      <c r="AJ21" s="1584"/>
      <c r="BM21" s="303">
        <v>11</v>
      </c>
    </row>
    <row s="1564" customFormat="1" customHeight="1" ht="11.549999999999999">
      <c r="D22" s="2199"/>
      <c r="E22" s="2200"/>
      <c r="F22" s="2190"/>
      <c r="G22" s="2122"/>
      <c r="H22" s="1608"/>
      <c r="I22" s="1612"/>
      <c r="J22" s="2197"/>
      <c r="K22" s="2197"/>
      <c r="L22" s="2197"/>
      <c r="M22" s="2197"/>
      <c r="N22" s="2197"/>
      <c r="O22" s="2197"/>
      <c r="P22" s="2197"/>
      <c r="Q22" s="2197"/>
      <c r="R22" s="2197"/>
      <c r="S22" s="2197"/>
      <c r="T22" s="2197"/>
      <c r="U22" s="2197"/>
      <c r="V22" s="2197"/>
      <c r="W22" s="2197"/>
      <c r="X22" s="2197"/>
      <c r="Y22" s="2197"/>
      <c r="Z22" s="2197"/>
      <c r="AA22" s="2197"/>
      <c r="AB22" s="2197"/>
      <c r="AC22" s="2197"/>
      <c r="AD22" s="2197"/>
      <c r="AE22" s="2197"/>
      <c r="AF22" s="2197"/>
      <c r="AG22" s="2197"/>
      <c r="AH22" s="2197"/>
      <c r="AI22" s="2198"/>
      <c r="AJ22" s="1584"/>
      <c r="AK22" s="316"/>
      <c r="AL22" s="1584"/>
      <c r="AM22" s="1584"/>
      <c r="AN22" s="1584"/>
      <c r="AO22" s="1584"/>
      <c r="AP22" s="1584"/>
      <c r="AQ22" s="1584"/>
      <c r="AR22" s="1584"/>
      <c r="AS22" s="1584"/>
      <c r="AT22" s="1584"/>
      <c r="AU22" s="1584"/>
      <c r="AV22" s="1584"/>
      <c r="AW22" s="1584"/>
      <c r="AX22" s="1584"/>
      <c r="AY22" s="1584"/>
      <c r="AZ22" s="1584"/>
      <c r="BA22" s="1584"/>
      <c r="BB22" s="1584"/>
      <c r="BC22" s="1584"/>
      <c r="BD22" s="1584"/>
      <c r="BE22" s="1584"/>
      <c r="BF22" s="1584"/>
      <c r="BG22" s="1584"/>
      <c r="BH22" s="1584"/>
      <c r="BI22" s="1584"/>
      <c r="BJ22" s="1584"/>
      <c r="BK22" s="1584"/>
      <c r="BL22" s="1584"/>
      <c r="BM22" s="1564">
        <v>11</v>
      </c>
    </row>
    <row customHeight="1" ht="15">
      <c r="D23" s="2193" t="s">
        <v>90</v>
      </c>
      <c r="E23" s="2189" t="s">
        <v>315</v>
      </c>
      <c r="F23" s="2189" t="s">
        <v>318</v>
      </c>
      <c r="G23" s="2195" t="s">
        <v>19</v>
      </c>
      <c r="H23" s="1609"/>
      <c r="I23" s="2191"/>
      <c r="J23" s="2162"/>
      <c r="K23" s="1524"/>
      <c r="L23" s="2147"/>
      <c r="M23" s="2147"/>
      <c r="N23" s="1594"/>
      <c r="O23" s="2147"/>
      <c r="P23" s="2162"/>
      <c r="Q23" s="1595"/>
      <c r="R23" s="2147"/>
      <c r="S23" s="2147"/>
      <c r="T23" s="1596"/>
      <c r="U23" s="2147"/>
      <c r="V23" s="2162"/>
      <c r="W23" s="1597"/>
      <c r="X23" s="2147"/>
      <c r="Y23" s="2147"/>
      <c r="Z23" s="1594"/>
      <c r="AA23" s="2147"/>
      <c r="AB23" s="2162"/>
      <c r="AC23" s="1598"/>
      <c r="AD23" s="2147"/>
      <c r="AE23" s="2147"/>
      <c r="AF23" s="1523"/>
      <c r="AG23" s="1523"/>
      <c r="AH23" s="1599"/>
      <c r="AI23" s="1306"/>
      <c r="AJ23" s="1584"/>
      <c r="AK23" s="316" t="s">
        <v>98</v>
      </c>
      <c r="BM23" s="303">
        <v>14</v>
      </c>
    </row>
    <row customHeight="1" ht="14.699999999999998">
      <c r="D24" s="2193"/>
      <c r="E24" s="2189"/>
      <c r="F24" s="2189"/>
      <c r="G24" s="2196"/>
      <c r="H24" s="1610"/>
      <c r="I24" s="2192"/>
      <c r="J24" s="2163"/>
      <c r="K24" s="1620"/>
      <c r="L24" s="2148"/>
      <c r="M24" s="2148"/>
      <c r="N24" s="1600"/>
      <c r="O24" s="2148"/>
      <c r="P24" s="2163"/>
      <c r="Q24" s="1601"/>
      <c r="R24" s="2148"/>
      <c r="S24" s="2148"/>
      <c r="T24" s="1602"/>
      <c r="U24" s="2148"/>
      <c r="V24" s="2163"/>
      <c r="W24" s="1603"/>
      <c r="X24" s="2148"/>
      <c r="Y24" s="2148"/>
      <c r="Z24" s="1600"/>
      <c r="AA24" s="2148"/>
      <c r="AB24" s="2163"/>
      <c r="AC24" s="1604"/>
      <c r="AD24" s="2148"/>
      <c r="AE24" s="2148"/>
      <c r="AF24" s="1605"/>
      <c r="AG24" s="1605"/>
      <c r="AH24" s="2187"/>
      <c r="AI24" s="2188"/>
      <c r="AJ24" s="1584"/>
      <c r="BM24" s="303">
        <v>14</v>
      </c>
    </row>
    <row customHeight="1" ht="14.699999999999998">
      <c r="D25" s="2193"/>
      <c r="E25" s="2189"/>
      <c r="F25" s="2189"/>
      <c r="G25" s="2196"/>
      <c r="H25" s="1610"/>
      <c r="I25" s="2192"/>
      <c r="J25" s="2163"/>
      <c r="K25" s="1620"/>
      <c r="L25" s="2148"/>
      <c r="M25" s="2148"/>
      <c r="N25" s="1600"/>
      <c r="O25" s="2148"/>
      <c r="P25" s="2163"/>
      <c r="Q25" s="1601"/>
      <c r="R25" s="2148"/>
      <c r="S25" s="2148"/>
      <c r="T25" s="1602"/>
      <c r="U25" s="2148"/>
      <c r="V25" s="2163"/>
      <c r="W25" s="1603"/>
      <c r="X25" s="2148"/>
      <c r="Y25" s="2148"/>
      <c r="Z25" s="1522"/>
      <c r="AA25" s="1605"/>
      <c r="AB25" s="2187"/>
      <c r="AC25" s="2187"/>
      <c r="AD25" s="2187"/>
      <c r="AE25" s="2187"/>
      <c r="AF25" s="2187"/>
      <c r="AG25" s="2187"/>
      <c r="AH25" s="2187"/>
      <c r="AI25" s="2188"/>
      <c r="AJ25" s="1584"/>
      <c r="BM25" s="303">
        <v>14</v>
      </c>
    </row>
    <row customHeight="1" ht="14.699999999999998">
      <c r="D26" s="2193"/>
      <c r="E26" s="2189"/>
      <c r="F26" s="2189"/>
      <c r="G26" s="2196"/>
      <c r="H26" s="1610"/>
      <c r="I26" s="2192"/>
      <c r="J26" s="2163"/>
      <c r="K26" s="1620"/>
      <c r="L26" s="2148"/>
      <c r="M26" s="2148"/>
      <c r="N26" s="1600"/>
      <c r="O26" s="2148"/>
      <c r="P26" s="2163"/>
      <c r="Q26" s="1601"/>
      <c r="R26" s="2148"/>
      <c r="S26" s="2148"/>
      <c r="T26" s="1606"/>
      <c r="U26" s="1607"/>
      <c r="V26" s="2187"/>
      <c r="W26" s="2187"/>
      <c r="X26" s="2187"/>
      <c r="Y26" s="2187"/>
      <c r="Z26" s="2187"/>
      <c r="AA26" s="2187"/>
      <c r="AB26" s="2187"/>
      <c r="AC26" s="2187"/>
      <c r="AD26" s="2187"/>
      <c r="AE26" s="2187"/>
      <c r="AF26" s="2187"/>
      <c r="AG26" s="2187"/>
      <c r="AH26" s="2187"/>
      <c r="AI26" s="2188"/>
      <c r="AJ26" s="1584"/>
      <c r="BM26" s="303">
        <v>14</v>
      </c>
    </row>
    <row customHeight="1" ht="11.549999999999999">
      <c r="D27" s="2193"/>
      <c r="E27" s="2189"/>
      <c r="F27" s="2189"/>
      <c r="G27" s="2196"/>
      <c r="H27" s="1611"/>
      <c r="I27" s="2192"/>
      <c r="J27" s="2163"/>
      <c r="K27" s="1620"/>
      <c r="L27" s="2148"/>
      <c r="M27" s="2148"/>
      <c r="N27" s="1605"/>
      <c r="O27" s="1605"/>
      <c r="P27" s="2187"/>
      <c r="Q27" s="2187"/>
      <c r="R27" s="2187"/>
      <c r="S27" s="2187"/>
      <c r="T27" s="2187"/>
      <c r="U27" s="2187"/>
      <c r="V27" s="2187"/>
      <c r="W27" s="2187"/>
      <c r="X27" s="2187"/>
      <c r="Y27" s="2187"/>
      <c r="Z27" s="2187"/>
      <c r="AA27" s="2187"/>
      <c r="AB27" s="2187"/>
      <c r="AC27" s="2187"/>
      <c r="AD27" s="2187"/>
      <c r="AE27" s="2187"/>
      <c r="AF27" s="2187"/>
      <c r="AG27" s="2187"/>
      <c r="AH27" s="2187"/>
      <c r="AI27" s="2188"/>
      <c r="AJ27" s="1584"/>
      <c r="BM27" s="303">
        <v>11</v>
      </c>
    </row>
    <row s="1564" customFormat="1" customHeight="1" ht="11.549999999999999">
      <c r="D28" s="2199"/>
      <c r="E28" s="2200"/>
      <c r="F28" s="2190"/>
      <c r="G28" s="2122"/>
      <c r="H28" s="1608"/>
      <c r="I28" s="1612"/>
      <c r="J28" s="2197"/>
      <c r="K28" s="2197"/>
      <c r="L28" s="2197"/>
      <c r="M28" s="2197"/>
      <c r="N28" s="2197"/>
      <c r="O28" s="2197"/>
      <c r="P28" s="2197"/>
      <c r="Q28" s="2197"/>
      <c r="R28" s="2197"/>
      <c r="S28" s="2197"/>
      <c r="T28" s="2197"/>
      <c r="U28" s="2197"/>
      <c r="V28" s="2197"/>
      <c r="W28" s="2197"/>
      <c r="X28" s="2197"/>
      <c r="Y28" s="2197"/>
      <c r="Z28" s="2197"/>
      <c r="AA28" s="2197"/>
      <c r="AB28" s="2197"/>
      <c r="AC28" s="2197"/>
      <c r="AD28" s="2197"/>
      <c r="AE28" s="2197"/>
      <c r="AF28" s="2197"/>
      <c r="AG28" s="2197"/>
      <c r="AH28" s="2197"/>
      <c r="AI28" s="2198"/>
      <c r="AJ28" s="1584"/>
      <c r="AK28" s="316"/>
      <c r="AL28" s="1584"/>
      <c r="AM28" s="1584"/>
      <c r="AN28" s="1584"/>
      <c r="AO28" s="1584"/>
      <c r="AP28" s="1584"/>
      <c r="AQ28" s="1584"/>
      <c r="AR28" s="1584"/>
      <c r="AS28" s="1584"/>
      <c r="AT28" s="1584"/>
      <c r="AU28" s="1584"/>
      <c r="AV28" s="1584"/>
      <c r="AW28" s="1584"/>
      <c r="AX28" s="1584"/>
      <c r="AY28" s="1584"/>
      <c r="AZ28" s="1584"/>
      <c r="BA28" s="1584"/>
      <c r="BB28" s="1584"/>
      <c r="BC28" s="1584"/>
      <c r="BD28" s="1584"/>
      <c r="BE28" s="1584"/>
      <c r="BF28" s="1584"/>
      <c r="BG28" s="1584"/>
      <c r="BH28" s="1584"/>
      <c r="BI28" s="1584"/>
      <c r="BJ28" s="1584"/>
      <c r="BK28" s="1584"/>
      <c r="BL28" s="1584"/>
      <c r="BM28" s="1564">
        <v>11</v>
      </c>
    </row>
    <row customHeight="1" ht="15">
      <c r="D29" s="2193" t="s">
        <v>91</v>
      </c>
      <c r="E29" s="2189" t="s">
        <v>315</v>
      </c>
      <c r="F29" s="2189" t="s">
        <v>319</v>
      </c>
      <c r="G29" s="2195" t="s">
        <v>19</v>
      </c>
      <c r="H29" s="1609"/>
      <c r="I29" s="2191"/>
      <c r="J29" s="2162"/>
      <c r="K29" s="1524"/>
      <c r="L29" s="2147"/>
      <c r="M29" s="2147"/>
      <c r="N29" s="1594"/>
      <c r="O29" s="2147"/>
      <c r="P29" s="2162"/>
      <c r="Q29" s="1595"/>
      <c r="R29" s="2147"/>
      <c r="S29" s="2147"/>
      <c r="T29" s="1596"/>
      <c r="U29" s="2147"/>
      <c r="V29" s="2162"/>
      <c r="W29" s="1597"/>
      <c r="X29" s="2147"/>
      <c r="Y29" s="2147"/>
      <c r="Z29" s="1594"/>
      <c r="AA29" s="2147"/>
      <c r="AB29" s="2162"/>
      <c r="AC29" s="1598"/>
      <c r="AD29" s="2147"/>
      <c r="AE29" s="2147"/>
      <c r="AF29" s="1523"/>
      <c r="AG29" s="1523"/>
      <c r="AH29" s="1599"/>
      <c r="AI29" s="1306"/>
      <c r="AJ29" s="1584"/>
      <c r="BM29" s="303">
        <v>14</v>
      </c>
    </row>
    <row customHeight="1" ht="14.699999999999998">
      <c r="D30" s="2193"/>
      <c r="E30" s="2189"/>
      <c r="F30" s="2189"/>
      <c r="G30" s="2196"/>
      <c r="H30" s="1610"/>
      <c r="I30" s="2192"/>
      <c r="J30" s="2163"/>
      <c r="K30" s="1593"/>
      <c r="L30" s="2148"/>
      <c r="M30" s="2148"/>
      <c r="N30" s="1600"/>
      <c r="O30" s="2148"/>
      <c r="P30" s="2163"/>
      <c r="Q30" s="1601"/>
      <c r="R30" s="2148"/>
      <c r="S30" s="2148"/>
      <c r="T30" s="1602"/>
      <c r="U30" s="2148"/>
      <c r="V30" s="2163"/>
      <c r="W30" s="1603"/>
      <c r="X30" s="2148"/>
      <c r="Y30" s="2148"/>
      <c r="Z30" s="1600"/>
      <c r="AA30" s="2148"/>
      <c r="AB30" s="2163"/>
      <c r="AC30" s="1604"/>
      <c r="AD30" s="2148"/>
      <c r="AE30" s="2148"/>
      <c r="AF30" s="1605"/>
      <c r="AG30" s="1605"/>
      <c r="AH30" s="2187"/>
      <c r="AI30" s="2188"/>
      <c r="AJ30" s="1584"/>
      <c r="BM30" s="303">
        <v>14</v>
      </c>
    </row>
    <row customHeight="1" ht="14.699999999999998">
      <c r="D31" s="2193"/>
      <c r="E31" s="2189"/>
      <c r="F31" s="2189"/>
      <c r="G31" s="2196"/>
      <c r="H31" s="1610"/>
      <c r="I31" s="2192"/>
      <c r="J31" s="2163"/>
      <c r="K31" s="1593"/>
      <c r="L31" s="2148"/>
      <c r="M31" s="2148"/>
      <c r="N31" s="1600"/>
      <c r="O31" s="2148"/>
      <c r="P31" s="2163"/>
      <c r="Q31" s="1601"/>
      <c r="R31" s="2148"/>
      <c r="S31" s="2148"/>
      <c r="T31" s="1602"/>
      <c r="U31" s="2148"/>
      <c r="V31" s="2163"/>
      <c r="W31" s="1603"/>
      <c r="X31" s="2148"/>
      <c r="Y31" s="2148"/>
      <c r="Z31" s="1522"/>
      <c r="AA31" s="1605"/>
      <c r="AB31" s="2187"/>
      <c r="AC31" s="2187"/>
      <c r="AD31" s="2187"/>
      <c r="AE31" s="2187"/>
      <c r="AF31" s="2187"/>
      <c r="AG31" s="2187"/>
      <c r="AH31" s="2187"/>
      <c r="AI31" s="2188"/>
      <c r="AJ31" s="1584"/>
      <c r="BM31" s="303">
        <v>14</v>
      </c>
    </row>
    <row customHeight="1" ht="14.699999999999998">
      <c r="D32" s="2193"/>
      <c r="E32" s="2189"/>
      <c r="F32" s="2189"/>
      <c r="G32" s="2196"/>
      <c r="H32" s="1610"/>
      <c r="I32" s="2192"/>
      <c r="J32" s="2163"/>
      <c r="K32" s="1593"/>
      <c r="L32" s="2148"/>
      <c r="M32" s="2148"/>
      <c r="N32" s="1600"/>
      <c r="O32" s="2148"/>
      <c r="P32" s="2163"/>
      <c r="Q32" s="1601"/>
      <c r="R32" s="2148"/>
      <c r="S32" s="2148"/>
      <c r="T32" s="1606"/>
      <c r="U32" s="1607"/>
      <c r="V32" s="2187"/>
      <c r="W32" s="2187"/>
      <c r="X32" s="2187"/>
      <c r="Y32" s="2187"/>
      <c r="Z32" s="2187"/>
      <c r="AA32" s="2187"/>
      <c r="AB32" s="2187"/>
      <c r="AC32" s="2187"/>
      <c r="AD32" s="2187"/>
      <c r="AE32" s="2187"/>
      <c r="AF32" s="2187"/>
      <c r="AG32" s="2187"/>
      <c r="AH32" s="2187"/>
      <c r="AI32" s="2188"/>
      <c r="AJ32" s="1584"/>
      <c r="BM32" s="303">
        <v>14</v>
      </c>
    </row>
    <row customHeight="1" ht="11.549999999999999">
      <c r="D33" s="2193"/>
      <c r="E33" s="2189"/>
      <c r="F33" s="2189"/>
      <c r="G33" s="2196"/>
      <c r="H33" s="1611"/>
      <c r="I33" s="2192"/>
      <c r="J33" s="2163"/>
      <c r="K33" s="1593"/>
      <c r="L33" s="2148"/>
      <c r="M33" s="2148"/>
      <c r="N33" s="1605"/>
      <c r="O33" s="1605"/>
      <c r="P33" s="2187"/>
      <c r="Q33" s="2187"/>
      <c r="R33" s="2187"/>
      <c r="S33" s="2187"/>
      <c r="T33" s="2187"/>
      <c r="U33" s="2187"/>
      <c r="V33" s="2187"/>
      <c r="W33" s="2187"/>
      <c r="X33" s="2187"/>
      <c r="Y33" s="2187"/>
      <c r="Z33" s="2187"/>
      <c r="AA33" s="2187"/>
      <c r="AB33" s="2187"/>
      <c r="AC33" s="2187"/>
      <c r="AD33" s="2187"/>
      <c r="AE33" s="2187"/>
      <c r="AF33" s="2187"/>
      <c r="AG33" s="2187"/>
      <c r="AH33" s="2187"/>
      <c r="AI33" s="2188"/>
      <c r="AJ33" s="1584"/>
      <c r="BM33" s="303">
        <v>11</v>
      </c>
    </row>
    <row s="1564" customFormat="1" customHeight="1" ht="11.549999999999999">
      <c r="D34" s="2199"/>
      <c r="E34" s="2200"/>
      <c r="F34" s="2190"/>
      <c r="G34" s="2122"/>
      <c r="H34" s="1608"/>
      <c r="I34" s="1612"/>
      <c r="J34" s="2197"/>
      <c r="K34" s="2197"/>
      <c r="L34" s="2197"/>
      <c r="M34" s="2197"/>
      <c r="N34" s="2197"/>
      <c r="O34" s="2197"/>
      <c r="P34" s="2197"/>
      <c r="Q34" s="2197"/>
      <c r="R34" s="2197"/>
      <c r="S34" s="2197"/>
      <c r="T34" s="2197"/>
      <c r="U34" s="2197"/>
      <c r="V34" s="2197"/>
      <c r="W34" s="2197"/>
      <c r="X34" s="2197"/>
      <c r="Y34" s="2197"/>
      <c r="Z34" s="2197"/>
      <c r="AA34" s="2197"/>
      <c r="AB34" s="2197"/>
      <c r="AC34" s="2197"/>
      <c r="AD34" s="2197"/>
      <c r="AE34" s="2197"/>
      <c r="AF34" s="2197"/>
      <c r="AG34" s="2197"/>
      <c r="AH34" s="2197"/>
      <c r="AI34" s="2198"/>
      <c r="AJ34" s="1584"/>
      <c r="AK34" s="316"/>
      <c r="AL34" s="1584"/>
      <c r="AM34" s="1584"/>
      <c r="AN34" s="1584"/>
      <c r="AO34" s="1584"/>
      <c r="AP34" s="1584"/>
      <c r="AQ34" s="1584"/>
      <c r="AR34" s="1584"/>
      <c r="AS34" s="1584"/>
      <c r="AT34" s="1584"/>
      <c r="AU34" s="1584"/>
      <c r="AV34" s="1584"/>
      <c r="AW34" s="1584"/>
      <c r="AX34" s="1584"/>
      <c r="AY34" s="1584"/>
      <c r="AZ34" s="1584"/>
      <c r="BA34" s="1584"/>
      <c r="BB34" s="1584"/>
      <c r="BC34" s="1584"/>
      <c r="BD34" s="1584"/>
      <c r="BE34" s="1584"/>
      <c r="BF34" s="1584"/>
      <c r="BG34" s="1584"/>
      <c r="BH34" s="1584"/>
      <c r="BI34" s="1584"/>
      <c r="BJ34" s="1584"/>
      <c r="BK34" s="1584"/>
      <c r="BL34" s="1584"/>
      <c r="BM34" s="1564">
        <v>11</v>
      </c>
    </row>
    <row customHeight="1" ht="15">
      <c r="D35" s="2193" t="s">
        <v>125</v>
      </c>
      <c r="E35" s="2189" t="s">
        <v>315</v>
      </c>
      <c r="F35" s="2189" t="s">
        <v>320</v>
      </c>
      <c r="G35" s="2195" t="s">
        <v>19</v>
      </c>
      <c r="H35" s="1609"/>
      <c r="I35" s="2191"/>
      <c r="J35" s="2162"/>
      <c r="K35" s="1524"/>
      <c r="L35" s="2147"/>
      <c r="M35" s="2147"/>
      <c r="N35" s="1594"/>
      <c r="O35" s="2147"/>
      <c r="P35" s="2162"/>
      <c r="Q35" s="1595"/>
      <c r="R35" s="2147"/>
      <c r="S35" s="2147"/>
      <c r="T35" s="1596"/>
      <c r="U35" s="2147"/>
      <c r="V35" s="2162"/>
      <c r="W35" s="1597"/>
      <c r="X35" s="2147"/>
      <c r="Y35" s="2147"/>
      <c r="Z35" s="1594"/>
      <c r="AA35" s="2147"/>
      <c r="AB35" s="2162"/>
      <c r="AC35" s="1598"/>
      <c r="AD35" s="2147"/>
      <c r="AE35" s="2147"/>
      <c r="AF35" s="1523"/>
      <c r="AG35" s="1523"/>
      <c r="AH35" s="1599"/>
      <c r="AI35" s="1306"/>
      <c r="AJ35" s="1584"/>
      <c r="BM35" s="303">
        <v>14</v>
      </c>
    </row>
    <row customHeight="1" ht="14.699999999999998">
      <c r="D36" s="2193"/>
      <c r="E36" s="2189"/>
      <c r="F36" s="2189"/>
      <c r="G36" s="2196"/>
      <c r="H36" s="1610"/>
      <c r="I36" s="2192"/>
      <c r="J36" s="2163"/>
      <c r="K36" s="1593"/>
      <c r="L36" s="2148"/>
      <c r="M36" s="2148"/>
      <c r="N36" s="1600"/>
      <c r="O36" s="2148"/>
      <c r="P36" s="2163"/>
      <c r="Q36" s="1601"/>
      <c r="R36" s="2148"/>
      <c r="S36" s="2148"/>
      <c r="T36" s="1602"/>
      <c r="U36" s="2148"/>
      <c r="V36" s="2163"/>
      <c r="W36" s="1603"/>
      <c r="X36" s="2148"/>
      <c r="Y36" s="2148"/>
      <c r="Z36" s="1600"/>
      <c r="AA36" s="2148"/>
      <c r="AB36" s="2163"/>
      <c r="AC36" s="1604"/>
      <c r="AD36" s="2148"/>
      <c r="AE36" s="2148"/>
      <c r="AF36" s="1605"/>
      <c r="AG36" s="1605"/>
      <c r="AH36" s="2187"/>
      <c r="AI36" s="2188"/>
      <c r="AJ36" s="1584"/>
      <c r="BM36" s="303">
        <v>14</v>
      </c>
    </row>
    <row customHeight="1" ht="14.699999999999998">
      <c r="D37" s="2193"/>
      <c r="E37" s="2189"/>
      <c r="F37" s="2189"/>
      <c r="G37" s="2196"/>
      <c r="H37" s="1610"/>
      <c r="I37" s="2192"/>
      <c r="J37" s="2163"/>
      <c r="K37" s="1593"/>
      <c r="L37" s="2148"/>
      <c r="M37" s="2148"/>
      <c r="N37" s="1600"/>
      <c r="O37" s="2148"/>
      <c r="P37" s="2163"/>
      <c r="Q37" s="1601"/>
      <c r="R37" s="2148"/>
      <c r="S37" s="2148"/>
      <c r="T37" s="1602"/>
      <c r="U37" s="2148"/>
      <c r="V37" s="2163"/>
      <c r="W37" s="1603"/>
      <c r="X37" s="2148"/>
      <c r="Y37" s="2148"/>
      <c r="Z37" s="1522"/>
      <c r="AA37" s="1605"/>
      <c r="AB37" s="2187"/>
      <c r="AC37" s="2187"/>
      <c r="AD37" s="2187"/>
      <c r="AE37" s="2187"/>
      <c r="AF37" s="2187"/>
      <c r="AG37" s="2187"/>
      <c r="AH37" s="2187"/>
      <c r="AI37" s="2188"/>
      <c r="AJ37" s="1584"/>
      <c r="BM37" s="303">
        <v>14</v>
      </c>
    </row>
    <row customHeight="1" ht="14.699999999999998">
      <c r="D38" s="2193"/>
      <c r="E38" s="2189"/>
      <c r="F38" s="2189"/>
      <c r="G38" s="2196"/>
      <c r="H38" s="1610"/>
      <c r="I38" s="2192"/>
      <c r="J38" s="2163"/>
      <c r="K38" s="1593"/>
      <c r="L38" s="2148"/>
      <c r="M38" s="2148"/>
      <c r="N38" s="1600"/>
      <c r="O38" s="2148"/>
      <c r="P38" s="2163"/>
      <c r="Q38" s="1601"/>
      <c r="R38" s="2148"/>
      <c r="S38" s="2148"/>
      <c r="T38" s="1606"/>
      <c r="U38" s="1607"/>
      <c r="V38" s="2187"/>
      <c r="W38" s="2187"/>
      <c r="X38" s="2187"/>
      <c r="Y38" s="2187"/>
      <c r="Z38" s="2187"/>
      <c r="AA38" s="2187"/>
      <c r="AB38" s="2187"/>
      <c r="AC38" s="2187"/>
      <c r="AD38" s="2187"/>
      <c r="AE38" s="2187"/>
      <c r="AF38" s="2187"/>
      <c r="AG38" s="2187"/>
      <c r="AH38" s="2187"/>
      <c r="AI38" s="2188"/>
      <c r="AJ38" s="1584"/>
      <c r="BM38" s="303">
        <v>14</v>
      </c>
    </row>
    <row customHeight="1" ht="11.549999999999999">
      <c r="D39" s="2193"/>
      <c r="E39" s="2189"/>
      <c r="F39" s="2189"/>
      <c r="G39" s="2196"/>
      <c r="H39" s="1611"/>
      <c r="I39" s="2192"/>
      <c r="J39" s="2163"/>
      <c r="K39" s="1593"/>
      <c r="L39" s="2148"/>
      <c r="M39" s="2148"/>
      <c r="N39" s="1605"/>
      <c r="O39" s="1605"/>
      <c r="P39" s="2187"/>
      <c r="Q39" s="2187"/>
      <c r="R39" s="2187"/>
      <c r="S39" s="2187"/>
      <c r="T39" s="2187"/>
      <c r="U39" s="2187"/>
      <c r="V39" s="2187"/>
      <c r="W39" s="2187"/>
      <c r="X39" s="2187"/>
      <c r="Y39" s="2187"/>
      <c r="Z39" s="2187"/>
      <c r="AA39" s="2187"/>
      <c r="AB39" s="2187"/>
      <c r="AC39" s="2187"/>
      <c r="AD39" s="2187"/>
      <c r="AE39" s="2187"/>
      <c r="AF39" s="2187"/>
      <c r="AG39" s="2187"/>
      <c r="AH39" s="2187"/>
      <c r="AI39" s="2188"/>
      <c r="AJ39" s="1584"/>
      <c r="BM39" s="303">
        <v>11</v>
      </c>
    </row>
    <row s="1564" customFormat="1" customHeight="1" ht="11.549999999999999">
      <c r="D40" s="2193"/>
      <c r="E40" s="2189"/>
      <c r="F40" s="2194"/>
      <c r="G40" s="2122"/>
      <c r="H40" s="1608"/>
      <c r="I40" s="1612"/>
      <c r="J40" s="2197"/>
      <c r="K40" s="2197"/>
      <c r="L40" s="2197"/>
      <c r="M40" s="2197"/>
      <c r="N40" s="2197"/>
      <c r="O40" s="2197"/>
      <c r="P40" s="2197"/>
      <c r="Q40" s="2197"/>
      <c r="R40" s="2197"/>
      <c r="S40" s="2197"/>
      <c r="T40" s="2197"/>
      <c r="U40" s="2197"/>
      <c r="V40" s="2197"/>
      <c r="W40" s="2197"/>
      <c r="X40" s="2197"/>
      <c r="Y40" s="2197"/>
      <c r="Z40" s="2197"/>
      <c r="AA40" s="2197"/>
      <c r="AB40" s="2197"/>
      <c r="AC40" s="2197"/>
      <c r="AD40" s="2197"/>
      <c r="AE40" s="2197"/>
      <c r="AF40" s="2197"/>
      <c r="AG40" s="2197"/>
      <c r="AH40" s="2197"/>
      <c r="AI40" s="2198"/>
      <c r="AJ40" s="1584"/>
      <c r="AK40" s="316"/>
      <c r="AL40" s="1584"/>
      <c r="AM40" s="1584"/>
      <c r="AN40" s="1584"/>
      <c r="AO40" s="1584"/>
      <c r="AP40" s="1584"/>
      <c r="AQ40" s="1584"/>
      <c r="AR40" s="1584"/>
      <c r="AS40" s="1584"/>
      <c r="AT40" s="1584"/>
      <c r="AU40" s="1584"/>
      <c r="AV40" s="1584"/>
      <c r="AW40" s="1584"/>
      <c r="AX40" s="1584"/>
      <c r="AY40" s="1584"/>
      <c r="AZ40" s="1584"/>
      <c r="BA40" s="1584"/>
      <c r="BB40" s="1584"/>
      <c r="BC40" s="1584"/>
      <c r="BD40" s="1584"/>
      <c r="BE40" s="1584"/>
      <c r="BF40" s="1584"/>
      <c r="BG40" s="1584"/>
      <c r="BH40" s="1584"/>
      <c r="BI40" s="1584"/>
      <c r="BJ40" s="1584"/>
      <c r="BK40" s="1584"/>
      <c r="BL40" s="1584"/>
      <c r="BM40" s="1564">
        <v>11</v>
      </c>
    </row>
    <row customHeight="1" ht="11.549999999999999">
      <c r="AK41" s="433"/>
      <c r="BM41" s="303">
        <v>11</v>
      </c>
    </row>
    <row customHeight="1" ht="11.549999999999999">
      <c r="AK42" s="433"/>
      <c r="BM42" s="303">
        <v>11</v>
      </c>
    </row>
    <row customHeight="1" ht="11.549999999999999">
      <c r="AK43" s="433"/>
      <c r="BM43" s="303">
        <v>11</v>
      </c>
    </row>
    <row customHeight="1" ht="11.549999999999999">
      <c r="AK44" s="433"/>
      <c r="BM44" s="303">
        <v>11</v>
      </c>
    </row>
    <row customHeight="1" ht="11.549999999999999">
      <c r="AK45" s="433"/>
      <c r="BM45" s="303">
        <v>11</v>
      </c>
    </row>
    <row customHeight="1" ht="11.549999999999999">
      <c r="AK46" s="433"/>
      <c r="BM46" s="303">
        <v>11</v>
      </c>
    </row>
    <row customHeight="1" ht="11.549999999999999">
      <c r="AK47" s="433"/>
      <c r="BM47" s="303">
        <v>11</v>
      </c>
    </row>
    <row customHeight="1" ht="11.549999999999999">
      <c r="AK48" s="433"/>
      <c r="BM48" s="303">
        <v>11</v>
      </c>
    </row>
    <row customHeight="1" ht="11.549999999999999">
      <c r="AK49" s="433"/>
      <c r="BM49" s="303">
        <v>11</v>
      </c>
    </row>
    <row customHeight="1" ht="11.25" hidden="1">
      <c r="A50" s="303" t="s">
        <v>82</v>
      </c>
      <c r="B50" s="303">
        <v>0</v>
      </c>
      <c r="C50" s="303">
        <v>3</v>
      </c>
      <c r="D50" s="303">
        <v>3</v>
      </c>
      <c r="E50" s="303">
        <v>15</v>
      </c>
      <c r="F50" s="303">
        <v>15</v>
      </c>
      <c r="G50" s="303">
        <v>11</v>
      </c>
      <c r="H50" s="303">
        <v>3</v>
      </c>
      <c r="I50" s="303">
        <v>3</v>
      </c>
      <c r="J50" s="303">
        <v>12</v>
      </c>
      <c r="K50" s="303">
        <v>0</v>
      </c>
      <c r="L50" s="303">
        <v>10</v>
      </c>
      <c r="M50" s="303">
        <v>10</v>
      </c>
      <c r="N50" s="303">
        <v>3</v>
      </c>
      <c r="O50" s="303">
        <v>3</v>
      </c>
      <c r="P50" s="303">
        <v>19</v>
      </c>
      <c r="Q50" s="303">
        <v>0</v>
      </c>
      <c r="R50" s="303">
        <v>10</v>
      </c>
      <c r="S50" s="303">
        <v>10</v>
      </c>
      <c r="T50" s="303">
        <v>3</v>
      </c>
      <c r="U50" s="303">
        <v>3</v>
      </c>
      <c r="V50" s="303">
        <v>25</v>
      </c>
      <c r="W50" s="303">
        <v>0</v>
      </c>
      <c r="X50" s="303">
        <v>10</v>
      </c>
      <c r="Y50" s="303">
        <v>10</v>
      </c>
      <c r="Z50" s="303">
        <v>3</v>
      </c>
      <c r="AA50" s="303">
        <v>3</v>
      </c>
      <c r="AB50" s="303">
        <v>16</v>
      </c>
      <c r="AC50" s="303">
        <v>0</v>
      </c>
      <c r="AD50" s="303">
        <v>10</v>
      </c>
      <c r="AE50" s="303">
        <v>10</v>
      </c>
      <c r="AF50" s="303">
        <v>3</v>
      </c>
      <c r="AG50" s="303">
        <v>3</v>
      </c>
      <c r="AH50" s="303">
        <v>8</v>
      </c>
      <c r="AI50" s="303">
        <v>21</v>
      </c>
      <c r="AJ50" s="433">
        <v>8</v>
      </c>
      <c r="AK50" s="316">
        <v>8</v>
      </c>
      <c r="AL50" s="433">
        <v>8</v>
      </c>
      <c r="AM50" s="433">
        <v>8</v>
      </c>
      <c r="AN50" s="433">
        <v>8</v>
      </c>
      <c r="AO50" s="433">
        <v>8</v>
      </c>
      <c r="AP50" s="433">
        <v>8</v>
      </c>
      <c r="AQ50" s="433">
        <v>8</v>
      </c>
      <c r="AR50" s="433">
        <v>8</v>
      </c>
      <c r="AS50" s="433">
        <v>8</v>
      </c>
      <c r="AT50" s="433">
        <v>8</v>
      </c>
      <c r="AU50" s="433">
        <v>8</v>
      </c>
      <c r="AV50" s="433">
        <v>8</v>
      </c>
      <c r="AW50" s="433">
        <v>8</v>
      </c>
      <c r="AX50" s="433">
        <v>8</v>
      </c>
      <c r="AY50" s="433">
        <v>8</v>
      </c>
      <c r="AZ50" s="433">
        <v>8</v>
      </c>
      <c r="BA50" s="433">
        <v>8</v>
      </c>
      <c r="BB50" s="433">
        <v>8</v>
      </c>
      <c r="BC50" s="433">
        <v>8</v>
      </c>
      <c r="BD50" s="433">
        <v>8</v>
      </c>
      <c r="BE50" s="433">
        <v>8</v>
      </c>
      <c r="BF50" s="433">
        <v>8</v>
      </c>
      <c r="BG50" s="433">
        <v>8</v>
      </c>
      <c r="BH50" s="433">
        <v>8</v>
      </c>
      <c r="BI50" s="433">
        <v>8</v>
      </c>
      <c r="BJ50" s="433">
        <v>8</v>
      </c>
      <c r="BK50" s="433">
        <v>8</v>
      </c>
      <c r="BL50" s="433">
        <v>8</v>
      </c>
      <c r="BM50" s="303">
        <v>11</v>
      </c>
    </row>
  </sheetData>
  <sheetProtection sheet="1" formatColumns="0" formatRows="0" autoFilter="0" sort="1" insertRows="1" insertColumns="1" deleteRows="1" deleteColumns="1"/>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2117FF-CEBC-6C71-C6D9-0.8D95F072}"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60" width="1.7109375" customWidth="1"/>
    <col min="2" max="2" style="1860" width="34.57421875" customWidth="1"/>
    <col min="3" max="3" style="1860" width="85.00390625" customWidth="1"/>
    <col min="4" max="4" style="1860" width="17.00390625" customWidth="1"/>
    <col min="5" max="5" style="1860" width="8.00390625" customWidth="1"/>
    <col min="6" max="6" style="1860" width="9.140625" hidden="1"/>
  </cols>
  <sheetData>
    <row customHeight="1" ht="3">
      <c r="F1" s="99" t="s">
        <v>14</v>
      </c>
    </row>
    <row customHeight="1" ht="22.5">
      <c r="B2" s="2623" t="s">
        <v>2182</v>
      </c>
      <c r="C2" s="2510"/>
      <c r="D2" s="2510"/>
      <c r="E2" s="278"/>
      <c r="F2" s="99">
        <v>22</v>
      </c>
    </row>
    <row customHeight="1" ht="3">
      <c r="F3" s="99">
        <v>3</v>
      </c>
    </row>
    <row customHeight="1" ht="23.25">
      <c r="B4" s="2624" t="s">
        <v>2183</v>
      </c>
      <c r="C4" s="393" t="s">
        <v>2184</v>
      </c>
      <c r="D4" s="393" t="s">
        <v>2185</v>
      </c>
      <c r="F4" s="99">
        <v>22</v>
      </c>
    </row>
    <row customHeight="1" ht="11.25" hidden="1">
      <c r="A5" s="99" t="s">
        <v>82</v>
      </c>
      <c r="B5" s="99">
        <v>34</v>
      </c>
      <c r="C5" s="99">
        <v>85</v>
      </c>
      <c r="D5" s="99">
        <v>17</v>
      </c>
      <c r="E5" s="99">
        <v>8</v>
      </c>
      <c r="F5" s="99">
        <v>11</v>
      </c>
    </row>
  </sheetData>
  <sheetProtection sheet="1" formatColumns="0" formatRows="0" autoFilter="0" sort="1" insertRows="1" insertColumns="1" deleteRows="1" deleteColumns="1"/>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4BF94E-F3E5-3E4B-6857-0.109A7597}"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60" width="26.57421875" customWidth="1"/>
    <col min="2" max="2" style="1860" width="10.00390625" customWidth="1"/>
    <col min="3" max="3" style="1860" width="9.140625"/>
    <col min="4" max="4" style="1860" width="11.140625" customWidth="1"/>
    <col min="5" max="5" style="1860" width="16.57421875" customWidth="1"/>
    <col min="6" max="6" style="1860" width="16.28125" customWidth="1"/>
    <col min="7" max="7" style="1860" width="19.140625" customWidth="1"/>
    <col min="8" max="11" style="1860" width="10.00390625" customWidth="1"/>
    <col min="12" max="12" style="1860" width="12.7109375" customWidth="1"/>
    <col min="13" max="13" style="1860" width="61.28125" customWidth="1"/>
    <col min="14" max="14" style="1860" width="10.00390625" customWidth="1"/>
    <col min="15" max="17" style="1860" width="23.7109375" customWidth="1"/>
    <col min="18" max="18" style="1860" width="11.7109375" customWidth="1"/>
    <col min="19" max="19" style="1860" width="8.57421875" customWidth="1"/>
    <col min="20" max="20" style="1860" width="11.7109375" customWidth="1"/>
    <col min="21" max="21" style="1860" width="8.57421875" customWidth="1"/>
    <col min="22" max="22" style="1860" width="4.7109375" customWidth="1"/>
    <col min="23" max="23" style="1860" width="115.7109375" customWidth="1"/>
    <col min="24" max="24" style="1860" width="115.28125" customWidth="1"/>
    <col min="25" max="27" style="1860" width="9.140625"/>
    <col min="28" max="28" style="1860" width="115.7109375" customWidth="1"/>
    <col min="29" max="29" style="1860" width="9.140625"/>
    <col min="30" max="90" style="1860" width="115.7109375" customWidth="1"/>
    <col min="91" max="184" style="1860" width="9.140625"/>
  </cols>
  <sheetData>
    <row r="2" s="1825" customFormat="1" customHeight="1" ht="17.25">
      <c r="A2" s="1825" t="s">
        <v>2186</v>
      </c>
    </row>
    <row r="4" s="274" customFormat="1" customHeight="1" ht="15">
      <c r="C4" s="1826"/>
      <c r="D4" s="123"/>
      <c r="E4" s="387"/>
    </row>
    <row r="6" s="1825" customFormat="1" customHeight="1" ht="17.25">
      <c r="A6" s="1825" t="s">
        <v>2187</v>
      </c>
    </row>
    <row r="8" s="274" customFormat="1" customHeight="1" ht="17.25">
      <c r="C8" s="1827"/>
      <c r="D8" s="123"/>
      <c r="E8" s="124"/>
    </row>
    <row r="11" s="1825" customFormat="1" customHeight="1" ht="17.25">
      <c r="A11" s="1825" t="s">
        <v>2188</v>
      </c>
    </row>
    <row r="13" s="1829" customFormat="1" customHeight="1" ht="15">
      <c r="A13" s="2227">
        <v>1</v>
      </c>
      <c r="B13" s="1170"/>
      <c r="C13" s="811" t="s">
        <v>105</v>
      </c>
      <c r="D13" s="1828"/>
      <c r="E13" s="1815">
        <f>A13</f>
        <v>1</v>
      </c>
      <c r="F13" s="814"/>
      <c r="G13" s="550" t="str">
        <f>"Территория "&amp;E13</f>
        <v>Территория 1</v>
      </c>
      <c r="H13" s="802"/>
      <c r="I13" s="802"/>
      <c r="J13" s="799"/>
      <c r="K13" s="1634"/>
      <c r="L13" s="1634"/>
      <c r="M13" s="1634"/>
      <c r="N13" s="236"/>
      <c r="O13" s="1634"/>
      <c r="P13" s="235"/>
      <c r="Q13" s="235"/>
      <c r="R13" s="235"/>
      <c r="S13" s="235"/>
    </row>
    <row s="1860" customFormat="1" customHeight="1" ht="15">
      <c r="A14" s="2227"/>
      <c r="B14" s="1170">
        <v>1</v>
      </c>
      <c r="C14" s="1170"/>
      <c r="D14" s="810"/>
      <c r="E14" s="1823" t="str">
        <f>A13&amp;"."&amp;B14</f>
        <v>1.1</v>
      </c>
      <c r="F14" s="813">
        <f>$F$20</f>
        <v>0</v>
      </c>
      <c r="G14" s="803"/>
      <c r="H14" s="803"/>
      <c r="I14" s="801"/>
      <c r="J14" s="1634"/>
      <c r="K14" s="1646"/>
      <c r="L14" s="1646"/>
      <c r="M14" s="1634" t="str">
        <f t="array" ref="M14:M14">IF(ISERROR(MATCH(MID(N14,1,250),MID(note_ter,1,250),0)),"n","y")</f>
        <v>n</v>
      </c>
      <c r="N14" s="1646"/>
      <c r="O14" s="1634" t="str">
        <f>H14&amp;"("&amp;I14&amp;")"</f>
        <v>()</v>
      </c>
      <c r="P14" s="1170"/>
      <c r="Q14" s="1170"/>
      <c r="R14" s="430"/>
      <c r="S14" s="1170"/>
      <c r="T14" s="1170"/>
      <c r="U14" s="1170"/>
      <c r="V14" s="432"/>
      <c r="W14" s="432"/>
      <c r="X14" s="429"/>
      <c r="Y14" s="429"/>
      <c r="Z14" s="429"/>
      <c r="AA14" s="429"/>
      <c r="AB14" s="429"/>
      <c r="AC14" s="429"/>
      <c r="AD14" s="429"/>
      <c r="AE14" s="429"/>
      <c r="AF14" s="429"/>
      <c r="AG14" s="429"/>
      <c r="AH14" s="429"/>
      <c r="AI14" s="429"/>
      <c r="AJ14" s="429"/>
      <c r="AK14" s="429"/>
      <c r="AL14" s="429"/>
      <c r="AM14" s="429"/>
      <c r="AN14" s="429"/>
      <c r="AO14" s="429"/>
      <c r="AP14" s="429"/>
      <c r="AQ14" s="429"/>
      <c r="AR14" s="429"/>
      <c r="AS14" s="429"/>
      <c r="AT14" s="429"/>
      <c r="AU14" s="429"/>
      <c r="AV14" s="429"/>
      <c r="AW14" s="429"/>
      <c r="AX14" s="429"/>
      <c r="AY14" s="429"/>
      <c r="AZ14" s="429"/>
      <c r="BA14" s="429"/>
      <c r="BB14" s="429"/>
      <c r="BC14" s="429"/>
      <c r="BD14" s="429"/>
      <c r="BE14" s="429"/>
      <c r="BF14" s="429"/>
      <c r="BG14" s="429"/>
      <c r="BH14" s="429"/>
      <c r="BI14" s="429"/>
      <c r="BJ14" s="429"/>
      <c r="BK14" s="429"/>
      <c r="BL14" s="429"/>
      <c r="BM14" s="429"/>
      <c r="BN14" s="429"/>
      <c r="BO14" s="429"/>
      <c r="BP14" s="429"/>
      <c r="BQ14" s="429"/>
      <c r="BR14" s="429"/>
      <c r="BS14" s="432"/>
      <c r="BT14" s="432"/>
      <c r="BU14" s="432"/>
      <c r="BV14" s="432"/>
      <c r="BW14" s="432"/>
      <c r="BX14" s="432"/>
      <c r="BY14" s="432"/>
      <c r="BZ14" s="432"/>
      <c r="CA14" s="432"/>
      <c r="CB14" s="432"/>
    </row>
    <row s="1860" customFormat="1" customHeight="1" ht="15">
      <c r="A15" s="2227"/>
      <c r="B15" s="1170"/>
      <c r="C15" s="422"/>
      <c r="D15" s="811"/>
      <c r="E15" s="431"/>
      <c r="F15" s="187"/>
      <c r="G15" s="425" t="s">
        <v>103</v>
      </c>
      <c r="H15" s="197"/>
      <c r="I15" s="434"/>
      <c r="J15" s="1646"/>
      <c r="K15" s="1646"/>
      <c r="L15" s="1646"/>
      <c r="M15" s="1646"/>
      <c r="N15" s="1634"/>
      <c r="O15" s="1646"/>
      <c r="P15" s="1170"/>
      <c r="Q15" s="1170"/>
      <c r="R15" s="430"/>
      <c r="S15" s="1170"/>
      <c r="T15" s="1170"/>
      <c r="U15" s="1170"/>
      <c r="V15" s="432"/>
      <c r="W15" s="432"/>
      <c r="X15" s="429"/>
      <c r="Y15" s="429"/>
      <c r="Z15" s="429"/>
      <c r="AA15" s="429"/>
      <c r="AB15" s="429"/>
      <c r="AC15" s="429"/>
      <c r="AD15" s="429"/>
      <c r="AE15" s="429"/>
      <c r="AF15" s="429"/>
      <c r="AG15" s="429"/>
      <c r="AH15" s="429"/>
      <c r="AI15" s="429"/>
      <c r="AJ15" s="429"/>
      <c r="AK15" s="429"/>
      <c r="AL15" s="429"/>
      <c r="AM15" s="429"/>
      <c r="AN15" s="429"/>
      <c r="AO15" s="429"/>
      <c r="AP15" s="429"/>
      <c r="AQ15" s="429"/>
      <c r="AR15" s="429"/>
      <c r="AS15" s="429"/>
      <c r="AT15" s="429"/>
      <c r="AU15" s="429"/>
      <c r="AV15" s="429"/>
      <c r="AW15" s="429"/>
      <c r="AX15" s="429"/>
      <c r="AY15" s="429"/>
      <c r="AZ15" s="429"/>
      <c r="BA15" s="429"/>
      <c r="BB15" s="429"/>
      <c r="BC15" s="429"/>
      <c r="BD15" s="429"/>
      <c r="BE15" s="429"/>
      <c r="BF15" s="429"/>
      <c r="BG15" s="429"/>
      <c r="BH15" s="429"/>
      <c r="BI15" s="429"/>
      <c r="BJ15" s="429"/>
      <c r="BK15" s="429"/>
      <c r="BL15" s="429"/>
      <c r="BM15" s="429"/>
      <c r="BN15" s="429"/>
      <c r="BO15" s="429"/>
      <c r="BP15" s="429"/>
      <c r="BQ15" s="429"/>
      <c r="BR15" s="429"/>
      <c r="BS15" s="432"/>
      <c r="BT15" s="432"/>
      <c r="BU15" s="432"/>
      <c r="BV15" s="432"/>
      <c r="BW15" s="432"/>
      <c r="BX15" s="432"/>
      <c r="BY15" s="432"/>
      <c r="BZ15" s="432"/>
      <c r="CA15" s="432"/>
      <c r="CB15" s="432"/>
    </row>
    <row r="17" s="1825" customFormat="1" customHeight="1" ht="17.25">
      <c r="A17" s="1825" t="s">
        <v>2189</v>
      </c>
    </row>
    <row r="19" s="1860" customFormat="1" customHeight="1" ht="15">
      <c r="A19" s="1892"/>
      <c r="B19" s="1376">
        <v>1</v>
      </c>
      <c r="C19" s="1376"/>
      <c r="D19" s="810" t="s">
        <v>105</v>
      </c>
      <c r="E19" s="1888"/>
      <c r="F19" s="1893">
        <f>$F$20</f>
        <v>0</v>
      </c>
      <c r="G19" s="1897"/>
      <c r="H19" s="1897"/>
      <c r="I19" s="1895"/>
      <c r="J19" s="1634"/>
      <c r="K19" s="1646"/>
      <c r="L19" s="1646"/>
      <c r="M19" s="1634" t="str">
        <f t="array" ref="M19:M19">IF(ISERROR(MATCH(MID(N19,1,250),MID(note_ter,1,250),0)),"n","y")</f>
        <v>n</v>
      </c>
      <c r="N19" s="1646"/>
      <c r="O19" s="1634" t="str">
        <f>H19&amp;"("&amp;I19&amp;")"</f>
        <v>()</v>
      </c>
      <c r="P19" s="1376"/>
      <c r="Q19" s="1376"/>
      <c r="R19" s="430"/>
      <c r="S19" s="1376"/>
      <c r="T19" s="1376"/>
      <c r="U19" s="1376"/>
      <c r="V19" s="843"/>
      <c r="W19" s="843"/>
      <c r="X19" s="637"/>
      <c r="Y19" s="637"/>
      <c r="Z19" s="637"/>
      <c r="AA19" s="637"/>
      <c r="AB19" s="637"/>
      <c r="AC19" s="637"/>
      <c r="AD19" s="637"/>
      <c r="AE19" s="637"/>
      <c r="AF19" s="637"/>
      <c r="AG19" s="637"/>
      <c r="AH19" s="637"/>
      <c r="AI19" s="637"/>
      <c r="AJ19" s="637"/>
      <c r="AK19" s="637"/>
      <c r="AL19" s="637"/>
      <c r="AM19" s="637"/>
      <c r="AN19" s="637"/>
      <c r="AO19" s="637"/>
      <c r="AP19" s="637"/>
      <c r="AQ19" s="637"/>
      <c r="AR19" s="637"/>
      <c r="AS19" s="637"/>
      <c r="AT19" s="637"/>
      <c r="AU19" s="637"/>
      <c r="AV19" s="637"/>
      <c r="AW19" s="637"/>
      <c r="AX19" s="637"/>
      <c r="AY19" s="637"/>
      <c r="AZ19" s="637"/>
      <c r="BA19" s="637"/>
      <c r="BB19" s="637"/>
      <c r="BC19" s="637"/>
      <c r="BD19" s="637"/>
      <c r="BE19" s="637"/>
      <c r="BF19" s="637"/>
      <c r="BG19" s="637"/>
      <c r="BH19" s="637"/>
      <c r="BI19" s="637"/>
      <c r="BJ19" s="637"/>
      <c r="BK19" s="637"/>
      <c r="BL19" s="637"/>
      <c r="BM19" s="637"/>
      <c r="BN19" s="637"/>
      <c r="BO19" s="637"/>
      <c r="BP19" s="637"/>
      <c r="BQ19" s="637"/>
      <c r="BR19" s="637"/>
      <c r="BS19" s="843"/>
      <c r="BT19" s="843"/>
      <c r="BU19" s="843"/>
      <c r="BV19" s="843"/>
      <c r="BW19" s="843"/>
      <c r="BX19" s="843"/>
      <c r="BY19" s="843"/>
      <c r="BZ19" s="843"/>
      <c r="CA19" s="843"/>
      <c r="CB19" s="843"/>
    </row>
    <row r="21" s="1860" customFormat="1" customHeight="1" ht="15">
      <c r="A21" s="1825" t="s">
        <v>2190</v>
      </c>
      <c r="B21" s="1825"/>
      <c r="C21" s="1825"/>
      <c r="D21" s="1825"/>
      <c r="E21" s="1825"/>
      <c r="F21" s="1825"/>
      <c r="G21" s="1825"/>
      <c r="H21" s="1825"/>
      <c r="I21" s="1825"/>
      <c r="J21" s="1825"/>
      <c r="K21" s="1825"/>
      <c r="L21" s="1825"/>
      <c r="M21" s="1825"/>
      <c r="N21" s="1825"/>
      <c r="O21" s="1825"/>
      <c r="P21" s="1825"/>
      <c r="Q21" s="1825"/>
      <c r="R21" s="1825"/>
      <c r="S21" s="1825"/>
      <c r="T21" s="1825"/>
      <c r="U21" s="194"/>
      <c r="V21" s="1825"/>
      <c r="W21" s="1825"/>
    </row>
    <row s="1860" customFormat="1" customHeight="1" ht="15">
      <c r="U22" s="195"/>
    </row>
    <row s="1863" customFormat="1" customHeight="1" ht="15">
      <c r="A23" s="433"/>
      <c r="B23" s="433"/>
      <c r="C23" s="1738" t="s">
        <v>105</v>
      </c>
      <c r="D23" s="2118" t="s">
        <v>124</v>
      </c>
      <c r="E23" s="2119"/>
      <c r="F23" s="2117" t="s">
        <v>19</v>
      </c>
      <c r="G23" s="2567"/>
      <c r="H23" s="2137">
        <v>1</v>
      </c>
      <c r="I23" s="2569" t="str">
        <f>IF(U23="","",INDEX(TERRITORY_MR_LIST,MATCH(U23,TERRITORY_LIST_ID,0)))</f>
        <v/>
      </c>
      <c r="J23" s="2117" t="s">
        <v>19</v>
      </c>
      <c r="K23" s="842"/>
      <c r="L23" s="1792" t="s">
        <v>124</v>
      </c>
      <c r="M23" s="613"/>
      <c r="N23" s="614"/>
      <c r="O23" s="614"/>
      <c r="P23" s="614"/>
      <c r="Q23" s="614"/>
      <c r="R23" s="614"/>
      <c r="S23" s="614"/>
      <c r="T23" s="614"/>
      <c r="U23" s="615"/>
      <c r="V23" s="614"/>
      <c r="W23" s="614"/>
      <c r="X23" s="605"/>
      <c r="Y23" s="605" t="s">
        <v>134</v>
      </c>
      <c r="Z23" s="605">
        <v>1705000</v>
      </c>
      <c r="AA23" s="605"/>
      <c r="AB23" s="605"/>
      <c r="AC23" s="605"/>
      <c r="AD23" s="605"/>
      <c r="AE23" s="605"/>
      <c r="AF23" s="605"/>
      <c r="AG23" s="605"/>
      <c r="AH23" s="605"/>
      <c r="AI23" s="605"/>
      <c r="AJ23" s="605"/>
      <c r="AK23" s="605"/>
      <c r="AL23" s="605"/>
    </row>
    <row s="1863" customFormat="1" customHeight="1" ht="15">
      <c r="A24" s="433"/>
      <c r="B24" s="433"/>
      <c r="C24" s="186"/>
      <c r="D24" s="2118"/>
      <c r="E24" s="2120"/>
      <c r="F24" s="2117"/>
      <c r="G24" s="2568"/>
      <c r="H24" s="2137"/>
      <c r="I24" s="2570"/>
      <c r="J24" s="2117"/>
      <c r="K24" s="431"/>
      <c r="L24" s="187"/>
      <c r="M24" s="617" t="s">
        <v>135</v>
      </c>
      <c r="N24" s="614"/>
      <c r="O24" s="614"/>
      <c r="P24" s="614"/>
      <c r="Q24" s="614"/>
      <c r="R24" s="614"/>
      <c r="S24" s="614"/>
      <c r="T24" s="614"/>
      <c r="U24" s="615"/>
      <c r="V24" s="614"/>
      <c r="W24" s="614"/>
      <c r="X24" s="605"/>
      <c r="Y24" s="605"/>
      <c r="Z24" s="605"/>
      <c r="AA24" s="605"/>
      <c r="AB24" s="605"/>
      <c r="AC24" s="605"/>
      <c r="AD24" s="605"/>
      <c r="AE24" s="605"/>
      <c r="AF24" s="605"/>
      <c r="AG24" s="605"/>
      <c r="AH24" s="605"/>
      <c r="AI24" s="605"/>
      <c r="AJ24" s="605"/>
      <c r="AK24" s="605"/>
      <c r="AL24" s="605"/>
    </row>
    <row s="1863" customFormat="1" customHeight="1" ht="15">
      <c r="A25" s="433"/>
      <c r="B25" s="433"/>
      <c r="C25" s="186"/>
      <c r="D25" s="2118"/>
      <c r="E25" s="2121"/>
      <c r="F25" s="2117"/>
      <c r="G25" s="431"/>
      <c r="H25" s="187"/>
      <c r="I25" s="590" t="s">
        <v>136</v>
      </c>
      <c r="J25" s="187"/>
      <c r="K25" s="187"/>
      <c r="L25" s="187"/>
      <c r="M25" s="618"/>
      <c r="N25" s="614"/>
      <c r="O25" s="614"/>
      <c r="P25" s="614"/>
      <c r="Q25" s="614"/>
      <c r="R25" s="614"/>
      <c r="S25" s="614"/>
      <c r="T25" s="614"/>
      <c r="U25" s="615"/>
      <c r="V25" s="614"/>
      <c r="W25" s="614"/>
      <c r="X25" s="605"/>
      <c r="Y25" s="605"/>
      <c r="Z25" s="605"/>
      <c r="AA25" s="605"/>
      <c r="AB25" s="605"/>
      <c r="AC25" s="605"/>
      <c r="AD25" s="605"/>
      <c r="AE25" s="605"/>
      <c r="AF25" s="605"/>
      <c r="AG25" s="605"/>
      <c r="AH25" s="605"/>
      <c r="AI25" s="605"/>
      <c r="AJ25" s="605"/>
      <c r="AK25" s="605"/>
      <c r="AL25" s="605"/>
    </row>
    <row s="1860" customFormat="1" customHeight="1" ht="15">
      <c r="U26" s="195"/>
    </row>
    <row s="1860" customFormat="1" customHeight="1" ht="15">
      <c r="A27" s="1825" t="s">
        <v>2191</v>
      </c>
      <c r="B27" s="1825"/>
      <c r="C27" s="1825"/>
      <c r="D27" s="1825"/>
      <c r="E27" s="1825"/>
      <c r="F27" s="1825"/>
      <c r="G27" s="1825"/>
      <c r="H27" s="1825"/>
      <c r="I27" s="1825"/>
      <c r="J27" s="1825"/>
      <c r="K27" s="1825"/>
      <c r="L27" s="1825"/>
      <c r="M27" s="1825"/>
      <c r="N27" s="1825"/>
      <c r="O27" s="1825"/>
      <c r="P27" s="1825"/>
      <c r="Q27" s="1825"/>
      <c r="R27" s="1825"/>
      <c r="S27" s="1825"/>
      <c r="T27" s="1825"/>
      <c r="U27" s="194"/>
      <c r="V27" s="1825"/>
      <c r="W27" s="1825"/>
    </row>
    <row s="1860" customFormat="1" customHeight="1" ht="15">
      <c r="U28" s="195"/>
    </row>
    <row s="1863" customFormat="1" customHeight="1" ht="15">
      <c r="A29" s="433"/>
      <c r="B29" s="433"/>
      <c r="C29" s="186"/>
      <c r="D29" s="1831"/>
      <c r="E29" s="1831"/>
      <c r="F29" s="1831"/>
      <c r="G29" s="2571" t="s">
        <v>105</v>
      </c>
      <c r="H29" s="2113">
        <v>1</v>
      </c>
      <c r="I29" s="2572" t="str">
        <f>IF(U29="","",INDEX(TERRITORY_MR_LIST,MATCH(U29,TERRITORY_LIST_ID,0)))</f>
        <v/>
      </c>
      <c r="J29" s="2117" t="s">
        <v>19</v>
      </c>
      <c r="K29" s="842"/>
      <c r="L29" s="1792" t="s">
        <v>124</v>
      </c>
      <c r="M29" s="613"/>
      <c r="N29" s="614"/>
      <c r="O29" s="614"/>
      <c r="P29" s="614"/>
      <c r="Q29" s="614"/>
      <c r="R29" s="614"/>
      <c r="S29" s="614"/>
      <c r="T29" s="614"/>
      <c r="U29" s="615"/>
      <c r="V29" s="614"/>
      <c r="W29" s="614"/>
      <c r="X29" s="605"/>
      <c r="Y29" s="605" t="s">
        <v>134</v>
      </c>
      <c r="Z29" s="605">
        <v>1705000</v>
      </c>
      <c r="AA29" s="605"/>
      <c r="AB29" s="605"/>
      <c r="AC29" s="605"/>
      <c r="AD29" s="605"/>
      <c r="AE29" s="605"/>
      <c r="AF29" s="605"/>
      <c r="AG29" s="605"/>
      <c r="AH29" s="605"/>
      <c r="AI29" s="605"/>
      <c r="AJ29" s="605"/>
      <c r="AK29" s="605"/>
      <c r="AL29" s="605"/>
    </row>
    <row s="1863" customFormat="1" customHeight="1" ht="15">
      <c r="A30" s="433"/>
      <c r="B30" s="433"/>
      <c r="C30" s="186"/>
      <c r="D30" s="1831"/>
      <c r="E30" s="1831"/>
      <c r="F30" s="1831"/>
      <c r="G30" s="2571"/>
      <c r="H30" s="2113"/>
      <c r="I30" s="2572"/>
      <c r="J30" s="2117"/>
      <c r="K30" s="431"/>
      <c r="L30" s="187"/>
      <c r="M30" s="617" t="s">
        <v>135</v>
      </c>
      <c r="N30" s="614"/>
      <c r="O30" s="614"/>
      <c r="P30" s="614"/>
      <c r="Q30" s="614"/>
      <c r="R30" s="614"/>
      <c r="S30" s="614"/>
      <c r="T30" s="614"/>
      <c r="U30" s="615"/>
      <c r="V30" s="614"/>
      <c r="W30" s="614"/>
      <c r="X30" s="605"/>
      <c r="Y30" s="605"/>
      <c r="Z30" s="605"/>
      <c r="AA30" s="605"/>
      <c r="AB30" s="605"/>
      <c r="AC30" s="605"/>
      <c r="AD30" s="605"/>
      <c r="AE30" s="605"/>
      <c r="AF30" s="605"/>
      <c r="AG30" s="605"/>
      <c r="AH30" s="605"/>
      <c r="AI30" s="605"/>
      <c r="AJ30" s="605"/>
      <c r="AK30" s="605"/>
      <c r="AL30" s="605"/>
    </row>
    <row s="1860" customFormat="1" customHeight="1" ht="15">
      <c r="U31" s="195"/>
    </row>
    <row s="1860" customFormat="1" customHeight="1" ht="15">
      <c r="A32" s="1825" t="s">
        <v>2192</v>
      </c>
      <c r="B32" s="1825"/>
      <c r="C32" s="1825"/>
      <c r="D32" s="1825"/>
      <c r="E32" s="1825"/>
      <c r="F32" s="1825"/>
      <c r="G32" s="1825"/>
      <c r="H32" s="1825"/>
      <c r="I32" s="1825"/>
      <c r="J32" s="1825"/>
      <c r="K32" s="1825"/>
      <c r="L32" s="1825"/>
      <c r="M32" s="1825"/>
      <c r="N32" s="1825"/>
      <c r="O32" s="1825"/>
      <c r="P32" s="1825"/>
      <c r="Q32" s="1825"/>
      <c r="R32" s="1825"/>
      <c r="S32" s="1825"/>
      <c r="T32" s="1825"/>
      <c r="U32" s="194"/>
      <c r="V32" s="1825"/>
      <c r="W32" s="1825"/>
    </row>
    <row s="1860" customFormat="1" customHeight="1" ht="15">
      <c r="U33" s="195"/>
    </row>
    <row s="1863" customFormat="1" customHeight="1" ht="15">
      <c r="A34" s="433"/>
      <c r="B34" s="433"/>
      <c r="C34" s="186"/>
      <c r="D34" s="1831"/>
      <c r="E34" s="1831"/>
      <c r="F34" s="1831"/>
      <c r="G34" s="1831"/>
      <c r="H34" s="1831"/>
      <c r="I34" s="1831"/>
      <c r="J34" s="1831"/>
      <c r="K34" s="1809" t="s">
        <v>105</v>
      </c>
      <c r="L34" s="1739" t="s">
        <v>124</v>
      </c>
      <c r="M34" s="821"/>
      <c r="N34" s="822"/>
      <c r="O34" s="614"/>
      <c r="P34" s="614"/>
      <c r="Q34" s="614"/>
      <c r="R34" s="614"/>
      <c r="S34" s="614"/>
      <c r="T34" s="614"/>
      <c r="U34" s="615"/>
      <c r="V34" s="614"/>
      <c r="W34" s="614"/>
      <c r="X34" s="605"/>
      <c r="Y34" s="605" t="s">
        <v>134</v>
      </c>
      <c r="Z34" s="605">
        <v>1705000</v>
      </c>
      <c r="AA34" s="605"/>
      <c r="AB34" s="605"/>
      <c r="AC34" s="605"/>
      <c r="AD34" s="605"/>
      <c r="AE34" s="605"/>
      <c r="AF34" s="605"/>
      <c r="AG34" s="605"/>
      <c r="AH34" s="605"/>
      <c r="AI34" s="605"/>
      <c r="AJ34" s="605"/>
      <c r="AK34" s="605"/>
      <c r="AL34" s="605"/>
    </row>
    <row s="1860" customFormat="1" customHeight="1" ht="15">
      <c r="U35" s="195"/>
    </row>
    <row s="1860" customFormat="1" customHeight="1" ht="15">
      <c r="U36" s="195"/>
    </row>
    <row s="1825" customFormat="1" customHeight="1" ht="11.25">
      <c r="A37" s="1825" t="s">
        <v>2193</v>
      </c>
    </row>
    <row customHeight="1" ht="11.25"/>
    <row s="465" customFormat="1" customHeight="1" ht="22.5">
      <c r="A39" s="1801"/>
      <c r="B39" s="467"/>
      <c r="C39" s="869"/>
      <c r="D39" s="450"/>
      <c r="E39" s="870"/>
      <c r="F39" s="1822"/>
      <c r="G39" s="1832"/>
      <c r="H39" s="485"/>
    </row>
    <row customHeight="1" ht="11.25"/>
    <row s="1825" customFormat="1" customHeight="1" ht="11.25">
      <c r="A41" s="1825" t="s">
        <v>2194</v>
      </c>
    </row>
    <row customHeight="1" ht="11.25"/>
    <row s="465" customFormat="1" customHeight="1" ht="22.5">
      <c r="A43" s="467"/>
      <c r="B43" s="467"/>
      <c r="C43" s="467"/>
      <c r="D43" s="450"/>
      <c r="E43" s="870"/>
      <c r="F43" s="871"/>
      <c r="G43" s="1832"/>
      <c r="H43" s="485"/>
    </row>
    <row customHeight="1" ht="11.25"/>
    <row s="1825" customFormat="1" customHeight="1" ht="11.25">
      <c r="A45" s="1825" t="s">
        <v>2195</v>
      </c>
    </row>
    <row customHeight="1" ht="11.25"/>
    <row s="465" customFormat="1" customHeight="1" ht="24">
      <c r="A47" s="2212" t="s">
        <v>335</v>
      </c>
      <c r="B47" s="512"/>
      <c r="C47" s="2223"/>
      <c r="D47" s="455" t="str">
        <f>A47</f>
        <v>5.1</v>
      </c>
      <c r="E47" s="452" t="s">
        <v>336</v>
      </c>
      <c r="F47" s="1986" t="s">
        <v>328</v>
      </c>
      <c r="G47" s="454" t="s">
        <v>337</v>
      </c>
      <c r="H47" s="485"/>
      <c r="I47" s="862"/>
    </row>
    <row s="465" customFormat="1" customHeight="1" ht="22.5">
      <c r="A48" s="2212"/>
      <c r="B48" s="512"/>
      <c r="C48" s="2223"/>
      <c r="D48" s="450" t="str">
        <f>D47&amp;".1"</f>
        <v>5.1.1</v>
      </c>
      <c r="E48" s="449" t="s">
        <v>338</v>
      </c>
      <c r="F48" s="1987" t="s">
        <v>22</v>
      </c>
      <c r="G48" s="484"/>
      <c r="H48" s="485"/>
      <c r="I48" s="862"/>
    </row>
    <row s="465" customFormat="1" customHeight="1" ht="22.5">
      <c r="A49" s="2212"/>
      <c r="B49" s="512"/>
      <c r="C49" s="2223"/>
      <c r="D49" s="450" t="str">
        <f>D47&amp;".2"</f>
        <v>5.1.2</v>
      </c>
      <c r="E49" s="449" t="s">
        <v>339</v>
      </c>
      <c r="F49" s="1742" t="s">
        <v>22</v>
      </c>
      <c r="G49" s="454" t="s">
        <v>340</v>
      </c>
      <c r="H49" s="485"/>
      <c r="I49" s="862"/>
    </row>
    <row s="465" customFormat="1" customHeight="1" ht="22.5">
      <c r="A50" s="2212"/>
      <c r="B50" s="512"/>
      <c r="C50" s="2223"/>
      <c r="D50" s="450" t="str">
        <f>D47&amp;".3"</f>
        <v>5.1.3</v>
      </c>
      <c r="E50" s="449" t="s">
        <v>341</v>
      </c>
      <c r="F50" s="1987" t="s">
        <v>22</v>
      </c>
      <c r="G50" s="484"/>
      <c r="H50" s="485"/>
      <c r="I50" s="862"/>
    </row>
    <row s="465" customFormat="1" customHeight="1" ht="22.5">
      <c r="A51" s="2212"/>
      <c r="B51" s="512"/>
      <c r="C51" s="2223"/>
      <c r="D51" s="450" t="str">
        <f>D47&amp;".4"</f>
        <v>5.1.4</v>
      </c>
      <c r="E51" s="449" t="s">
        <v>342</v>
      </c>
      <c r="F51" s="1987" t="s">
        <v>22</v>
      </c>
      <c r="G51" s="454" t="s">
        <v>343</v>
      </c>
      <c r="H51" s="485"/>
      <c r="I51" s="862"/>
    </row>
    <row r="54" s="1825" customFormat="1" customHeight="1" ht="17.25">
      <c r="A54" s="1825" t="s">
        <v>2196</v>
      </c>
    </row>
    <row r="56" s="1622" customFormat="1" customHeight="1" ht="18.75">
      <c r="A56" s="99"/>
      <c r="B56" s="1833"/>
      <c r="C56" s="1833"/>
      <c r="D56" s="1834"/>
      <c r="E56" s="1819"/>
      <c r="F56" s="878">
        <v>13</v>
      </c>
      <c r="G56" s="877"/>
      <c r="H56" s="803"/>
      <c r="I56" s="801"/>
      <c r="J56" s="530" t="s">
        <v>66</v>
      </c>
      <c r="K56" s="1835" t="s">
        <v>22</v>
      </c>
      <c r="L56" s="99"/>
      <c r="M56" s="1646"/>
      <c r="N56" s="1646"/>
      <c r="O56" s="1646"/>
      <c r="P56" s="526" t="s">
        <v>414</v>
      </c>
      <c r="Q56" s="526" t="s">
        <v>415</v>
      </c>
      <c r="R56" s="527" t="s">
        <v>416</v>
      </c>
      <c r="S56" s="1646" t="s">
        <v>417</v>
      </c>
      <c r="T56" s="1646"/>
      <c r="U56" s="1646"/>
      <c r="V56" s="1646"/>
    </row>
    <row r="58" s="1825" customFormat="1" customHeight="1" ht="11.25">
      <c r="A58" s="1825" t="s">
        <v>2197</v>
      </c>
    </row>
    <row r="60" s="1645" customFormat="1" customHeight="1" ht="14.25">
      <c r="C60" s="1698"/>
      <c r="D60" s="1879"/>
      <c r="E60" s="1787" t="s">
        <v>22</v>
      </c>
      <c r="F60" s="1878"/>
      <c r="G60" s="866"/>
      <c r="H60" s="1788"/>
      <c r="I60" s="1788"/>
      <c r="J60" s="443"/>
      <c r="K60" s="1873"/>
      <c r="L60" s="442"/>
      <c r="M60" s="1873"/>
      <c r="N60" s="443"/>
      <c r="O60" s="1873"/>
      <c r="P60" s="443"/>
      <c r="Q60" s="1873"/>
      <c r="R60" s="443"/>
      <c r="S60" s="864"/>
      <c r="T60" s="1788"/>
      <c r="U60" s="443"/>
      <c r="V60" s="443"/>
      <c r="W60" s="1877"/>
      <c r="X60" s="1788"/>
      <c r="Y60" s="443"/>
      <c r="Z60" s="443"/>
      <c r="AA60" s="1877"/>
      <c r="AB60" s="1788"/>
      <c r="AC60" s="443"/>
      <c r="AD60" s="1877"/>
      <c r="AE60" s="99"/>
      <c r="AF60" s="99"/>
      <c r="AG60" s="99"/>
      <c r="AH60" s="99"/>
      <c r="AJ60" s="1646"/>
      <c r="AK60" s="1646"/>
      <c r="AL60" s="1646"/>
      <c r="AM60" s="1646"/>
      <c r="AN60" s="1646"/>
      <c r="AO60" s="1646"/>
      <c r="AP60" s="1634" t="s">
        <v>403</v>
      </c>
      <c r="AQ60" s="1634" t="s">
        <v>403</v>
      </c>
      <c r="AR60" s="1646"/>
      <c r="AS60" s="1646"/>
    </row>
    <row r="62" s="1825" customFormat="1" customHeight="1" ht="11.25">
      <c r="A62" s="1825" t="s">
        <v>2198</v>
      </c>
    </row>
    <row r="64" s="1833" customFormat="1" customHeight="1" ht="15">
      <c r="A64" s="155" t="s">
        <v>90</v>
      </c>
      <c r="B64" s="135" t="s">
        <v>22</v>
      </c>
      <c r="C64" s="1836"/>
      <c r="D64" s="138"/>
      <c r="E64" s="391"/>
      <c r="F64" s="391"/>
      <c r="G64" s="1813"/>
      <c r="H64" s="1835"/>
      <c r="I64" s="1814"/>
      <c r="K64" s="282"/>
      <c r="L64" s="283"/>
    </row>
    <row r="66" s="1825" customFormat="1" customHeight="1" ht="11.25">
      <c r="A66" s="1825" t="s">
        <v>2199</v>
      </c>
    </row>
    <row r="68" s="1645" customFormat="1" customHeight="1" ht="14.25">
      <c r="A68" s="353"/>
      <c r="B68" s="1170"/>
      <c r="C68" s="386"/>
      <c r="D68" s="1820"/>
      <c r="E68" s="896"/>
      <c r="F68" s="1835"/>
      <c r="G68" s="99"/>
      <c r="I68" s="1634"/>
      <c r="J68" s="1634"/>
    </row>
    <row r="70" s="1825" customFormat="1" customHeight="1" ht="11.25">
      <c r="A70" s="1825" t="s">
        <v>2200</v>
      </c>
    </row>
    <row r="72" s="1645" customFormat="1" customHeight="1" ht="27">
      <c r="A72" s="1176"/>
      <c r="B72" s="1176"/>
      <c r="C72" s="1176"/>
      <c r="D72" s="1170"/>
      <c r="E72" s="1837"/>
      <c r="F72" s="2591"/>
      <c r="G72" s="2592"/>
      <c r="H72" s="2593" t="s">
        <v>66</v>
      </c>
      <c r="I72" s="2595"/>
      <c r="J72" s="2558"/>
      <c r="K72" s="2597"/>
      <c r="L72" s="2560"/>
      <c r="M72" s="2560"/>
      <c r="N72" s="2561"/>
      <c r="O72" s="2561"/>
      <c r="P72" s="2562">
        <f>DATEDIF(DATEVALUE(N72),DATEVALUE(O72),"y")&amp;"г. "&amp;DATEDIF(DATEVALUE(N72),DATEVALUE(O72),"ym")&amp;"мес. "&amp;DATEVALUE(O72)-DATE(YEAR(DATEVALUE(O72)),MONTH(DATEVALUE(O72)),1)&amp;"дн. "</f>
      </c>
      <c r="Q72" s="2557"/>
      <c r="R72" s="2557"/>
      <c r="S72" s="2557"/>
      <c r="T72" s="2558"/>
      <c r="U72" s="2557"/>
      <c r="V72" s="2557"/>
      <c r="W72" s="2557"/>
      <c r="X72" s="2558"/>
      <c r="Y72" s="2555" t="s">
        <v>66</v>
      </c>
      <c r="Z72" s="1818"/>
      <c r="AA72" s="1802">
        <v>1</v>
      </c>
      <c r="AB72" s="1252"/>
      <c r="AD72" s="1646" t="s">
        <v>2201</v>
      </c>
    </row>
    <row s="1645" customFormat="1" customHeight="1" ht="10.5">
      <c r="A73" s="1176"/>
      <c r="B73" s="1176"/>
      <c r="C73" s="1176"/>
      <c r="D73" s="1170"/>
      <c r="E73" s="957"/>
      <c r="F73" s="2591"/>
      <c r="G73" s="2592"/>
      <c r="H73" s="2594"/>
      <c r="I73" s="2596"/>
      <c r="J73" s="2559"/>
      <c r="K73" s="2597"/>
      <c r="L73" s="2560"/>
      <c r="M73" s="2560"/>
      <c r="N73" s="2561"/>
      <c r="O73" s="2561"/>
      <c r="P73" s="2562"/>
      <c r="Q73" s="2557"/>
      <c r="R73" s="2557"/>
      <c r="S73" s="2557"/>
      <c r="T73" s="2559"/>
      <c r="U73" s="2557"/>
      <c r="V73" s="2557"/>
      <c r="W73" s="2557"/>
      <c r="X73" s="2559"/>
      <c r="Y73" s="2556"/>
      <c r="Z73" s="357"/>
      <c r="AA73" s="582"/>
      <c r="AB73" s="662" t="s">
        <v>2202</v>
      </c>
    </row>
    <row r="75" s="1825" customFormat="1" customHeight="1" ht="11.25">
      <c r="A75" s="1825" t="s">
        <v>2203</v>
      </c>
    </row>
    <row r="77" s="1645" customFormat="1" customHeight="1" ht="27">
      <c r="A77" s="1176"/>
      <c r="B77" s="1176"/>
      <c r="C77" s="1176"/>
      <c r="D77" s="1170"/>
      <c r="E77" s="1837"/>
      <c r="F77" s="1807"/>
      <c r="G77" s="1757"/>
      <c r="H77" s="1758"/>
      <c r="I77" s="1759"/>
      <c r="J77" s="1760"/>
      <c r="K77" s="1761"/>
      <c r="L77" s="1762"/>
      <c r="M77" s="1762"/>
      <c r="N77" s="1763"/>
      <c r="O77" s="1763"/>
      <c r="P77" s="1764"/>
      <c r="Q77" s="1765"/>
      <c r="R77" s="1765"/>
      <c r="S77" s="1765"/>
      <c r="T77" s="1760"/>
      <c r="U77" s="1765"/>
      <c r="V77" s="1765"/>
      <c r="W77" s="1765"/>
      <c r="X77" s="1760"/>
      <c r="Y77" s="1758"/>
      <c r="Z77" s="1818"/>
      <c r="AA77" s="1802">
        <v>1</v>
      </c>
      <c r="AB77" s="1252"/>
      <c r="AD77" s="1646" t="s">
        <v>2201</v>
      </c>
    </row>
    <row r="79" s="1825" customFormat="1" customHeight="1" ht="11.25">
      <c r="A79" s="1825" t="s">
        <v>2204</v>
      </c>
    </row>
    <row customHeight="1" ht="17.25"/>
    <row s="1645" customFormat="1" customHeight="1" ht="21">
      <c r="A81" s="1177"/>
      <c r="B81" s="1176"/>
      <c r="C81" s="1176"/>
      <c r="D81" s="1170"/>
      <c r="E81" s="1180"/>
      <c r="F81" s="1132">
        <f>INDEX(IP_MAIN_LIST_NAME_IP,MATCH(A81,IP_MAIN_LIST_IP_ID,0))&amp;" ("&amp;INDEX(IP_MAIN_START_DATE,MATCH(A81,IP_MAIN_LIST_IP_ID,0))&amp;"-"&amp;INDEX(IP_MAIN_END_DATE,MATCH(A81,IP_MAIN_LIST_IP_ID,0))&amp;")"</f>
      </c>
      <c r="G81" s="1133"/>
      <c r="H81" s="1133"/>
      <c r="I81" s="1195"/>
      <c r="J81" s="1195"/>
      <c r="K81" s="1196"/>
      <c r="L81" s="1196"/>
      <c r="M81" s="1196"/>
      <c r="N81" s="1197"/>
      <c r="O81" s="1197"/>
      <c r="P81" s="1197"/>
      <c r="Q81" s="1197"/>
      <c r="R81" s="1197"/>
      <c r="S81" s="1197"/>
      <c r="T81" s="1197"/>
      <c r="U81" s="1197"/>
      <c r="V81" s="1197"/>
      <c r="W81" s="1197"/>
      <c r="X81" s="1197"/>
      <c r="Y81" s="1197"/>
      <c r="Z81" s="1197"/>
      <c r="AA81" s="1197"/>
      <c r="AB81" s="1197"/>
      <c r="AC81" s="1197"/>
      <c r="AD81" s="1197"/>
      <c r="AE81" s="1198"/>
      <c r="AF81" s="1196"/>
      <c r="AG81" s="1196"/>
      <c r="AH81" s="1196"/>
      <c r="AI81" s="1196"/>
      <c r="AJ81" s="1196"/>
      <c r="AK81" s="1196"/>
      <c r="AL81" s="1998"/>
      <c r="AM81" s="1833"/>
      <c r="AN81" s="1833"/>
      <c r="AO81" s="1833"/>
      <c r="AP81" s="1833"/>
      <c r="AQ81" s="1833"/>
      <c r="AR81" s="1833"/>
      <c r="AS81" s="1833"/>
      <c r="AT81" s="1833"/>
      <c r="AU81" s="1833"/>
      <c r="AV81" s="1833"/>
      <c r="AW81" s="1833"/>
      <c r="AX81" s="1833"/>
      <c r="AY81" s="1833"/>
      <c r="AZ81" s="1833"/>
      <c r="BA81" s="1833"/>
      <c r="BB81" s="1833"/>
      <c r="BC81" s="1833"/>
      <c r="BD81" s="1833"/>
      <c r="BE81" s="1833"/>
      <c r="BF81" s="1833"/>
    </row>
    <row s="1645" customFormat="1" customHeight="1" ht="0.75">
      <c r="A82" s="1176"/>
      <c r="B82" s="1176"/>
      <c r="C82" s="1176"/>
      <c r="D82" s="1170"/>
      <c r="E82" s="1180"/>
      <c r="F82" s="2546"/>
      <c r="G82" s="2525"/>
      <c r="H82" s="2550" t="s">
        <v>398</v>
      </c>
      <c r="I82" s="2551"/>
      <c r="J82" s="2552"/>
      <c r="K82" s="2552"/>
      <c r="L82" s="2544"/>
      <c r="M82" s="2278"/>
      <c r="N82" s="2046"/>
      <c r="O82" s="2045"/>
      <c r="P82" s="2046"/>
      <c r="Q82" s="2046"/>
      <c r="R82" s="2046"/>
      <c r="S82" s="2046"/>
      <c r="T82" s="2046"/>
      <c r="U82" s="2046"/>
      <c r="V82" s="2046"/>
      <c r="W82" s="2046"/>
      <c r="X82" s="2046"/>
      <c r="Y82" s="2046"/>
      <c r="Z82" s="2046"/>
      <c r="AA82" s="2046"/>
      <c r="AB82" s="2046"/>
      <c r="AC82" s="2046"/>
      <c r="AD82" s="2046"/>
      <c r="AE82" s="2046"/>
      <c r="AF82" s="2548"/>
      <c r="AG82" s="2544"/>
      <c r="AH82" s="2544"/>
      <c r="AI82" s="2548"/>
      <c r="AJ82" s="2544"/>
      <c r="AK82" s="2544"/>
      <c r="AL82" s="1998"/>
      <c r="AM82" s="1833"/>
      <c r="AN82" s="1833"/>
      <c r="AO82" s="1833"/>
      <c r="AP82" s="1833"/>
      <c r="AQ82" s="1833"/>
      <c r="AR82" s="1833"/>
      <c r="AS82" s="1833"/>
      <c r="AT82" s="1833"/>
      <c r="AU82" s="1833"/>
      <c r="AV82" s="1833"/>
      <c r="AW82" s="1833"/>
      <c r="AX82" s="1833"/>
      <c r="AY82" s="1833"/>
      <c r="AZ82" s="1833"/>
      <c r="BA82" s="1833"/>
      <c r="BB82" s="1833"/>
      <c r="BC82" s="1833"/>
      <c r="BD82" s="1833"/>
      <c r="BE82" s="1833"/>
      <c r="BF82" s="1833"/>
    </row>
    <row s="1645" customFormat="1" customHeight="1" ht="0.75">
      <c r="A83" s="1176"/>
      <c r="B83" s="1176"/>
      <c r="C83" s="1176"/>
      <c r="D83" s="1170"/>
      <c r="E83" s="1180"/>
      <c r="F83" s="2546"/>
      <c r="G83" s="2525"/>
      <c r="H83" s="2550"/>
      <c r="I83" s="2551"/>
      <c r="J83" s="2552"/>
      <c r="K83" s="2552"/>
      <c r="L83" s="2544"/>
      <c r="M83" s="2278"/>
      <c r="N83" s="2553"/>
      <c r="O83" s="2554"/>
      <c r="P83" s="2598"/>
      <c r="Q83" s="2549"/>
      <c r="R83" s="2549"/>
      <c r="S83" s="2549"/>
      <c r="T83" s="2549"/>
      <c r="U83" s="2549"/>
      <c r="V83" s="2549"/>
      <c r="W83" s="2549"/>
      <c r="X83" s="2549"/>
      <c r="Y83" s="2549"/>
      <c r="Z83" s="2047"/>
      <c r="AA83" s="2048"/>
      <c r="AB83" s="2048"/>
      <c r="AC83" s="2049"/>
      <c r="AD83" s="2049"/>
      <c r="AE83" s="2050"/>
      <c r="AF83" s="2548"/>
      <c r="AG83" s="2544"/>
      <c r="AH83" s="2544"/>
      <c r="AI83" s="2548"/>
      <c r="AJ83" s="2544"/>
      <c r="AK83" s="2544"/>
      <c r="AL83" s="1998"/>
      <c r="AM83" s="1833"/>
      <c r="AN83" s="1833"/>
      <c r="AO83" s="1833"/>
      <c r="AP83" s="1833"/>
      <c r="AQ83" s="1833"/>
      <c r="AR83" s="1833"/>
      <c r="AS83" s="1833"/>
      <c r="AT83" s="1833"/>
      <c r="AU83" s="1833"/>
      <c r="AV83" s="1833"/>
      <c r="AW83" s="1833"/>
      <c r="AX83" s="1833"/>
      <c r="AY83" s="1833"/>
      <c r="AZ83" s="1833"/>
      <c r="BA83" s="1833"/>
      <c r="BB83" s="1833"/>
      <c r="BC83" s="1833"/>
      <c r="BD83" s="1833"/>
      <c r="BE83" s="1833"/>
      <c r="BF83" s="1833"/>
    </row>
    <row s="1645" customFormat="1" customHeight="1" ht="0.75">
      <c r="A84" s="1176"/>
      <c r="B84" s="1176"/>
      <c r="C84" s="1176"/>
      <c r="D84" s="1170"/>
      <c r="E84" s="1180"/>
      <c r="F84" s="2546"/>
      <c r="G84" s="2525"/>
      <c r="H84" s="2550"/>
      <c r="I84" s="2551"/>
      <c r="J84" s="2552"/>
      <c r="K84" s="2552"/>
      <c r="L84" s="2544"/>
      <c r="M84" s="2278"/>
      <c r="N84" s="2553"/>
      <c r="O84" s="2554"/>
      <c r="P84" s="2599"/>
      <c r="Q84" s="2549"/>
      <c r="R84" s="2549"/>
      <c r="S84" s="2549"/>
      <c r="T84" s="2549"/>
      <c r="U84" s="2549"/>
      <c r="V84" s="2549"/>
      <c r="W84" s="2549"/>
      <c r="X84" s="2549"/>
      <c r="Y84" s="2549"/>
      <c r="Z84" s="2051"/>
      <c r="AA84" s="2052"/>
      <c r="AB84" s="2053"/>
      <c r="AC84" s="2054"/>
      <c r="AD84" s="2053"/>
      <c r="AE84" s="2054"/>
      <c r="AF84" s="2548"/>
      <c r="AG84" s="2544"/>
      <c r="AH84" s="2544"/>
      <c r="AI84" s="2548"/>
      <c r="AJ84" s="2544"/>
      <c r="AK84" s="2544"/>
      <c r="AL84" s="1998"/>
      <c r="AM84" s="1833"/>
      <c r="AN84" s="1833"/>
      <c r="AO84" s="1833"/>
      <c r="AP84" s="1833"/>
      <c r="AQ84" s="1833"/>
      <c r="AR84" s="1833"/>
      <c r="AS84" s="1833"/>
      <c r="AT84" s="1833"/>
      <c r="AU84" s="1833"/>
      <c r="AV84" s="1833"/>
      <c r="AW84" s="1833"/>
      <c r="AX84" s="1833"/>
      <c r="AY84" s="1833"/>
      <c r="AZ84" s="1833"/>
      <c r="BA84" s="1833"/>
      <c r="BB84" s="1833"/>
      <c r="BC84" s="1833"/>
      <c r="BD84" s="1833"/>
      <c r="BE84" s="1833"/>
      <c r="BF84" s="1833"/>
    </row>
    <row s="1645" customFormat="1" customHeight="1" ht="0.75">
      <c r="A85" s="1176"/>
      <c r="B85" s="1176"/>
      <c r="C85" s="1176"/>
      <c r="D85" s="1170"/>
      <c r="E85" s="1180"/>
      <c r="F85" s="2546"/>
      <c r="G85" s="2525"/>
      <c r="H85" s="2550"/>
      <c r="I85" s="2551"/>
      <c r="J85" s="2552"/>
      <c r="K85" s="2552"/>
      <c r="L85" s="2544"/>
      <c r="M85" s="2278"/>
      <c r="N85" s="2553"/>
      <c r="O85" s="2554"/>
      <c r="P85" s="2600"/>
      <c r="Q85" s="2549"/>
      <c r="R85" s="2549"/>
      <c r="S85" s="2549"/>
      <c r="T85" s="2549"/>
      <c r="U85" s="2549"/>
      <c r="V85" s="2549"/>
      <c r="W85" s="2549"/>
      <c r="X85" s="2549"/>
      <c r="Y85" s="2549"/>
      <c r="Z85" s="2047"/>
      <c r="AA85" s="2048"/>
      <c r="AB85" s="2055"/>
      <c r="AC85" s="2049"/>
      <c r="AD85" s="2049"/>
      <c r="AE85" s="2056"/>
      <c r="AF85" s="2548"/>
      <c r="AG85" s="2544"/>
      <c r="AH85" s="2544"/>
      <c r="AI85" s="2548"/>
      <c r="AJ85" s="2544"/>
      <c r="AK85" s="2544"/>
      <c r="AL85" s="1998"/>
      <c r="AM85" s="1833"/>
      <c r="AN85" s="1833"/>
      <c r="AO85" s="1833"/>
      <c r="AP85" s="1833"/>
      <c r="AQ85" s="1833"/>
      <c r="AR85" s="1833"/>
      <c r="AS85" s="1833"/>
      <c r="AT85" s="1833"/>
      <c r="AU85" s="1833"/>
      <c r="AV85" s="1833"/>
      <c r="AW85" s="1833"/>
      <c r="AX85" s="1833"/>
      <c r="AY85" s="1833"/>
      <c r="AZ85" s="1833"/>
      <c r="BA85" s="1833"/>
      <c r="BB85" s="1833"/>
      <c r="BC85" s="1833"/>
      <c r="BD85" s="1833"/>
      <c r="BE85" s="1833"/>
      <c r="BF85" s="1833"/>
    </row>
    <row s="1645" customFormat="1" customHeight="1" ht="0.75">
      <c r="A86" s="1176"/>
      <c r="B86" s="1176"/>
      <c r="C86" s="1176"/>
      <c r="D86" s="1170"/>
      <c r="E86" s="1180"/>
      <c r="F86" s="2546"/>
      <c r="G86" s="2525"/>
      <c r="H86" s="2550"/>
      <c r="I86" s="2551"/>
      <c r="J86" s="2552"/>
      <c r="K86" s="2552"/>
      <c r="L86" s="2544"/>
      <c r="M86" s="2278"/>
      <c r="N86" s="2048"/>
      <c r="O86" s="2048"/>
      <c r="P86" s="2055"/>
      <c r="Q86" s="2048"/>
      <c r="R86" s="2048"/>
      <c r="S86" s="2048"/>
      <c r="T86" s="2048"/>
      <c r="U86" s="2048"/>
      <c r="V86" s="2048"/>
      <c r="W86" s="2048"/>
      <c r="X86" s="2048"/>
      <c r="Y86" s="2048"/>
      <c r="Z86" s="2048"/>
      <c r="AA86" s="2048"/>
      <c r="AB86" s="2048"/>
      <c r="AC86" s="2048"/>
      <c r="AD86" s="2048"/>
      <c r="AE86" s="2057"/>
      <c r="AF86" s="2548"/>
      <c r="AG86" s="2544"/>
      <c r="AH86" s="2544"/>
      <c r="AI86" s="2548"/>
      <c r="AJ86" s="2544"/>
      <c r="AK86" s="2544"/>
      <c r="AL86" s="1998"/>
      <c r="AM86" s="1833"/>
      <c r="AN86" s="1833"/>
      <c r="AO86" s="1833"/>
      <c r="AP86" s="1833"/>
      <c r="AQ86" s="1833"/>
      <c r="AR86" s="1833"/>
      <c r="AS86" s="1833"/>
      <c r="AT86" s="1833"/>
      <c r="AU86" s="1833"/>
      <c r="AV86" s="1833"/>
      <c r="AW86" s="1833"/>
      <c r="AX86" s="1833"/>
      <c r="AY86" s="1833"/>
      <c r="AZ86" s="1833"/>
      <c r="BA86" s="1833"/>
      <c r="BB86" s="1833"/>
      <c r="BC86" s="1833"/>
      <c r="BD86" s="1833"/>
      <c r="BE86" s="1833"/>
      <c r="BF86" s="1833"/>
    </row>
    <row s="1645" customFormat="1" customHeight="1" ht="12">
      <c r="A87" s="1176"/>
      <c r="B87" s="1176"/>
      <c r="C87" s="1176"/>
      <c r="D87" s="1170"/>
      <c r="E87" s="1180"/>
      <c r="F87" s="2547"/>
      <c r="G87" s="1200"/>
      <c r="H87" s="1200"/>
      <c r="I87" s="2545" t="s">
        <v>2205</v>
      </c>
      <c r="J87" s="2545"/>
      <c r="K87" s="2545"/>
      <c r="L87" s="1183"/>
      <c r="M87" s="1183"/>
      <c r="N87" s="1184"/>
      <c r="O87" s="1184"/>
      <c r="P87" s="1184"/>
      <c r="Q87" s="1184"/>
      <c r="R87" s="1184"/>
      <c r="S87" s="1184"/>
      <c r="T87" s="1184"/>
      <c r="U87" s="1184"/>
      <c r="V87" s="1184"/>
      <c r="W87" s="1184"/>
      <c r="X87" s="1184"/>
      <c r="Y87" s="1184"/>
      <c r="Z87" s="1184"/>
      <c r="AA87" s="1184"/>
      <c r="AB87" s="1184"/>
      <c r="AC87" s="1184"/>
      <c r="AD87" s="1184"/>
      <c r="AE87" s="1184"/>
      <c r="AF87" s="1184"/>
      <c r="AG87" s="1183"/>
      <c r="AH87" s="1183"/>
      <c r="AI87" s="1184"/>
      <c r="AJ87" s="1183"/>
      <c r="AK87" s="1184"/>
      <c r="AL87" s="1998"/>
      <c r="AM87" s="1833"/>
      <c r="AN87" s="1833"/>
      <c r="AO87" s="1833"/>
      <c r="AP87" s="1833"/>
      <c r="AQ87" s="1833"/>
      <c r="AR87" s="1833"/>
      <c r="AS87" s="1833"/>
      <c r="AT87" s="1833"/>
      <c r="AU87" s="1833"/>
      <c r="AV87" s="1833"/>
      <c r="AW87" s="1833"/>
      <c r="AX87" s="1833"/>
      <c r="AY87" s="1833"/>
      <c r="AZ87" s="1833"/>
      <c r="BA87" s="1833"/>
      <c r="BB87" s="1833"/>
      <c r="BC87" s="1833"/>
      <c r="BD87" s="1833"/>
      <c r="BE87" s="1833"/>
      <c r="BF87" s="1833"/>
    </row>
    <row r="89" s="1825" customFormat="1" customHeight="1" ht="11.25">
      <c r="A89" s="1825" t="s">
        <v>2206</v>
      </c>
    </row>
    <row r="91" s="1645" customFormat="1" customHeight="1" ht="11.25">
      <c r="A91" s="1176"/>
      <c r="B91" s="1176"/>
      <c r="C91" s="1176"/>
      <c r="D91" s="1170"/>
      <c r="E91" s="1180"/>
      <c r="F91" s="1839"/>
      <c r="G91" s="1840"/>
      <c r="H91" s="1840"/>
      <c r="I91" s="1774"/>
      <c r="J91" s="1774"/>
      <c r="K91" s="1841"/>
      <c r="L91" s="1774"/>
      <c r="M91" s="1840"/>
      <c r="N91" s="2518"/>
      <c r="O91" s="2601">
        <v>1</v>
      </c>
      <c r="P91" s="2520" t="s">
        <v>19</v>
      </c>
      <c r="Q91" s="2523" t="s">
        <v>22</v>
      </c>
      <c r="R91" s="2523" t="s">
        <v>22</v>
      </c>
      <c r="S91" s="2523" t="s">
        <v>22</v>
      </c>
      <c r="T91" s="2523" t="s">
        <v>22</v>
      </c>
      <c r="U91" s="2523" t="s">
        <v>22</v>
      </c>
      <c r="V91" s="2523" t="s">
        <v>22</v>
      </c>
      <c r="W91" s="2523" t="s">
        <v>22</v>
      </c>
      <c r="X91" s="2523" t="s">
        <v>22</v>
      </c>
      <c r="Y91" s="2523"/>
      <c r="Z91" s="1185"/>
      <c r="AA91" s="1186"/>
      <c r="AB91" s="1186"/>
      <c r="AC91" s="1190"/>
      <c r="AD91" s="1190"/>
      <c r="AE91" s="1190"/>
      <c r="AF91" s="1842"/>
      <c r="AG91" s="1769"/>
      <c r="AH91" s="1769"/>
      <c r="AI91" s="1842"/>
      <c r="AJ91" s="1769"/>
      <c r="AK91" s="1997"/>
      <c r="AL91" s="1998"/>
      <c r="AM91" s="1833"/>
      <c r="AN91" s="1833"/>
      <c r="AO91" s="1833"/>
      <c r="AP91" s="1833"/>
      <c r="AQ91" s="1833"/>
      <c r="AR91" s="1833"/>
      <c r="AS91" s="1833"/>
      <c r="AT91" s="1833"/>
      <c r="AU91" s="1833"/>
      <c r="AV91" s="1833"/>
      <c r="AW91" s="1833"/>
      <c r="AX91" s="1833"/>
      <c r="AY91" s="1833"/>
      <c r="AZ91" s="1833"/>
      <c r="BA91" s="1833"/>
      <c r="BB91" s="1833"/>
      <c r="BC91" s="1833"/>
      <c r="BD91" s="1833"/>
      <c r="BE91" s="1833"/>
      <c r="BF91" s="1833"/>
    </row>
    <row s="1645" customFormat="1" customHeight="1" ht="11.25">
      <c r="A92" s="1176"/>
      <c r="B92" s="1176"/>
      <c r="C92" s="1176"/>
      <c r="D92" s="1170"/>
      <c r="E92" s="1180"/>
      <c r="F92" s="1839"/>
      <c r="G92" s="1840"/>
      <c r="H92" s="1840"/>
      <c r="I92" s="1775"/>
      <c r="J92" s="1775"/>
      <c r="K92" s="1841"/>
      <c r="L92" s="1775"/>
      <c r="M92" s="1840"/>
      <c r="N92" s="2518"/>
      <c r="O92" s="2601"/>
      <c r="P92" s="2521"/>
      <c r="Q92" s="2523"/>
      <c r="R92" s="2523"/>
      <c r="S92" s="2524"/>
      <c r="T92" s="2523"/>
      <c r="U92" s="2523"/>
      <c r="V92" s="2523"/>
      <c r="W92" s="2523"/>
      <c r="X92" s="2523"/>
      <c r="Y92" s="2523"/>
      <c r="Z92" s="1838"/>
      <c r="AA92" s="1804">
        <v>1</v>
      </c>
      <c r="AB92" s="1189"/>
      <c r="AC92" s="1179"/>
      <c r="AD92" s="1189">
        <f>AB92</f>
        <v>0</v>
      </c>
      <c r="AE92" s="734"/>
      <c r="AF92" s="1841"/>
      <c r="AG92" s="1769"/>
      <c r="AH92" s="1769"/>
      <c r="AI92" s="1841"/>
      <c r="AJ92" s="1769"/>
      <c r="AK92" s="1997"/>
      <c r="AL92" s="1998"/>
      <c r="AM92" s="1833"/>
      <c r="AN92" s="1833"/>
      <c r="AO92" s="1833"/>
      <c r="AP92" s="1833"/>
      <c r="AQ92" s="1833"/>
      <c r="AR92" s="1833"/>
      <c r="AS92" s="1833"/>
      <c r="AT92" s="1833"/>
      <c r="AU92" s="1833"/>
      <c r="AV92" s="1833"/>
      <c r="AW92" s="1833"/>
      <c r="AX92" s="1833"/>
      <c r="AY92" s="1833"/>
      <c r="AZ92" s="1833"/>
      <c r="BA92" s="1833"/>
      <c r="BB92" s="1833"/>
      <c r="BC92" s="1833"/>
      <c r="BD92" s="1833"/>
      <c r="BE92" s="1833"/>
      <c r="BF92" s="1833"/>
    </row>
    <row s="1645" customFormat="1" customHeight="1" ht="11.25">
      <c r="A93" s="1176"/>
      <c r="B93" s="1176"/>
      <c r="C93" s="1176"/>
      <c r="D93" s="1170"/>
      <c r="E93" s="1180"/>
      <c r="F93" s="1839"/>
      <c r="G93" s="1840"/>
      <c r="H93" s="1840"/>
      <c r="I93" s="1776"/>
      <c r="J93" s="1776"/>
      <c r="K93" s="1841"/>
      <c r="L93" s="1776"/>
      <c r="M93" s="1840"/>
      <c r="N93" s="2518"/>
      <c r="O93" s="2601"/>
      <c r="P93" s="2522"/>
      <c r="Q93" s="2523"/>
      <c r="R93" s="2523"/>
      <c r="S93" s="2524"/>
      <c r="T93" s="2523"/>
      <c r="U93" s="2523"/>
      <c r="V93" s="2523"/>
      <c r="W93" s="2523"/>
      <c r="X93" s="2523"/>
      <c r="Y93" s="2523"/>
      <c r="Z93" s="1185"/>
      <c r="AA93" s="1186"/>
      <c r="AB93" s="1251" t="s">
        <v>2207</v>
      </c>
      <c r="AC93" s="1190"/>
      <c r="AD93" s="1190"/>
      <c r="AE93" s="1190"/>
      <c r="AF93" s="1843"/>
      <c r="AG93" s="1769"/>
      <c r="AH93" s="1769"/>
      <c r="AI93" s="1843"/>
      <c r="AJ93" s="1769"/>
      <c r="AK93" s="1997"/>
      <c r="AL93" s="1998"/>
      <c r="AM93" s="1833"/>
      <c r="AN93" s="1833"/>
      <c r="AO93" s="1833"/>
      <c r="AP93" s="1833"/>
      <c r="AQ93" s="1833"/>
      <c r="AR93" s="1833"/>
      <c r="AS93" s="1833"/>
      <c r="AT93" s="1833"/>
      <c r="AU93" s="1833"/>
      <c r="AV93" s="1833"/>
      <c r="AW93" s="1833"/>
      <c r="AX93" s="1833"/>
      <c r="AY93" s="1833"/>
      <c r="AZ93" s="1833"/>
      <c r="BA93" s="1833"/>
      <c r="BB93" s="1833"/>
      <c r="BC93" s="1833"/>
      <c r="BD93" s="1833"/>
      <c r="BE93" s="1833"/>
      <c r="BF93" s="1833"/>
    </row>
    <row r="95" s="1825" customFormat="1" customHeight="1" ht="11.25">
      <c r="A95" s="1825" t="s">
        <v>2208</v>
      </c>
    </row>
    <row r="97" s="1645" customFormat="1" customHeight="1" ht="11.25">
      <c r="A97" s="1176"/>
      <c r="B97" s="1176"/>
      <c r="C97" s="1176"/>
      <c r="D97" s="1170"/>
      <c r="E97" s="1180"/>
      <c r="F97" s="1840"/>
      <c r="G97" s="1840"/>
      <c r="H97" s="1840"/>
      <c r="I97" s="1840"/>
      <c r="J97" s="1840"/>
      <c r="K97" s="1840"/>
      <c r="L97" s="1840"/>
      <c r="M97" s="1840"/>
      <c r="N97" s="1840"/>
      <c r="O97" s="1840"/>
      <c r="P97" s="1840"/>
      <c r="Q97" s="1840"/>
      <c r="R97" s="1840"/>
      <c r="S97" s="1840"/>
      <c r="T97" s="1840"/>
      <c r="U97" s="1840"/>
      <c r="V97" s="1840"/>
      <c r="W97" s="1840"/>
      <c r="X97" s="1840"/>
      <c r="Y97" s="1840"/>
      <c r="Z97" s="1844"/>
      <c r="AA97" s="1824">
        <v>1</v>
      </c>
      <c r="AB97" s="1189"/>
      <c r="AC97" s="1179"/>
      <c r="AD97" s="1189">
        <f>AB97</f>
        <v>0</v>
      </c>
      <c r="AE97" s="1179"/>
      <c r="AF97" s="1841"/>
      <c r="AG97" s="1769"/>
      <c r="AH97" s="1769"/>
      <c r="AI97" s="1841"/>
      <c r="AJ97" s="1769"/>
      <c r="AK97" s="1997"/>
      <c r="AL97" s="1998"/>
      <c r="AM97" s="1833"/>
      <c r="AN97" s="1833"/>
      <c r="AO97" s="1833"/>
      <c r="AP97" s="1833"/>
      <c r="AQ97" s="1833"/>
      <c r="AR97" s="1833"/>
      <c r="AS97" s="1833"/>
      <c r="AT97" s="1833"/>
      <c r="AU97" s="1833"/>
      <c r="AV97" s="1833"/>
      <c r="AW97" s="1833"/>
      <c r="AX97" s="1833"/>
      <c r="AY97" s="1833"/>
      <c r="AZ97" s="1833"/>
      <c r="BA97" s="1833"/>
      <c r="BB97" s="1833"/>
      <c r="BC97" s="1833"/>
      <c r="BD97" s="1833"/>
      <c r="BE97" s="1833"/>
      <c r="BF97" s="1833"/>
    </row>
    <row r="99" s="1825" customFormat="1" customHeight="1" ht="11.25">
      <c r="A99" s="1825" t="s">
        <v>2209</v>
      </c>
    </row>
    <row r="101" s="1645" customFormat="1" customHeight="1" ht="11.25">
      <c r="A101" s="1176"/>
      <c r="B101" s="1176"/>
      <c r="C101" s="1176"/>
      <c r="D101" s="1170"/>
      <c r="E101" s="1180"/>
      <c r="F101" s="1839"/>
      <c r="G101" s="1840"/>
      <c r="H101" s="2525" t="s">
        <v>124</v>
      </c>
      <c r="I101" s="2526"/>
      <c r="J101" s="2495"/>
      <c r="K101" s="2527"/>
      <c r="L101" s="2117" t="s">
        <v>19</v>
      </c>
      <c r="M101" s="2118"/>
      <c r="N101" s="1996"/>
      <c r="O101" s="1187" t="s">
        <v>398</v>
      </c>
      <c r="P101" s="1188"/>
      <c r="Q101" s="1188"/>
      <c r="R101" s="1188"/>
      <c r="S101" s="1188"/>
      <c r="T101" s="1188"/>
      <c r="U101" s="1188"/>
      <c r="V101" s="1188"/>
      <c r="W101" s="1188"/>
      <c r="X101" s="1188"/>
      <c r="Y101" s="1188"/>
      <c r="Z101" s="1188"/>
      <c r="AA101" s="1188"/>
      <c r="AB101" s="1188"/>
      <c r="AC101" s="1188"/>
      <c r="AD101" s="1188"/>
      <c r="AE101" s="1188"/>
      <c r="AF101" s="2516"/>
      <c r="AG101" s="2517"/>
      <c r="AH101" s="2517"/>
      <c r="AI101" s="2516"/>
      <c r="AJ101" s="2517"/>
      <c r="AK101" s="2517"/>
      <c r="AL101" s="1998"/>
      <c r="AM101" s="1833"/>
      <c r="AN101" s="1833"/>
      <c r="AO101" s="1833"/>
      <c r="AP101" s="1833"/>
      <c r="AQ101" s="1833"/>
      <c r="AR101" s="1833"/>
      <c r="AS101" s="1833"/>
      <c r="AT101" s="1833"/>
      <c r="AU101" s="1833"/>
      <c r="AV101" s="1833"/>
      <c r="AW101" s="1833"/>
      <c r="AX101" s="1833"/>
      <c r="AY101" s="1833"/>
      <c r="AZ101" s="1833"/>
      <c r="BA101" s="1833"/>
      <c r="BB101" s="1833"/>
      <c r="BC101" s="1833"/>
      <c r="BD101" s="1833"/>
      <c r="BE101" s="1833"/>
      <c r="BF101" s="1833"/>
    </row>
    <row s="1645" customFormat="1" customHeight="1" ht="11.25">
      <c r="A102" s="1176"/>
      <c r="B102" s="1176"/>
      <c r="C102" s="1176"/>
      <c r="D102" s="1170"/>
      <c r="E102" s="1180"/>
      <c r="F102" s="1839"/>
      <c r="G102" s="1840"/>
      <c r="H102" s="2525"/>
      <c r="I102" s="2526"/>
      <c r="J102" s="2495"/>
      <c r="K102" s="2527"/>
      <c r="L102" s="2117"/>
      <c r="M102" s="2118"/>
      <c r="N102" s="2518"/>
      <c r="O102" s="2519">
        <v>1</v>
      </c>
      <c r="P102" s="2520" t="s">
        <v>19</v>
      </c>
      <c r="Q102" s="2523" t="s">
        <v>22</v>
      </c>
      <c r="R102" s="2523" t="s">
        <v>22</v>
      </c>
      <c r="S102" s="2523" t="s">
        <v>22</v>
      </c>
      <c r="T102" s="2523" t="s">
        <v>22</v>
      </c>
      <c r="U102" s="2523" t="s">
        <v>22</v>
      </c>
      <c r="V102" s="2523" t="s">
        <v>22</v>
      </c>
      <c r="W102" s="2523" t="s">
        <v>22</v>
      </c>
      <c r="X102" s="2523" t="s">
        <v>22</v>
      </c>
      <c r="Y102" s="2523"/>
      <c r="Z102" s="1185"/>
      <c r="AA102" s="1186"/>
      <c r="AB102" s="1186"/>
      <c r="AC102" s="1190"/>
      <c r="AD102" s="1190"/>
      <c r="AE102" s="1191"/>
      <c r="AF102" s="2516"/>
      <c r="AG102" s="2517"/>
      <c r="AH102" s="2517"/>
      <c r="AI102" s="2516"/>
      <c r="AJ102" s="2517"/>
      <c r="AK102" s="2517"/>
      <c r="AL102" s="1998"/>
      <c r="AM102" s="1833"/>
      <c r="AN102" s="1833"/>
      <c r="AO102" s="1833"/>
      <c r="AP102" s="1833"/>
      <c r="AQ102" s="1833"/>
      <c r="AR102" s="1833"/>
      <c r="AS102" s="1833"/>
      <c r="AT102" s="1833"/>
      <c r="AU102" s="1833"/>
      <c r="AV102" s="1833"/>
      <c r="AW102" s="1833"/>
      <c r="AX102" s="1833"/>
      <c r="AY102" s="1833"/>
      <c r="AZ102" s="1833"/>
      <c r="BA102" s="1833"/>
      <c r="BB102" s="1833"/>
      <c r="BC102" s="1833"/>
      <c r="BD102" s="1833"/>
      <c r="BE102" s="1833"/>
      <c r="BF102" s="1833"/>
    </row>
    <row s="1645" customFormat="1" customHeight="1" ht="11.25">
      <c r="A103" s="1176"/>
      <c r="B103" s="1176"/>
      <c r="C103" s="1176"/>
      <c r="D103" s="1170"/>
      <c r="E103" s="1180"/>
      <c r="F103" s="1839"/>
      <c r="G103" s="1840"/>
      <c r="H103" s="2525"/>
      <c r="I103" s="2526"/>
      <c r="J103" s="2495"/>
      <c r="K103" s="2527"/>
      <c r="L103" s="2117"/>
      <c r="M103" s="2118"/>
      <c r="N103" s="2518"/>
      <c r="O103" s="2519"/>
      <c r="P103" s="2521"/>
      <c r="Q103" s="2523"/>
      <c r="R103" s="2523"/>
      <c r="S103" s="2524"/>
      <c r="T103" s="2523"/>
      <c r="U103" s="2523"/>
      <c r="V103" s="2523"/>
      <c r="W103" s="2523"/>
      <c r="X103" s="2523"/>
      <c r="Y103" s="2523"/>
      <c r="Z103" s="1838"/>
      <c r="AA103" s="1804">
        <v>1</v>
      </c>
      <c r="AB103" s="1189"/>
      <c r="AC103" s="1179"/>
      <c r="AD103" s="1189">
        <f>AB103</f>
        <v>0</v>
      </c>
      <c r="AE103" s="1179"/>
      <c r="AF103" s="2516"/>
      <c r="AG103" s="2517"/>
      <c r="AH103" s="2517"/>
      <c r="AI103" s="2516"/>
      <c r="AJ103" s="2517"/>
      <c r="AK103" s="2517"/>
      <c r="AL103" s="1998"/>
      <c r="AM103" s="1833"/>
      <c r="AN103" s="1833"/>
      <c r="AO103" s="1833"/>
      <c r="AP103" s="1833"/>
      <c r="AQ103" s="1833"/>
      <c r="AR103" s="1833"/>
      <c r="AS103" s="1833"/>
      <c r="AT103" s="1833"/>
      <c r="AU103" s="1833"/>
      <c r="AV103" s="1833"/>
      <c r="AW103" s="1833"/>
      <c r="AX103" s="1833"/>
      <c r="AY103" s="1833"/>
      <c r="AZ103" s="1833"/>
      <c r="BA103" s="1833"/>
      <c r="BB103" s="1833"/>
      <c r="BC103" s="1833"/>
      <c r="BD103" s="1833"/>
      <c r="BE103" s="1833"/>
      <c r="BF103" s="1833"/>
    </row>
    <row s="1645" customFormat="1" customHeight="1" ht="11.25">
      <c r="A104" s="1176"/>
      <c r="B104" s="1176"/>
      <c r="C104" s="1176"/>
      <c r="D104" s="1170"/>
      <c r="E104" s="1180"/>
      <c r="F104" s="1839"/>
      <c r="G104" s="1840"/>
      <c r="H104" s="2525"/>
      <c r="I104" s="2526"/>
      <c r="J104" s="2495"/>
      <c r="K104" s="2527"/>
      <c r="L104" s="2117"/>
      <c r="M104" s="2118"/>
      <c r="N104" s="2518"/>
      <c r="O104" s="2519"/>
      <c r="P104" s="2522"/>
      <c r="Q104" s="2523"/>
      <c r="R104" s="2523"/>
      <c r="S104" s="2524"/>
      <c r="T104" s="2523"/>
      <c r="U104" s="2523"/>
      <c r="V104" s="2523"/>
      <c r="W104" s="2523"/>
      <c r="X104" s="2523"/>
      <c r="Y104" s="2523"/>
      <c r="Z104" s="1185"/>
      <c r="AA104" s="1186"/>
      <c r="AB104" s="1251" t="s">
        <v>2207</v>
      </c>
      <c r="AC104" s="1190"/>
      <c r="AD104" s="1190"/>
      <c r="AE104" s="1192"/>
      <c r="AF104" s="2516"/>
      <c r="AG104" s="2517"/>
      <c r="AH104" s="2517"/>
      <c r="AI104" s="2516"/>
      <c r="AJ104" s="2517"/>
      <c r="AK104" s="2517"/>
      <c r="AL104" s="1998"/>
      <c r="AM104" s="1833"/>
      <c r="AN104" s="1833"/>
      <c r="AO104" s="1833"/>
      <c r="AP104" s="1833"/>
      <c r="AQ104" s="1833"/>
      <c r="AR104" s="1833"/>
      <c r="AS104" s="1833"/>
      <c r="AT104" s="1833"/>
      <c r="AU104" s="1833"/>
      <c r="AV104" s="1833"/>
      <c r="AW104" s="1833"/>
      <c r="AX104" s="1833"/>
      <c r="AY104" s="1833"/>
      <c r="AZ104" s="1833"/>
      <c r="BA104" s="1833"/>
      <c r="BB104" s="1833"/>
      <c r="BC104" s="1833"/>
      <c r="BD104" s="1833"/>
      <c r="BE104" s="1833"/>
      <c r="BF104" s="1833"/>
    </row>
    <row s="1645" customFormat="1" customHeight="1" ht="11.25">
      <c r="A105" s="1176"/>
      <c r="B105" s="1176"/>
      <c r="C105" s="1176"/>
      <c r="D105" s="1170"/>
      <c r="E105" s="1180"/>
      <c r="F105" s="1839"/>
      <c r="G105" s="1840"/>
      <c r="H105" s="2525"/>
      <c r="I105" s="2526"/>
      <c r="J105" s="2495"/>
      <c r="K105" s="2527"/>
      <c r="L105" s="2117"/>
      <c r="M105" s="2118"/>
      <c r="N105" s="1185"/>
      <c r="O105" s="1186"/>
      <c r="P105" s="1178" t="s">
        <v>2210</v>
      </c>
      <c r="Q105" s="1186"/>
      <c r="R105" s="1186"/>
      <c r="S105" s="1186"/>
      <c r="T105" s="1186"/>
      <c r="U105" s="1186"/>
      <c r="V105" s="1186"/>
      <c r="W105" s="1186"/>
      <c r="X105" s="1186"/>
      <c r="Y105" s="1186"/>
      <c r="Z105" s="1186"/>
      <c r="AA105" s="1186"/>
      <c r="AB105" s="1186"/>
      <c r="AC105" s="1186"/>
      <c r="AD105" s="1186"/>
      <c r="AE105" s="1193"/>
      <c r="AF105" s="2516"/>
      <c r="AG105" s="2517"/>
      <c r="AH105" s="2517"/>
      <c r="AI105" s="2516"/>
      <c r="AJ105" s="2517"/>
      <c r="AK105" s="2517"/>
      <c r="AL105" s="1998"/>
      <c r="AM105" s="1833"/>
      <c r="AN105" s="1833"/>
      <c r="AO105" s="1833"/>
      <c r="AP105" s="1833"/>
      <c r="AQ105" s="1833"/>
      <c r="AR105" s="1833"/>
      <c r="AS105" s="1833"/>
      <c r="AT105" s="1833"/>
      <c r="AU105" s="1833"/>
      <c r="AV105" s="1833"/>
      <c r="AW105" s="1833"/>
      <c r="AX105" s="1833"/>
      <c r="AY105" s="1833"/>
      <c r="AZ105" s="1833"/>
      <c r="BA105" s="1833"/>
      <c r="BB105" s="1833"/>
      <c r="BC105" s="1833"/>
      <c r="BD105" s="1833"/>
      <c r="BE105" s="1833"/>
      <c r="BF105" s="1833"/>
    </row>
    <row r="107" s="1825" customFormat="1" customHeight="1" ht="11.25">
      <c r="A107" s="1825" t="s">
        <v>2211</v>
      </c>
    </row>
    <row customHeight="1" ht="17.25"/>
    <row s="935" customFormat="1" customHeight="1" ht="21">
      <c r="A109" s="1177"/>
      <c r="B109" s="950"/>
      <c r="D109" s="934"/>
      <c r="E109" s="949" t="s">
        <v>22</v>
      </c>
      <c r="F109" s="1131">
        <f>INDEX(IP_MAIN_LIST_NAME_IP,MATCH(A109,IP_MAIN_LIST_IP_ID,0))&amp;" ("&amp;INDEX(IP_MAIN_START_DATE,MATCH(A109,IP_MAIN_LIST_IP_ID,0))&amp;"-"&amp;INDEX(IP_MAIN_END_DATE,MATCH(A109,IP_MAIN_LIST_IP_ID,0))&amp;")"</f>
      </c>
      <c r="G109" s="1213"/>
      <c r="H109" s="1214"/>
      <c r="I109" s="1214"/>
      <c r="J109" s="1214"/>
      <c r="K109" s="1214"/>
      <c r="L109" s="1214"/>
      <c r="M109" s="1214"/>
      <c r="N109" s="1214"/>
      <c r="O109" s="1213"/>
      <c r="P109" s="1213"/>
      <c r="Q109" s="1213"/>
      <c r="R109" s="1213"/>
      <c r="S109" s="1213"/>
      <c r="T109" s="1213"/>
      <c r="U109" s="1215"/>
      <c r="V109" s="1215"/>
      <c r="W109" s="1215"/>
      <c r="X109" s="1215"/>
      <c r="Y109" s="1215"/>
      <c r="Z109" s="1215"/>
      <c r="AA109" s="1215"/>
      <c r="AB109" s="1213"/>
      <c r="AC109" s="1214"/>
      <c r="AD109" s="1214"/>
      <c r="AE109" s="1214"/>
      <c r="AF109" s="1214"/>
      <c r="AG109" s="1214"/>
      <c r="AH109" s="1214"/>
      <c r="AI109" s="1214"/>
      <c r="AJ109" s="1214"/>
      <c r="AK109" s="1214"/>
      <c r="AL109" s="1214"/>
      <c r="AM109" s="1214"/>
      <c r="AN109" s="1214"/>
      <c r="AO109" s="1214"/>
      <c r="AP109" s="1214"/>
      <c r="AQ109" s="1214"/>
      <c r="AR109" s="1214"/>
      <c r="AS109" s="1214"/>
      <c r="AT109" s="1214"/>
      <c r="AU109" s="1214"/>
      <c r="AV109" s="1214"/>
      <c r="AW109" s="1214"/>
      <c r="AX109" s="1214"/>
      <c r="AY109" s="1214"/>
      <c r="AZ109" s="1214"/>
      <c r="BA109" s="1214"/>
      <c r="BB109" s="1214"/>
      <c r="BC109" s="1214"/>
      <c r="BD109" s="1214"/>
      <c r="BE109" s="1214"/>
      <c r="BF109" s="1214"/>
      <c r="BG109" s="1214"/>
      <c r="BH109" s="1214"/>
      <c r="BI109" s="1214"/>
      <c r="BJ109" s="1214"/>
      <c r="BK109" s="1214"/>
      <c r="BL109" s="1214"/>
      <c r="BM109" s="1214"/>
      <c r="BN109" s="1214"/>
      <c r="BO109" s="1214"/>
      <c r="BP109" s="1214"/>
      <c r="BQ109" s="1214"/>
      <c r="BR109" s="1214"/>
      <c r="BS109" s="1214"/>
      <c r="BT109" s="1214"/>
      <c r="BU109" s="1214"/>
      <c r="BV109" s="1214"/>
      <c r="BW109" s="1214"/>
      <c r="BX109" s="1214"/>
      <c r="BY109" s="1214"/>
      <c r="BZ109" s="1214"/>
      <c r="CA109" s="1214"/>
      <c r="CB109" s="1214"/>
      <c r="CC109" s="1214"/>
      <c r="CD109" s="1214"/>
      <c r="CE109" s="1214"/>
      <c r="CF109" s="1214"/>
      <c r="CG109" s="1214"/>
      <c r="CH109" s="1214"/>
      <c r="CI109" s="1214"/>
      <c r="CJ109" s="1214"/>
      <c r="CK109" s="1214"/>
      <c r="CL109" s="1216"/>
      <c r="CM109" s="1216"/>
      <c r="CN109" s="1216"/>
      <c r="CO109" s="1216"/>
      <c r="CP109" s="1216"/>
      <c r="CQ109" s="1216"/>
      <c r="CR109" s="1216"/>
      <c r="CS109" s="1216"/>
      <c r="CT109" s="1216"/>
      <c r="CU109" s="1216"/>
      <c r="CV109" s="1216"/>
      <c r="CW109" s="1216"/>
      <c r="CX109" s="1216"/>
      <c r="CY109" s="1216"/>
      <c r="CZ109" s="1216"/>
      <c r="DA109" s="1216"/>
      <c r="DB109" s="1216"/>
      <c r="DC109" s="1216"/>
      <c r="DD109" s="1216"/>
      <c r="DE109" s="1216"/>
      <c r="DF109" s="1216"/>
      <c r="DG109" s="1216"/>
      <c r="DH109" s="1216"/>
      <c r="DI109" s="1216"/>
      <c r="DJ109" s="1216"/>
      <c r="DK109" s="1216"/>
      <c r="DL109" s="1216"/>
      <c r="DM109" s="1216"/>
      <c r="DN109" s="1216"/>
      <c r="DO109" s="1216"/>
      <c r="DP109" s="1216"/>
      <c r="DQ109" s="1216"/>
      <c r="DR109" s="1216"/>
      <c r="DS109" s="1216"/>
      <c r="DT109" s="1216"/>
      <c r="DU109" s="1216"/>
      <c r="DV109" s="1216"/>
      <c r="DW109" s="1216"/>
      <c r="DX109" s="1216"/>
      <c r="DY109" s="1216"/>
      <c r="DZ109" s="1216"/>
      <c r="EA109" s="1216"/>
      <c r="EB109" s="1216"/>
      <c r="EC109" s="1216"/>
      <c r="ED109" s="1216"/>
      <c r="EE109" s="1216"/>
      <c r="EF109" s="1216"/>
      <c r="EG109" s="1216"/>
      <c r="EH109" s="1216"/>
      <c r="EI109" s="1216"/>
      <c r="EJ109" s="1216"/>
      <c r="EK109" s="1216"/>
      <c r="EL109" s="1216"/>
      <c r="EM109" s="1216"/>
      <c r="EN109" s="1216"/>
      <c r="EO109" s="1216"/>
      <c r="EP109" s="1216"/>
      <c r="EQ109" s="1216"/>
      <c r="ER109" s="1216"/>
      <c r="ES109" s="1216"/>
      <c r="ET109" s="1216"/>
      <c r="EU109" s="1216"/>
      <c r="EV109" s="1216"/>
      <c r="EW109" s="1216"/>
      <c r="EX109" s="1216"/>
      <c r="EY109" s="1216"/>
      <c r="EZ109" s="1216"/>
      <c r="FA109" s="1216"/>
      <c r="FB109" s="1216"/>
      <c r="FC109" s="1216"/>
      <c r="FD109" s="1216"/>
      <c r="FE109" s="1216"/>
      <c r="FF109" s="1216"/>
      <c r="FG109" s="1216"/>
      <c r="FH109" s="1216"/>
      <c r="FI109" s="1216"/>
      <c r="FJ109" s="1216"/>
      <c r="FK109" s="1216"/>
      <c r="FL109" s="1216"/>
      <c r="FM109" s="1216"/>
      <c r="FN109" s="1216"/>
      <c r="FO109" s="1216"/>
      <c r="FP109" s="1216"/>
      <c r="FQ109" s="1216"/>
      <c r="FR109" s="1216"/>
      <c r="FS109" s="1216"/>
      <c r="FT109" s="1216"/>
      <c r="FU109" s="1216"/>
      <c r="FV109" s="1217"/>
      <c r="FW109" s="1211"/>
      <c r="FX109" s="1212"/>
    </row>
    <row s="935" customFormat="1" customHeight="1" ht="24.75">
      <c r="B110" s="933"/>
      <c r="C110" s="934"/>
      <c r="D110" s="934"/>
      <c r="E110" s="1845"/>
      <c r="F110" s="1218">
        <v>1</v>
      </c>
      <c r="G110" s="1219"/>
      <c r="H110" s="1220"/>
      <c r="I110" s="1992"/>
      <c r="J110" s="1221"/>
      <c r="K110" s="1221"/>
      <c r="L110" s="1221"/>
      <c r="M110" s="1221"/>
      <c r="N110" s="1221"/>
      <c r="O110" s="1222"/>
      <c r="P110" s="1222"/>
      <c r="Q110" s="1222"/>
      <c r="R110" s="1222"/>
      <c r="S110" s="1222"/>
      <c r="T110" s="1222"/>
      <c r="U110" s="1222"/>
      <c r="V110" s="1222"/>
      <c r="W110" s="1222"/>
      <c r="X110" s="1222"/>
      <c r="Y110" s="1222"/>
      <c r="Z110" s="1222"/>
      <c r="AA110" s="1222"/>
      <c r="AB110" s="1222"/>
      <c r="AC110" s="1221"/>
      <c r="AD110" s="1221"/>
      <c r="AE110" s="1221"/>
      <c r="AF110" s="1221"/>
      <c r="AG110" s="1221"/>
      <c r="AH110" s="1221"/>
      <c r="AI110" s="1221"/>
      <c r="AJ110" s="1221"/>
      <c r="AK110" s="1221"/>
      <c r="AL110" s="1221"/>
      <c r="AM110" s="1221"/>
      <c r="AN110" s="1221"/>
      <c r="AO110" s="1221"/>
      <c r="AP110" s="1221"/>
      <c r="AQ110" s="1221"/>
      <c r="AR110" s="1221"/>
      <c r="AS110" s="1221"/>
      <c r="AT110" s="1221"/>
      <c r="AU110" s="1221"/>
      <c r="AV110" s="1221"/>
      <c r="AW110" s="1221"/>
      <c r="AX110" s="1221"/>
      <c r="AY110" s="1221"/>
      <c r="AZ110" s="1221"/>
      <c r="BA110" s="1221"/>
      <c r="BB110" s="1221"/>
      <c r="BC110" s="1221"/>
      <c r="BD110" s="1221"/>
      <c r="BE110" s="1221"/>
      <c r="BF110" s="1221"/>
      <c r="BG110" s="1221"/>
      <c r="BH110" s="1221"/>
      <c r="BI110" s="1221"/>
      <c r="BJ110" s="1221"/>
      <c r="BK110" s="1221"/>
      <c r="BL110" s="1221"/>
      <c r="BM110" s="1221"/>
      <c r="BN110" s="1221"/>
      <c r="BO110" s="1221"/>
      <c r="BP110" s="1221"/>
      <c r="BQ110" s="1221"/>
      <c r="BR110" s="1221"/>
      <c r="BS110" s="1221"/>
      <c r="BT110" s="1222"/>
      <c r="BU110" s="1222"/>
      <c r="BV110" s="1222"/>
      <c r="BW110" s="1222"/>
      <c r="BX110" s="1222"/>
      <c r="BY110" s="1222"/>
      <c r="BZ110" s="1222"/>
      <c r="CA110" s="1222"/>
      <c r="CB110" s="1222"/>
      <c r="CC110" s="1222"/>
      <c r="CD110" s="1222"/>
      <c r="CE110" s="1222"/>
      <c r="CF110" s="1222"/>
      <c r="CG110" s="1222"/>
      <c r="CH110" s="1222"/>
      <c r="CI110" s="1222"/>
      <c r="CJ110" s="1222"/>
      <c r="CK110" s="1222"/>
      <c r="CL110" s="1221"/>
      <c r="CM110" s="1221"/>
      <c r="CN110" s="1221"/>
      <c r="CO110" s="1221"/>
      <c r="CP110" s="1221"/>
      <c r="CQ110" s="1221"/>
      <c r="CR110" s="1221"/>
      <c r="CS110" s="1221"/>
      <c r="CT110" s="1221"/>
      <c r="CU110" s="1221"/>
      <c r="CV110" s="1221"/>
      <c r="CW110" s="1221"/>
      <c r="CX110" s="1221"/>
      <c r="CY110" s="1222"/>
      <c r="CZ110" s="1222"/>
      <c r="DA110" s="1222"/>
      <c r="DB110" s="1222"/>
      <c r="DC110" s="1222"/>
      <c r="DD110" s="1222"/>
      <c r="DE110" s="1222"/>
      <c r="DF110" s="1222"/>
      <c r="DG110" s="1222"/>
      <c r="DH110" s="1222"/>
      <c r="DI110" s="1222"/>
      <c r="DJ110" s="1222"/>
      <c r="DK110" s="1221"/>
      <c r="DL110" s="1221"/>
      <c r="DM110" s="1221"/>
      <c r="DN110" s="1221"/>
      <c r="DO110" s="1221"/>
      <c r="DP110" s="1221"/>
      <c r="DQ110" s="1221"/>
      <c r="DR110" s="1221"/>
      <c r="DS110" s="1221"/>
      <c r="DT110" s="1221"/>
      <c r="DU110" s="1221"/>
      <c r="DV110" s="1221"/>
      <c r="DW110" s="1221"/>
      <c r="DX110" s="1221"/>
      <c r="DY110" s="1221"/>
      <c r="DZ110" s="1221"/>
      <c r="EA110" s="1221"/>
      <c r="EB110" s="1221"/>
      <c r="EC110" s="1221"/>
      <c r="ED110" s="1221"/>
      <c r="EE110" s="1221"/>
      <c r="EF110" s="1221"/>
      <c r="EG110" s="1221"/>
      <c r="EH110" s="1221"/>
      <c r="EI110" s="1221"/>
      <c r="EJ110" s="1221"/>
      <c r="EK110" s="1221"/>
      <c r="EL110" s="1221"/>
      <c r="EM110" s="1221"/>
      <c r="EN110" s="1221"/>
      <c r="EO110" s="1221"/>
      <c r="EP110" s="1221"/>
      <c r="EQ110" s="1221"/>
      <c r="ER110" s="1221"/>
      <c r="ES110" s="1221"/>
      <c r="ET110" s="1221"/>
      <c r="EU110" s="1221"/>
      <c r="EV110" s="1221"/>
      <c r="EW110" s="1221"/>
      <c r="EX110" s="1221"/>
      <c r="EY110" s="1221"/>
      <c r="EZ110" s="1221"/>
      <c r="FA110" s="1221"/>
      <c r="FB110" s="1221"/>
      <c r="FC110" s="1221"/>
      <c r="FD110" s="1221"/>
      <c r="FE110" s="1221"/>
      <c r="FF110" s="1221"/>
      <c r="FG110" s="1221"/>
      <c r="FH110" s="1221"/>
      <c r="FI110" s="1221"/>
      <c r="FJ110" s="1221"/>
      <c r="FK110" s="1221"/>
      <c r="FL110" s="1221"/>
      <c r="FM110" s="1221"/>
      <c r="FN110" s="1221"/>
      <c r="FO110" s="1221"/>
      <c r="FP110" s="1221"/>
      <c r="FQ110" s="1221"/>
      <c r="FR110" s="1221"/>
      <c r="FS110" s="1221"/>
      <c r="FT110" s="1221"/>
      <c r="FU110" s="1221"/>
      <c r="FV110" s="1221"/>
      <c r="FW110" s="1221"/>
      <c r="FX110" s="1212"/>
    </row>
    <row s="935" customFormat="1" customHeight="1" ht="12">
      <c r="A111" s="934"/>
      <c r="B111" s="933"/>
      <c r="C111" s="934"/>
      <c r="D111" s="934"/>
      <c r="E111" s="934"/>
      <c r="F111" s="1223"/>
      <c r="G111" s="1810" t="s">
        <v>2212</v>
      </c>
      <c r="H111" s="1224"/>
      <c r="I111" s="1224"/>
      <c r="J111" s="1224"/>
      <c r="K111" s="1224"/>
      <c r="L111" s="1224"/>
      <c r="M111" s="1224"/>
      <c r="N111" s="1224"/>
      <c r="O111" s="1224"/>
      <c r="P111" s="1224"/>
      <c r="Q111" s="1224"/>
      <c r="R111" s="1224"/>
      <c r="S111" s="1224"/>
      <c r="T111" s="1224"/>
      <c r="U111" s="1224"/>
      <c r="V111" s="1224"/>
      <c r="W111" s="1224"/>
      <c r="X111" s="1224"/>
      <c r="Y111" s="1224"/>
      <c r="Z111" s="1224"/>
      <c r="AA111" s="1224"/>
      <c r="AB111" s="1224"/>
      <c r="AC111" s="1224"/>
      <c r="AD111" s="1224"/>
      <c r="AE111" s="1224"/>
      <c r="AF111" s="1224"/>
      <c r="AG111" s="1224"/>
      <c r="AH111" s="1224"/>
      <c r="AI111" s="1224"/>
      <c r="AJ111" s="1224"/>
      <c r="AK111" s="1224"/>
      <c r="AL111" s="1224"/>
      <c r="AM111" s="1224"/>
      <c r="AN111" s="1224"/>
      <c r="AO111" s="1224"/>
      <c r="AP111" s="1224"/>
      <c r="AQ111" s="1224"/>
      <c r="AR111" s="1224"/>
      <c r="AS111" s="1224"/>
      <c r="AT111" s="1224"/>
      <c r="AU111" s="1224"/>
      <c r="AV111" s="1224"/>
      <c r="AW111" s="1224"/>
      <c r="AX111" s="1224"/>
      <c r="AY111" s="1224"/>
      <c r="AZ111" s="1224"/>
      <c r="BA111" s="1224"/>
      <c r="BB111" s="1224"/>
      <c r="BC111" s="1224"/>
      <c r="BD111" s="1224"/>
      <c r="BE111" s="1224"/>
      <c r="BF111" s="1224"/>
      <c r="BG111" s="1224"/>
      <c r="BH111" s="1224"/>
      <c r="BI111" s="1224"/>
      <c r="BJ111" s="1224"/>
      <c r="BK111" s="1224"/>
      <c r="BL111" s="1224"/>
      <c r="BM111" s="1224"/>
      <c r="BN111" s="1224"/>
      <c r="BO111" s="1224"/>
      <c r="BP111" s="1224"/>
      <c r="BQ111" s="1224"/>
      <c r="BR111" s="1224"/>
      <c r="BS111" s="1224"/>
      <c r="BT111" s="1224"/>
      <c r="BU111" s="1224"/>
      <c r="BV111" s="1224"/>
      <c r="BW111" s="1224"/>
      <c r="BX111" s="1224"/>
      <c r="BY111" s="1224"/>
      <c r="BZ111" s="1224"/>
      <c r="CA111" s="1224"/>
      <c r="CB111" s="1224"/>
      <c r="CC111" s="1224"/>
      <c r="CD111" s="1224"/>
      <c r="CE111" s="1224"/>
      <c r="CF111" s="1224"/>
      <c r="CG111" s="1224"/>
      <c r="CH111" s="1224"/>
      <c r="CI111" s="1224"/>
      <c r="CJ111" s="1224"/>
      <c r="CK111" s="1224"/>
      <c r="CL111" s="1224"/>
      <c r="CM111" s="1224"/>
      <c r="CN111" s="1224"/>
      <c r="CO111" s="1224"/>
      <c r="CP111" s="1224"/>
      <c r="CQ111" s="1224"/>
      <c r="CR111" s="1224"/>
      <c r="CS111" s="1224"/>
      <c r="CT111" s="1224"/>
      <c r="CU111" s="1224"/>
      <c r="CV111" s="1224"/>
      <c r="CW111" s="1224"/>
      <c r="CX111" s="1224"/>
      <c r="CY111" s="1224"/>
      <c r="CZ111" s="1224"/>
      <c r="DA111" s="1224"/>
      <c r="DB111" s="1224"/>
      <c r="DC111" s="1224"/>
      <c r="DD111" s="1224"/>
      <c r="DE111" s="1224"/>
      <c r="DF111" s="1224"/>
      <c r="DG111" s="1224"/>
      <c r="DH111" s="1224"/>
      <c r="DI111" s="1224"/>
      <c r="DJ111" s="1224"/>
      <c r="DK111" s="1224"/>
      <c r="DL111" s="1224"/>
      <c r="DM111" s="1224"/>
      <c r="DN111" s="1224"/>
      <c r="DO111" s="1224"/>
      <c r="DP111" s="1224"/>
      <c r="DQ111" s="1224"/>
      <c r="DR111" s="1224"/>
      <c r="DS111" s="1224"/>
      <c r="DT111" s="1224"/>
      <c r="DU111" s="1224"/>
      <c r="DV111" s="1224"/>
      <c r="DW111" s="1224"/>
      <c r="DX111" s="1224"/>
      <c r="DY111" s="1224"/>
      <c r="DZ111" s="1224"/>
      <c r="EA111" s="1224"/>
      <c r="EB111" s="1224"/>
      <c r="EC111" s="1224"/>
      <c r="ED111" s="1224"/>
      <c r="EE111" s="1224"/>
      <c r="EF111" s="1224"/>
      <c r="EG111" s="1224"/>
      <c r="EH111" s="1224"/>
      <c r="EI111" s="1224"/>
      <c r="EJ111" s="1224"/>
      <c r="EK111" s="1224"/>
      <c r="EL111" s="1224"/>
      <c r="EM111" s="1224"/>
      <c r="EN111" s="1224"/>
      <c r="EO111" s="1224"/>
      <c r="EP111" s="1224"/>
      <c r="EQ111" s="1224"/>
      <c r="ER111" s="1224"/>
      <c r="ES111" s="1224"/>
      <c r="ET111" s="1224"/>
      <c r="EU111" s="1224"/>
      <c r="EV111" s="1224"/>
      <c r="EW111" s="1224"/>
      <c r="EX111" s="1224"/>
      <c r="EY111" s="1224"/>
      <c r="EZ111" s="1224"/>
      <c r="FA111" s="1224"/>
      <c r="FB111" s="1224"/>
      <c r="FC111" s="1224"/>
      <c r="FD111" s="1224"/>
      <c r="FE111" s="1224"/>
      <c r="FF111" s="1224"/>
      <c r="FG111" s="1224"/>
      <c r="FH111" s="1224"/>
      <c r="FI111" s="1224"/>
      <c r="FJ111" s="1224"/>
      <c r="FK111" s="1224"/>
      <c r="FL111" s="1224"/>
      <c r="FM111" s="1224"/>
      <c r="FN111" s="1224"/>
      <c r="FO111" s="1224"/>
      <c r="FP111" s="1224"/>
      <c r="FQ111" s="1224"/>
      <c r="FR111" s="1224"/>
      <c r="FS111" s="1224"/>
      <c r="FT111" s="1224"/>
      <c r="FU111" s="1224"/>
      <c r="FV111" s="1224"/>
      <c r="FW111" s="1225"/>
      <c r="FX111" s="1226"/>
      <c r="FY111" s="951"/>
      <c r="FZ111" s="951"/>
      <c r="GA111" s="951"/>
      <c r="GB111" s="951"/>
    </row>
    <row r="113" s="1825" customFormat="1" customHeight="1" ht="11.25">
      <c r="A113" s="1825" t="s">
        <v>2213</v>
      </c>
    </row>
    <row r="115" s="1860" customFormat="1" customHeight="1" ht="15">
      <c r="A115" s="633"/>
      <c r="B115" s="634"/>
      <c r="C115" s="634"/>
      <c r="D115" s="2588" t="s">
        <v>124</v>
      </c>
      <c r="E115" s="2387" t="s">
        <v>120</v>
      </c>
      <c r="F115" s="2388"/>
      <c r="G115" s="2389"/>
      <c r="H115" s="2393" t="str">
        <f>IF(A115="","",INDEX(DIFFERENTIATION_UNMERGE_VD,MATCH(A115,DIFFERENTIATION_ID_DIFF,0)))</f>
        <v/>
      </c>
      <c r="I115" s="2393"/>
      <c r="J115" s="2393"/>
      <c r="K115" s="2393"/>
      <c r="L115" s="2393"/>
      <c r="M115" s="2393"/>
      <c r="N115" s="2393"/>
      <c r="O115" s="2393"/>
      <c r="P115" s="2393"/>
      <c r="Q115" s="2393"/>
      <c r="R115" s="2393"/>
      <c r="S115" s="729"/>
      <c r="T115" s="726"/>
      <c r="U115" s="635"/>
      <c r="V115" s="635"/>
      <c r="W115" s="636"/>
      <c r="X115" s="636"/>
      <c r="Y115" s="636"/>
      <c r="Z115" s="636"/>
      <c r="AA115" s="637"/>
      <c r="AB115" s="638"/>
      <c r="AC115" s="2385"/>
      <c r="AD115" s="639"/>
      <c r="AE115" s="640" t="s">
        <v>22</v>
      </c>
      <c r="AF115" s="640"/>
      <c r="AG115" s="641" t="s">
        <v>631</v>
      </c>
      <c r="AH115" s="642">
        <v>3</v>
      </c>
      <c r="AI115" s="635"/>
      <c r="AJ115" s="635"/>
      <c r="AK115" s="635"/>
      <c r="AL115" s="635"/>
      <c r="AM115" s="635"/>
      <c r="AN115" s="635"/>
      <c r="AO115" s="635"/>
      <c r="AP115" s="635"/>
      <c r="AQ115" s="635"/>
      <c r="AR115" s="635"/>
      <c r="AS115" s="635"/>
      <c r="AT115" s="635"/>
      <c r="AU115" s="635"/>
      <c r="AV115" s="635"/>
      <c r="AW115" s="635"/>
      <c r="AX115" s="635"/>
      <c r="AY115" s="635"/>
      <c r="AZ115" s="635"/>
      <c r="BA115" s="635"/>
      <c r="BB115" s="635"/>
      <c r="BC115" s="635"/>
      <c r="BD115" s="635"/>
      <c r="BE115" s="635"/>
      <c r="BF115" s="635"/>
      <c r="BG115" s="635"/>
      <c r="BH115" s="635"/>
      <c r="BI115" s="635"/>
      <c r="BJ115" s="635"/>
      <c r="BK115" s="635"/>
      <c r="BL115" s="635"/>
      <c r="BM115" s="635"/>
      <c r="BN115" s="635"/>
      <c r="BO115" s="635"/>
      <c r="BP115" s="635"/>
      <c r="BQ115" s="635"/>
      <c r="BR115" s="635"/>
      <c r="BS115" s="635"/>
      <c r="BT115" s="635"/>
      <c r="BU115" s="635"/>
      <c r="BV115" s="636"/>
      <c r="BW115" s="636"/>
      <c r="BX115" s="636"/>
      <c r="BY115" s="636"/>
      <c r="BZ115" s="636"/>
      <c r="CA115" s="636"/>
      <c r="CB115" s="636"/>
      <c r="CC115" s="636"/>
      <c r="CD115" s="636"/>
      <c r="CE115" s="636"/>
    </row>
    <row s="1860" customFormat="1" customHeight="1" ht="15">
      <c r="A116" s="633"/>
      <c r="B116" s="634"/>
      <c r="C116" s="634"/>
      <c r="D116" s="2589"/>
      <c r="E116" s="2387" t="s">
        <v>586</v>
      </c>
      <c r="F116" s="2388"/>
      <c r="G116" s="2389"/>
      <c r="H116" s="2393" t="str">
        <f>IF(A115="","",INDEX(DIFFERENTIATION_UNMERGE_AREA,MATCH(A115,DIFFERENTIATION_ID_DIFF,0)))</f>
        <v/>
      </c>
      <c r="I116" s="2393"/>
      <c r="J116" s="2393"/>
      <c r="K116" s="2393"/>
      <c r="L116" s="2393"/>
      <c r="M116" s="2393"/>
      <c r="N116" s="2393"/>
      <c r="O116" s="2393"/>
      <c r="P116" s="2393"/>
      <c r="Q116" s="2393"/>
      <c r="R116" s="2393"/>
      <c r="S116" s="729"/>
      <c r="T116" s="726"/>
      <c r="U116" s="635"/>
      <c r="V116" s="635"/>
      <c r="W116" s="636"/>
      <c r="X116" s="636"/>
      <c r="Y116" s="636"/>
      <c r="Z116" s="636"/>
      <c r="AA116" s="637"/>
      <c r="AB116" s="638"/>
      <c r="AC116" s="2385"/>
      <c r="AD116" s="639"/>
      <c r="AE116" s="640"/>
      <c r="AF116" s="640"/>
      <c r="AG116" s="641"/>
      <c r="AH116" s="642"/>
      <c r="AI116" s="635"/>
      <c r="AJ116" s="635"/>
      <c r="AK116" s="635"/>
      <c r="AL116" s="635"/>
      <c r="AM116" s="635"/>
      <c r="AN116" s="635"/>
      <c r="AO116" s="635"/>
      <c r="AP116" s="635"/>
      <c r="AQ116" s="635"/>
      <c r="AR116" s="635"/>
      <c r="AS116" s="635"/>
      <c r="AT116" s="635"/>
      <c r="AU116" s="635"/>
      <c r="AV116" s="635"/>
      <c r="AW116" s="635"/>
      <c r="AX116" s="635"/>
      <c r="AY116" s="635"/>
      <c r="AZ116" s="635"/>
      <c r="BA116" s="635"/>
      <c r="BB116" s="635"/>
      <c r="BC116" s="635"/>
      <c r="BD116" s="635"/>
      <c r="BE116" s="635"/>
      <c r="BF116" s="635"/>
      <c r="BG116" s="635"/>
      <c r="BH116" s="635"/>
      <c r="BI116" s="635"/>
      <c r="BJ116" s="635"/>
      <c r="BK116" s="635"/>
      <c r="BL116" s="635"/>
      <c r="BM116" s="635"/>
      <c r="BN116" s="635"/>
      <c r="BO116" s="635"/>
      <c r="BP116" s="635"/>
      <c r="BQ116" s="635"/>
      <c r="BR116" s="635"/>
      <c r="BS116" s="635"/>
      <c r="BT116" s="635"/>
      <c r="BU116" s="635"/>
      <c r="BV116" s="636"/>
      <c r="BW116" s="636"/>
      <c r="BX116" s="636"/>
      <c r="BY116" s="636"/>
      <c r="BZ116" s="636"/>
      <c r="CA116" s="636"/>
      <c r="CB116" s="636"/>
      <c r="CC116" s="636"/>
      <c r="CD116" s="636"/>
      <c r="CE116" s="636"/>
    </row>
    <row s="1860" customFormat="1" customHeight="1" ht="15">
      <c r="A117" s="633"/>
      <c r="B117" s="634"/>
      <c r="C117" s="634"/>
      <c r="D117" s="2589"/>
      <c r="E117" s="2387" t="s">
        <v>587</v>
      </c>
      <c r="F117" s="2388"/>
      <c r="G117" s="2389"/>
      <c r="H117" s="2393" t="str">
        <f>IF(A115="","",INDEX(DIFFERENTIATION_UNMERGE_SYSTEM,MATCH(A115,DIFFERENTIATION_ID_DIFF,0)))</f>
        <v/>
      </c>
      <c r="I117" s="2393"/>
      <c r="J117" s="2393"/>
      <c r="K117" s="2393"/>
      <c r="L117" s="2393"/>
      <c r="M117" s="2393"/>
      <c r="N117" s="2393"/>
      <c r="O117" s="2393"/>
      <c r="P117" s="2393"/>
      <c r="Q117" s="2393"/>
      <c r="R117" s="2393"/>
      <c r="S117" s="729"/>
      <c r="T117" s="726"/>
      <c r="U117" s="635"/>
      <c r="V117" s="635"/>
      <c r="W117" s="636"/>
      <c r="X117" s="636"/>
      <c r="Y117" s="636"/>
      <c r="Z117" s="636"/>
      <c r="AA117" s="637"/>
      <c r="AB117" s="638"/>
      <c r="AC117" s="2385"/>
      <c r="AD117" s="639"/>
      <c r="AE117" s="640"/>
      <c r="AF117" s="640"/>
      <c r="AG117" s="641"/>
      <c r="AH117" s="642"/>
      <c r="AI117" s="635"/>
      <c r="AJ117" s="635"/>
      <c r="AK117" s="635"/>
      <c r="AL117" s="635"/>
      <c r="AM117" s="635"/>
      <c r="AN117" s="635"/>
      <c r="AO117" s="635"/>
      <c r="AP117" s="635"/>
      <c r="AQ117" s="635"/>
      <c r="AR117" s="635"/>
      <c r="AS117" s="635"/>
      <c r="AT117" s="635"/>
      <c r="AU117" s="635"/>
      <c r="AV117" s="635"/>
      <c r="AW117" s="635"/>
      <c r="AX117" s="635"/>
      <c r="AY117" s="635"/>
      <c r="AZ117" s="635"/>
      <c r="BA117" s="635"/>
      <c r="BB117" s="635"/>
      <c r="BC117" s="635"/>
      <c r="BD117" s="635"/>
      <c r="BE117" s="635"/>
      <c r="BF117" s="635"/>
      <c r="BG117" s="635"/>
      <c r="BH117" s="635"/>
      <c r="BI117" s="635"/>
      <c r="BJ117" s="635"/>
      <c r="BK117" s="635"/>
      <c r="BL117" s="635"/>
      <c r="BM117" s="635"/>
      <c r="BN117" s="635"/>
      <c r="BO117" s="635"/>
      <c r="BP117" s="635"/>
      <c r="BQ117" s="635"/>
      <c r="BR117" s="635"/>
      <c r="BS117" s="635"/>
      <c r="BT117" s="635"/>
      <c r="BU117" s="635"/>
      <c r="BV117" s="636"/>
      <c r="BW117" s="636"/>
      <c r="BX117" s="636"/>
      <c r="BY117" s="636"/>
      <c r="BZ117" s="636"/>
      <c r="CA117" s="636"/>
      <c r="CB117" s="636"/>
      <c r="CC117" s="636"/>
      <c r="CD117" s="636"/>
      <c r="CE117" s="636"/>
    </row>
    <row s="1860" customFormat="1" customHeight="1" ht="24.75">
      <c r="A118" s="1816"/>
      <c r="B118" s="1170"/>
      <c r="C118" s="422"/>
      <c r="D118" s="2589"/>
      <c r="E118" s="2386" t="s">
        <v>632</v>
      </c>
      <c r="F118" s="2386"/>
      <c r="G118" s="2386"/>
      <c r="H118" s="2386"/>
      <c r="I118" s="2386"/>
      <c r="J118" s="2386"/>
      <c r="K118" s="2386"/>
      <c r="L118" s="2386"/>
      <c r="M118" s="2386"/>
      <c r="N118" s="2386"/>
      <c r="O118" s="2386"/>
      <c r="P118" s="2386"/>
      <c r="Q118" s="568">
        <f>SUMIF(T119:T120,"i",Q119:Q120)</f>
        <v>0</v>
      </c>
      <c r="R118" s="1027"/>
      <c r="S118" s="1808" t="s">
        <v>633</v>
      </c>
      <c r="T118" s="727" t="s">
        <v>634</v>
      </c>
      <c r="U118" s="2384">
        <v>1</v>
      </c>
      <c r="V118" s="2384" t="s">
        <v>597</v>
      </c>
      <c r="W118" s="1170"/>
      <c r="X118" s="1170"/>
      <c r="Y118" s="1170"/>
      <c r="Z118" s="1170"/>
      <c r="AA118" s="1646"/>
      <c r="AB118" s="1170"/>
      <c r="AC118" s="2385"/>
      <c r="AD118" s="639"/>
      <c r="AE118" s="1170"/>
      <c r="AF118" s="1170"/>
      <c r="AG118" s="1646"/>
      <c r="AH118" s="1646"/>
      <c r="AI118" s="1646"/>
      <c r="AJ118" s="1646"/>
      <c r="AK118" s="1646"/>
      <c r="AL118" s="1646"/>
      <c r="AM118" s="1646"/>
      <c r="AN118" s="1646"/>
      <c r="AO118" s="1646"/>
      <c r="AP118" s="1646"/>
      <c r="AQ118" s="1646"/>
      <c r="AR118" s="1646"/>
      <c r="AS118" s="1646"/>
      <c r="AT118" s="1646"/>
      <c r="AU118" s="1646"/>
      <c r="AV118" s="1646"/>
      <c r="AW118" s="1646"/>
      <c r="AX118" s="1646"/>
      <c r="AY118" s="1646"/>
      <c r="AZ118" s="1646"/>
      <c r="BA118" s="1646"/>
      <c r="BB118" s="1646"/>
      <c r="BC118" s="1646"/>
      <c r="BD118" s="1646"/>
      <c r="BE118" s="1646"/>
      <c r="BF118" s="1646"/>
      <c r="BG118" s="1646"/>
      <c r="BH118" s="1646"/>
      <c r="BI118" s="1646"/>
      <c r="BJ118" s="1646"/>
      <c r="BK118" s="1646"/>
      <c r="BL118" s="1646"/>
      <c r="BM118" s="1646"/>
      <c r="BN118" s="1646"/>
      <c r="BO118" s="1646"/>
      <c r="BP118" s="1646"/>
      <c r="BQ118" s="1646"/>
      <c r="BR118" s="1646"/>
      <c r="BS118" s="1646"/>
      <c r="BT118" s="1646"/>
      <c r="BU118" s="1646"/>
      <c r="BV118" s="1170"/>
      <c r="BW118" s="1170"/>
      <c r="BX118" s="1170"/>
      <c r="BY118" s="1170"/>
      <c r="BZ118" s="1170"/>
      <c r="CA118" s="1170"/>
      <c r="CB118" s="1170"/>
      <c r="CC118" s="1170"/>
      <c r="CD118" s="1170"/>
      <c r="CE118" s="1170"/>
    </row>
    <row s="1860" customFormat="1" customHeight="1" ht="11.25" hidden="1">
      <c r="A119" s="1803"/>
      <c r="B119" s="1646"/>
      <c r="C119" s="1646"/>
      <c r="D119" s="2589"/>
      <c r="E119" s="645"/>
      <c r="F119" s="645">
        <v>0</v>
      </c>
      <c r="G119" s="645"/>
      <c r="H119" s="645"/>
      <c r="I119" s="645"/>
      <c r="J119" s="645"/>
      <c r="K119" s="645"/>
      <c r="L119" s="645"/>
      <c r="M119" s="645"/>
      <c r="N119" s="645"/>
      <c r="O119" s="645"/>
      <c r="P119" s="645"/>
      <c r="Q119" s="645"/>
      <c r="R119" s="645"/>
      <c r="S119" s="646"/>
      <c r="T119" s="728"/>
      <c r="U119" s="2384"/>
      <c r="V119" s="2384"/>
      <c r="W119" s="1646"/>
      <c r="X119" s="1646"/>
      <c r="Y119" s="1646"/>
      <c r="Z119" s="1646"/>
      <c r="AA119" s="1646"/>
      <c r="AB119" s="1170"/>
      <c r="AC119" s="2385"/>
      <c r="AD119" s="639"/>
      <c r="AE119" s="1170"/>
      <c r="AF119" s="1170"/>
      <c r="AG119" s="1646"/>
      <c r="AH119" s="1646"/>
      <c r="AI119" s="1646"/>
      <c r="AJ119" s="1646"/>
      <c r="AK119" s="1646"/>
      <c r="AL119" s="1646"/>
      <c r="AM119" s="1646"/>
      <c r="AN119" s="1646"/>
      <c r="AO119" s="1646"/>
      <c r="AP119" s="1646"/>
      <c r="AQ119" s="1646"/>
      <c r="AR119" s="1646"/>
      <c r="AS119" s="1646"/>
      <c r="AT119" s="1646"/>
      <c r="AU119" s="1646"/>
      <c r="AV119" s="1646"/>
      <c r="AW119" s="1646"/>
      <c r="AX119" s="1646"/>
      <c r="AY119" s="1646"/>
      <c r="AZ119" s="1646"/>
      <c r="BA119" s="1646"/>
      <c r="BB119" s="1646"/>
      <c r="BC119" s="1646"/>
      <c r="BD119" s="1646"/>
      <c r="BE119" s="1646"/>
      <c r="BF119" s="1646"/>
      <c r="BG119" s="1646"/>
      <c r="BH119" s="1646"/>
      <c r="BI119" s="1646"/>
      <c r="BJ119" s="1646"/>
      <c r="BK119" s="1646"/>
      <c r="BL119" s="1646"/>
      <c r="BM119" s="1646"/>
      <c r="BN119" s="1646"/>
      <c r="BO119" s="1646"/>
      <c r="BP119" s="1646"/>
      <c r="BQ119" s="1646"/>
      <c r="BR119" s="1646"/>
      <c r="BS119" s="1646"/>
      <c r="BT119" s="1646"/>
      <c r="BU119" s="1646"/>
      <c r="BV119" s="1646"/>
      <c r="BW119" s="1646"/>
      <c r="BX119" s="1646"/>
      <c r="BY119" s="1646"/>
      <c r="BZ119" s="1646"/>
      <c r="CA119" s="1646"/>
      <c r="CB119" s="1646"/>
      <c r="CC119" s="1646"/>
      <c r="CD119" s="1646"/>
      <c r="CE119" s="1646"/>
    </row>
    <row s="1860" customFormat="1" customHeight="1" ht="11.25">
      <c r="A120" s="1816"/>
      <c r="B120" s="1170"/>
      <c r="C120" s="422"/>
      <c r="D120" s="2589"/>
      <c r="E120" s="659" t="s">
        <v>22</v>
      </c>
      <c r="F120" s="1178" t="s">
        <v>22</v>
      </c>
      <c r="G120" s="1178" t="s">
        <v>637</v>
      </c>
      <c r="H120" s="661" t="s">
        <v>22</v>
      </c>
      <c r="I120" s="661"/>
      <c r="J120" s="661"/>
      <c r="K120" s="661"/>
      <c r="L120" s="661"/>
      <c r="M120" s="661"/>
      <c r="N120" s="661"/>
      <c r="O120" s="661"/>
      <c r="P120" s="661"/>
      <c r="Q120" s="661"/>
      <c r="R120" s="662"/>
      <c r="S120" s="663"/>
      <c r="T120" s="728"/>
      <c r="U120" s="2384"/>
      <c r="V120" s="2384"/>
      <c r="W120" s="1170"/>
      <c r="X120" s="1170"/>
      <c r="Y120" s="1170"/>
      <c r="Z120" s="1170"/>
      <c r="AA120" s="1646"/>
      <c r="AB120" s="1170"/>
      <c r="AC120" s="2385"/>
      <c r="AD120" s="639"/>
      <c r="AE120" s="1170"/>
      <c r="AF120" s="1170"/>
      <c r="AG120" s="1646"/>
      <c r="AH120" s="1646"/>
      <c r="AI120" s="1646"/>
      <c r="AJ120" s="1646"/>
      <c r="AK120" s="1646"/>
      <c r="AL120" s="1646"/>
      <c r="AM120" s="1646"/>
      <c r="AN120" s="1646"/>
      <c r="AO120" s="1646"/>
      <c r="AP120" s="1646"/>
      <c r="AQ120" s="1646"/>
      <c r="AR120" s="1646"/>
      <c r="AS120" s="1646"/>
      <c r="AT120" s="1646"/>
      <c r="AU120" s="1646"/>
      <c r="AV120" s="1646"/>
      <c r="AW120" s="1646"/>
      <c r="AX120" s="1646"/>
      <c r="AY120" s="1646"/>
      <c r="AZ120" s="1646"/>
      <c r="BA120" s="1646"/>
      <c r="BB120" s="1646"/>
      <c r="BC120" s="1646"/>
      <c r="BD120" s="1646"/>
      <c r="BE120" s="1646"/>
      <c r="BF120" s="1646"/>
      <c r="BG120" s="1646"/>
      <c r="BH120" s="1646"/>
      <c r="BI120" s="1646"/>
      <c r="BJ120" s="1646"/>
      <c r="BK120" s="1646"/>
      <c r="BL120" s="1646"/>
      <c r="BM120" s="1646"/>
      <c r="BN120" s="1646"/>
      <c r="BO120" s="1646"/>
      <c r="BP120" s="1646"/>
      <c r="BQ120" s="1646"/>
      <c r="BR120" s="1646"/>
      <c r="BS120" s="1646"/>
      <c r="BT120" s="1646"/>
      <c r="BU120" s="1646"/>
      <c r="BV120" s="1170"/>
      <c r="BW120" s="1170"/>
      <c r="BX120" s="1170"/>
      <c r="BY120" s="1170"/>
      <c r="BZ120" s="1170"/>
      <c r="CA120" s="1170"/>
      <c r="CB120" s="1170"/>
      <c r="CC120" s="1170"/>
      <c r="CD120" s="1170"/>
      <c r="CE120" s="1170"/>
    </row>
    <row s="1860" customFormat="1" customHeight="1" ht="24.75">
      <c r="A121" s="1816"/>
      <c r="B121" s="1170"/>
      <c r="C121" s="422"/>
      <c r="D121" s="2589"/>
      <c r="E121" s="2386" t="s">
        <v>635</v>
      </c>
      <c r="F121" s="2386"/>
      <c r="G121" s="2386"/>
      <c r="H121" s="2386"/>
      <c r="I121" s="2386"/>
      <c r="J121" s="2386"/>
      <c r="K121" s="2386"/>
      <c r="L121" s="2386"/>
      <c r="M121" s="2386"/>
      <c r="N121" s="2386"/>
      <c r="O121" s="2386"/>
      <c r="P121" s="2386"/>
      <c r="Q121" s="568">
        <f>SUMIF(T122:T123,"i",Q122:Q123)</f>
        <v>0</v>
      </c>
      <c r="R121" s="1027"/>
      <c r="S121" s="1808" t="s">
        <v>636</v>
      </c>
      <c r="T121" s="727" t="s">
        <v>634</v>
      </c>
      <c r="U121" s="2384">
        <v>1</v>
      </c>
      <c r="V121" s="2384" t="s">
        <v>597</v>
      </c>
      <c r="W121" s="1170"/>
      <c r="X121" s="1170"/>
      <c r="Y121" s="1170"/>
      <c r="Z121" s="1170"/>
      <c r="AA121" s="1646"/>
      <c r="AB121" s="1170"/>
      <c r="AC121" s="1806"/>
      <c r="AD121" s="639"/>
      <c r="AE121" s="1170"/>
      <c r="AF121" s="1170"/>
      <c r="AG121" s="1646"/>
      <c r="AH121" s="1646"/>
      <c r="AI121" s="1646"/>
      <c r="AJ121" s="1646"/>
      <c r="AK121" s="1646"/>
      <c r="AL121" s="1646"/>
      <c r="AM121" s="1646"/>
      <c r="AN121" s="1646"/>
      <c r="AO121" s="1646"/>
      <c r="AP121" s="1646"/>
      <c r="AQ121" s="1646"/>
      <c r="AR121" s="1646"/>
      <c r="AS121" s="1646"/>
      <c r="AT121" s="1646"/>
      <c r="AU121" s="1646"/>
      <c r="AV121" s="1646"/>
      <c r="AW121" s="1646"/>
      <c r="AX121" s="1646"/>
      <c r="AY121" s="1646"/>
      <c r="AZ121" s="1646"/>
      <c r="BA121" s="1646"/>
      <c r="BB121" s="1646"/>
      <c r="BC121" s="1646"/>
      <c r="BD121" s="1646"/>
      <c r="BE121" s="1646"/>
      <c r="BF121" s="1646"/>
      <c r="BG121" s="1646"/>
      <c r="BH121" s="1646"/>
      <c r="BI121" s="1646"/>
      <c r="BJ121" s="1646"/>
      <c r="BK121" s="1646"/>
      <c r="BL121" s="1646"/>
      <c r="BM121" s="1646"/>
      <c r="BN121" s="1646"/>
      <c r="BO121" s="1646"/>
      <c r="BP121" s="1646"/>
      <c r="BQ121" s="1646"/>
      <c r="BR121" s="1646"/>
      <c r="BS121" s="1646"/>
      <c r="BT121" s="1646"/>
      <c r="BU121" s="1646"/>
      <c r="BV121" s="1170"/>
      <c r="BW121" s="1170"/>
      <c r="BX121" s="1170"/>
      <c r="BY121" s="1170"/>
      <c r="BZ121" s="1170"/>
      <c r="CA121" s="1170"/>
      <c r="CB121" s="1170"/>
      <c r="CC121" s="1170"/>
      <c r="CD121" s="1170"/>
      <c r="CE121" s="1170"/>
    </row>
    <row s="1860" customFormat="1" customHeight="1" ht="11.25" hidden="1">
      <c r="A122" s="1803"/>
      <c r="B122" s="1646"/>
      <c r="C122" s="1646"/>
      <c r="D122" s="2589"/>
      <c r="E122" s="645"/>
      <c r="F122" s="645">
        <v>0</v>
      </c>
      <c r="G122" s="645"/>
      <c r="H122" s="645"/>
      <c r="I122" s="645"/>
      <c r="J122" s="645"/>
      <c r="K122" s="645"/>
      <c r="L122" s="645"/>
      <c r="M122" s="645"/>
      <c r="N122" s="645"/>
      <c r="O122" s="645"/>
      <c r="P122" s="645"/>
      <c r="Q122" s="645"/>
      <c r="R122" s="645"/>
      <c r="S122" s="646"/>
      <c r="T122" s="728"/>
      <c r="U122" s="2384"/>
      <c r="V122" s="2384"/>
      <c r="W122" s="1646"/>
      <c r="X122" s="1646"/>
      <c r="Y122" s="1646"/>
      <c r="Z122" s="1646"/>
      <c r="AA122" s="1646"/>
      <c r="AB122" s="1170"/>
      <c r="AC122" s="1806"/>
      <c r="AD122" s="639"/>
      <c r="AE122" s="1170"/>
      <c r="AF122" s="1170"/>
      <c r="AG122" s="1646"/>
      <c r="AH122" s="1646"/>
      <c r="AI122" s="1646"/>
      <c r="AJ122" s="1646"/>
      <c r="AK122" s="1646"/>
      <c r="AL122" s="1646"/>
      <c r="AM122" s="1646"/>
      <c r="AN122" s="1646"/>
      <c r="AO122" s="1646"/>
      <c r="AP122" s="1646"/>
      <c r="AQ122" s="1646"/>
      <c r="AR122" s="1646"/>
      <c r="AS122" s="1646"/>
      <c r="AT122" s="1646"/>
      <c r="AU122" s="1646"/>
      <c r="AV122" s="1646"/>
      <c r="AW122" s="1646"/>
      <c r="AX122" s="1646"/>
      <c r="AY122" s="1646"/>
      <c r="AZ122" s="1646"/>
      <c r="BA122" s="1646"/>
      <c r="BB122" s="1646"/>
      <c r="BC122" s="1646"/>
      <c r="BD122" s="1646"/>
      <c r="BE122" s="1646"/>
      <c r="BF122" s="1646"/>
      <c r="BG122" s="1646"/>
      <c r="BH122" s="1646"/>
      <c r="BI122" s="1646"/>
      <c r="BJ122" s="1646"/>
      <c r="BK122" s="1646"/>
      <c r="BL122" s="1646"/>
      <c r="BM122" s="1646"/>
      <c r="BN122" s="1646"/>
      <c r="BO122" s="1646"/>
      <c r="BP122" s="1646"/>
      <c r="BQ122" s="1646"/>
      <c r="BR122" s="1646"/>
      <c r="BS122" s="1646"/>
      <c r="BT122" s="1646"/>
      <c r="BU122" s="1646"/>
      <c r="BV122" s="1646"/>
      <c r="BW122" s="1646"/>
      <c r="BX122" s="1646"/>
      <c r="BY122" s="1646"/>
      <c r="BZ122" s="1646"/>
      <c r="CA122" s="1646"/>
      <c r="CB122" s="1646"/>
      <c r="CC122" s="1646"/>
      <c r="CD122" s="1646"/>
      <c r="CE122" s="1646"/>
    </row>
    <row s="1860" customFormat="1" customHeight="1" ht="11.25">
      <c r="A123" s="1816"/>
      <c r="B123" s="1170"/>
      <c r="C123" s="422"/>
      <c r="D123" s="2590"/>
      <c r="E123" s="659" t="s">
        <v>22</v>
      </c>
      <c r="F123" s="1178" t="s">
        <v>22</v>
      </c>
      <c r="G123" s="1178" t="s">
        <v>637</v>
      </c>
      <c r="H123" s="661" t="s">
        <v>22</v>
      </c>
      <c r="I123" s="661"/>
      <c r="J123" s="661"/>
      <c r="K123" s="661"/>
      <c r="L123" s="661"/>
      <c r="M123" s="661"/>
      <c r="N123" s="661"/>
      <c r="O123" s="661"/>
      <c r="P123" s="661"/>
      <c r="Q123" s="661"/>
      <c r="R123" s="662"/>
      <c r="S123" s="663"/>
      <c r="T123" s="728"/>
      <c r="U123" s="2384"/>
      <c r="V123" s="2384"/>
      <c r="W123" s="1170"/>
      <c r="X123" s="1170"/>
      <c r="Y123" s="1170"/>
      <c r="Z123" s="1170"/>
      <c r="AA123" s="1646"/>
      <c r="AB123" s="1170"/>
      <c r="AC123" s="1806"/>
      <c r="AD123" s="639"/>
      <c r="AE123" s="1170"/>
      <c r="AF123" s="1170"/>
      <c r="AG123" s="1646"/>
      <c r="AH123" s="1646"/>
      <c r="AI123" s="1646"/>
      <c r="AJ123" s="1646"/>
      <c r="AK123" s="1646"/>
      <c r="AL123" s="1646"/>
      <c r="AM123" s="1646"/>
      <c r="AN123" s="1646"/>
      <c r="AO123" s="1646"/>
      <c r="AP123" s="1646"/>
      <c r="AQ123" s="1646"/>
      <c r="AR123" s="1646"/>
      <c r="AS123" s="1646"/>
      <c r="AT123" s="1646"/>
      <c r="AU123" s="1646"/>
      <c r="AV123" s="1646"/>
      <c r="AW123" s="1646"/>
      <c r="AX123" s="1646"/>
      <c r="AY123" s="1646"/>
      <c r="AZ123" s="1646"/>
      <c r="BA123" s="1646"/>
      <c r="BB123" s="1646"/>
      <c r="BC123" s="1646"/>
      <c r="BD123" s="1646"/>
      <c r="BE123" s="1646"/>
      <c r="BF123" s="1646"/>
      <c r="BG123" s="1646"/>
      <c r="BH123" s="1646"/>
      <c r="BI123" s="1646"/>
      <c r="BJ123" s="1646"/>
      <c r="BK123" s="1646"/>
      <c r="BL123" s="1646"/>
      <c r="BM123" s="1646"/>
      <c r="BN123" s="1646"/>
      <c r="BO123" s="1646"/>
      <c r="BP123" s="1646"/>
      <c r="BQ123" s="1646"/>
      <c r="BR123" s="1646"/>
      <c r="BS123" s="1646"/>
      <c r="BT123" s="1646"/>
      <c r="BU123" s="1646"/>
      <c r="BV123" s="1170"/>
      <c r="BW123" s="1170"/>
      <c r="BX123" s="1170"/>
      <c r="BY123" s="1170"/>
      <c r="BZ123" s="1170"/>
      <c r="CA123" s="1170"/>
      <c r="CB123" s="1170"/>
      <c r="CC123" s="1170"/>
      <c r="CD123" s="1170"/>
      <c r="CE123" s="1170"/>
    </row>
    <row r="125" s="1825" customFormat="1" customHeight="1" ht="11.25">
      <c r="A125" s="1825" t="s">
        <v>2214</v>
      </c>
    </row>
    <row r="127" s="1860" customFormat="1" customHeight="1" ht="15" hidden="1">
      <c r="A127" s="633"/>
      <c r="B127" s="634"/>
      <c r="C127" s="634"/>
      <c r="D127" s="2588" t="s">
        <v>124</v>
      </c>
      <c r="E127" s="2387" t="s">
        <v>120</v>
      </c>
      <c r="F127" s="2388"/>
      <c r="G127" s="2389"/>
      <c r="H127" s="2393" t="str">
        <f>IF(A127="","",INDEX(DIFFERENTIATION_UNMERGE_VD,MATCH(A127,DIFFERENTIATION_ID_DIFF,0)))</f>
        <v/>
      </c>
      <c r="I127" s="2393"/>
      <c r="J127" s="2393"/>
      <c r="K127" s="2393"/>
      <c r="L127" s="2393"/>
      <c r="M127" s="2393"/>
      <c r="N127" s="2393"/>
      <c r="O127" s="2393"/>
      <c r="P127" s="2393"/>
      <c r="Q127" s="2393"/>
      <c r="R127" s="2393"/>
      <c r="S127" s="729"/>
      <c r="T127" s="726"/>
      <c r="U127" s="635"/>
      <c r="V127" s="635"/>
      <c r="W127" s="636"/>
      <c r="X127" s="636"/>
      <c r="Y127" s="636"/>
      <c r="Z127" s="636"/>
      <c r="AA127" s="637"/>
      <c r="AB127" s="638"/>
      <c r="AC127" s="2385"/>
      <c r="AD127" s="639"/>
      <c r="AE127" s="640" t="s">
        <v>22</v>
      </c>
      <c r="AF127" s="640"/>
      <c r="AG127" s="641" t="s">
        <v>631</v>
      </c>
      <c r="AH127" s="642">
        <v>3</v>
      </c>
      <c r="AI127" s="635"/>
      <c r="AJ127" s="635"/>
      <c r="AK127" s="635"/>
      <c r="AL127" s="635"/>
      <c r="AM127" s="635"/>
      <c r="AN127" s="635"/>
      <c r="AO127" s="635"/>
      <c r="AP127" s="635"/>
      <c r="AQ127" s="635"/>
      <c r="AR127" s="635"/>
      <c r="AS127" s="635"/>
      <c r="AT127" s="635"/>
      <c r="AU127" s="635"/>
      <c r="AV127" s="635"/>
      <c r="AW127" s="635"/>
      <c r="AX127" s="635"/>
      <c r="AY127" s="635"/>
      <c r="AZ127" s="635"/>
      <c r="BA127" s="635"/>
      <c r="BB127" s="635"/>
      <c r="BC127" s="635"/>
      <c r="BD127" s="635"/>
      <c r="BE127" s="635"/>
      <c r="BF127" s="635"/>
      <c r="BG127" s="635"/>
      <c r="BH127" s="635"/>
      <c r="BI127" s="635"/>
      <c r="BJ127" s="635"/>
      <c r="BK127" s="635"/>
      <c r="BL127" s="635"/>
      <c r="BM127" s="635"/>
      <c r="BN127" s="635"/>
      <c r="BO127" s="635"/>
      <c r="BP127" s="635"/>
      <c r="BQ127" s="635"/>
      <c r="BR127" s="635"/>
      <c r="BS127" s="635"/>
      <c r="BT127" s="635"/>
      <c r="BU127" s="635"/>
      <c r="BV127" s="636"/>
      <c r="BW127" s="636"/>
      <c r="BX127" s="636"/>
      <c r="BY127" s="636"/>
      <c r="BZ127" s="636"/>
      <c r="CA127" s="636"/>
      <c r="CB127" s="636"/>
      <c r="CC127" s="636"/>
      <c r="CD127" s="636"/>
      <c r="CE127" s="636"/>
    </row>
    <row s="1860" customFormat="1" customHeight="1" ht="15" hidden="1">
      <c r="A128" s="633"/>
      <c r="B128" s="634"/>
      <c r="C128" s="634"/>
      <c r="D128" s="2589"/>
      <c r="E128" s="2387" t="s">
        <v>586</v>
      </c>
      <c r="F128" s="2388"/>
      <c r="G128" s="2389"/>
      <c r="H128" s="2393" t="str">
        <f>IF(A127="","",INDEX(DIFFERENTIATION_UNMERGE_AREA,MATCH(A127,DIFFERENTIATION_ID_DIFF,0)))</f>
        <v/>
      </c>
      <c r="I128" s="2393"/>
      <c r="J128" s="2393"/>
      <c r="K128" s="2393"/>
      <c r="L128" s="2393"/>
      <c r="M128" s="2393"/>
      <c r="N128" s="2393"/>
      <c r="O128" s="2393"/>
      <c r="P128" s="2393"/>
      <c r="Q128" s="2393"/>
      <c r="R128" s="2393"/>
      <c r="S128" s="729"/>
      <c r="T128" s="726"/>
      <c r="U128" s="635"/>
      <c r="V128" s="635"/>
      <c r="W128" s="636"/>
      <c r="X128" s="636"/>
      <c r="Y128" s="636"/>
      <c r="Z128" s="636"/>
      <c r="AA128" s="637"/>
      <c r="AB128" s="638"/>
      <c r="AC128" s="2385"/>
      <c r="AD128" s="639"/>
      <c r="AE128" s="640"/>
      <c r="AF128" s="640"/>
      <c r="AG128" s="641"/>
      <c r="AH128" s="642"/>
      <c r="AI128" s="635"/>
      <c r="AJ128" s="635"/>
      <c r="AK128" s="635"/>
      <c r="AL128" s="635"/>
      <c r="AM128" s="635"/>
      <c r="AN128" s="635"/>
      <c r="AO128" s="635"/>
      <c r="AP128" s="635"/>
      <c r="AQ128" s="635"/>
      <c r="AR128" s="635"/>
      <c r="AS128" s="635"/>
      <c r="AT128" s="635"/>
      <c r="AU128" s="635"/>
      <c r="AV128" s="635"/>
      <c r="AW128" s="635"/>
      <c r="AX128" s="635"/>
      <c r="AY128" s="635"/>
      <c r="AZ128" s="635"/>
      <c r="BA128" s="635"/>
      <c r="BB128" s="635"/>
      <c r="BC128" s="635"/>
      <c r="BD128" s="635"/>
      <c r="BE128" s="635"/>
      <c r="BF128" s="635"/>
      <c r="BG128" s="635"/>
      <c r="BH128" s="635"/>
      <c r="BI128" s="635"/>
      <c r="BJ128" s="635"/>
      <c r="BK128" s="635"/>
      <c r="BL128" s="635"/>
      <c r="BM128" s="635"/>
      <c r="BN128" s="635"/>
      <c r="BO128" s="635"/>
      <c r="BP128" s="635"/>
      <c r="BQ128" s="635"/>
      <c r="BR128" s="635"/>
      <c r="BS128" s="635"/>
      <c r="BT128" s="635"/>
      <c r="BU128" s="635"/>
      <c r="BV128" s="636"/>
      <c r="BW128" s="636"/>
      <c r="BX128" s="636"/>
      <c r="BY128" s="636"/>
      <c r="BZ128" s="636"/>
      <c r="CA128" s="636"/>
      <c r="CB128" s="636"/>
      <c r="CC128" s="636"/>
      <c r="CD128" s="636"/>
      <c r="CE128" s="636"/>
    </row>
    <row s="1860" customFormat="1" customHeight="1" ht="15" hidden="1">
      <c r="A129" s="633"/>
      <c r="B129" s="634"/>
      <c r="C129" s="634"/>
      <c r="D129" s="2589"/>
      <c r="E129" s="2387" t="s">
        <v>587</v>
      </c>
      <c r="F129" s="2388"/>
      <c r="G129" s="2389"/>
      <c r="H129" s="2393" t="str">
        <f>IF(A127="","",INDEX(DIFFERENTIATION_UNMERGE_SYSTEM,MATCH(A127,DIFFERENTIATION_ID_DIFF,0)))</f>
        <v/>
      </c>
      <c r="I129" s="2393"/>
      <c r="J129" s="2393"/>
      <c r="K129" s="2393"/>
      <c r="L129" s="2393"/>
      <c r="M129" s="2393"/>
      <c r="N129" s="2393"/>
      <c r="O129" s="2393"/>
      <c r="P129" s="2393"/>
      <c r="Q129" s="2393"/>
      <c r="R129" s="2393"/>
      <c r="S129" s="729"/>
      <c r="T129" s="726"/>
      <c r="U129" s="635"/>
      <c r="V129" s="635"/>
      <c r="W129" s="636"/>
      <c r="X129" s="636"/>
      <c r="Y129" s="636"/>
      <c r="Z129" s="636"/>
      <c r="AA129" s="637"/>
      <c r="AB129" s="638"/>
      <c r="AC129" s="2385"/>
      <c r="AD129" s="639"/>
      <c r="AE129" s="640"/>
      <c r="AF129" s="640"/>
      <c r="AG129" s="641"/>
      <c r="AH129" s="642"/>
      <c r="AI129" s="635"/>
      <c r="AJ129" s="635"/>
      <c r="AK129" s="635"/>
      <c r="AL129" s="635"/>
      <c r="AM129" s="635"/>
      <c r="AN129" s="635"/>
      <c r="AO129" s="635"/>
      <c r="AP129" s="635"/>
      <c r="AQ129" s="635"/>
      <c r="AR129" s="635"/>
      <c r="AS129" s="635"/>
      <c r="AT129" s="635"/>
      <c r="AU129" s="635"/>
      <c r="AV129" s="635"/>
      <c r="AW129" s="635"/>
      <c r="AX129" s="635"/>
      <c r="AY129" s="635"/>
      <c r="AZ129" s="635"/>
      <c r="BA129" s="635"/>
      <c r="BB129" s="635"/>
      <c r="BC129" s="635"/>
      <c r="BD129" s="635"/>
      <c r="BE129" s="635"/>
      <c r="BF129" s="635"/>
      <c r="BG129" s="635"/>
      <c r="BH129" s="635"/>
      <c r="BI129" s="635"/>
      <c r="BJ129" s="635"/>
      <c r="BK129" s="635"/>
      <c r="BL129" s="635"/>
      <c r="BM129" s="635"/>
      <c r="BN129" s="635"/>
      <c r="BO129" s="635"/>
      <c r="BP129" s="635"/>
      <c r="BQ129" s="635"/>
      <c r="BR129" s="635"/>
      <c r="BS129" s="635"/>
      <c r="BT129" s="635"/>
      <c r="BU129" s="635"/>
      <c r="BV129" s="636"/>
      <c r="BW129" s="636"/>
      <c r="BX129" s="636"/>
      <c r="BY129" s="636"/>
      <c r="BZ129" s="636"/>
      <c r="CA129" s="636"/>
      <c r="CB129" s="636"/>
      <c r="CC129" s="636"/>
      <c r="CD129" s="636"/>
      <c r="CE129" s="636"/>
    </row>
    <row s="1860" customFormat="1" customHeight="1" ht="24.75" hidden="1">
      <c r="A130" s="1816"/>
      <c r="B130" s="1170"/>
      <c r="C130" s="422"/>
      <c r="D130" s="2589"/>
      <c r="E130" s="2386" t="s">
        <v>632</v>
      </c>
      <c r="F130" s="2386"/>
      <c r="G130" s="2386"/>
      <c r="H130" s="2386"/>
      <c r="I130" s="2386"/>
      <c r="J130" s="2386"/>
      <c r="K130" s="2386"/>
      <c r="L130" s="2386"/>
      <c r="M130" s="2386"/>
      <c r="N130" s="2386"/>
      <c r="O130" s="2386"/>
      <c r="P130" s="2386"/>
      <c r="Q130" s="568">
        <f>SUMIF(T131:T132,"i",Q131:Q132)</f>
        <v>0</v>
      </c>
      <c r="R130" s="1027"/>
      <c r="S130" s="1808" t="s">
        <v>633</v>
      </c>
      <c r="T130" s="727" t="s">
        <v>634</v>
      </c>
      <c r="U130" s="2384">
        <v>1</v>
      </c>
      <c r="V130" s="2384" t="s">
        <v>597</v>
      </c>
      <c r="W130" s="1170"/>
      <c r="X130" s="1170"/>
      <c r="Y130" s="1170"/>
      <c r="Z130" s="1170"/>
      <c r="AA130" s="1646"/>
      <c r="AB130" s="1170"/>
      <c r="AC130" s="2385"/>
      <c r="AD130" s="639"/>
      <c r="AE130" s="1170"/>
      <c r="AF130" s="1170"/>
      <c r="AG130" s="1646"/>
      <c r="AH130" s="1646"/>
      <c r="AI130" s="1646"/>
      <c r="AJ130" s="1646"/>
      <c r="AK130" s="1646"/>
      <c r="AL130" s="1646"/>
      <c r="AM130" s="1646"/>
      <c r="AN130" s="1646"/>
      <c r="AO130" s="1646"/>
      <c r="AP130" s="1646"/>
      <c r="AQ130" s="1646"/>
      <c r="AR130" s="1646"/>
      <c r="AS130" s="1646"/>
      <c r="AT130" s="1646"/>
      <c r="AU130" s="1646"/>
      <c r="AV130" s="1646"/>
      <c r="AW130" s="1646"/>
      <c r="AX130" s="1646"/>
      <c r="AY130" s="1646"/>
      <c r="AZ130" s="1646"/>
      <c r="BA130" s="1646"/>
      <c r="BB130" s="1646"/>
      <c r="BC130" s="1646"/>
      <c r="BD130" s="1646"/>
      <c r="BE130" s="1646"/>
      <c r="BF130" s="1646"/>
      <c r="BG130" s="1646"/>
      <c r="BH130" s="1646"/>
      <c r="BI130" s="1646"/>
      <c r="BJ130" s="1646"/>
      <c r="BK130" s="1646"/>
      <c r="BL130" s="1646"/>
      <c r="BM130" s="1646"/>
      <c r="BN130" s="1646"/>
      <c r="BO130" s="1646"/>
      <c r="BP130" s="1646"/>
      <c r="BQ130" s="1646"/>
      <c r="BR130" s="1646"/>
      <c r="BS130" s="1646"/>
      <c r="BT130" s="1646"/>
      <c r="BU130" s="1646"/>
      <c r="BV130" s="1170"/>
      <c r="BW130" s="1170"/>
      <c r="BX130" s="1170"/>
      <c r="BY130" s="1170"/>
      <c r="BZ130" s="1170"/>
      <c r="CA130" s="1170"/>
      <c r="CB130" s="1170"/>
      <c r="CC130" s="1170"/>
      <c r="CD130" s="1170"/>
      <c r="CE130" s="1170"/>
    </row>
    <row s="1860" customFormat="1" customHeight="1" ht="11.25" hidden="1">
      <c r="A131" s="1803"/>
      <c r="B131" s="1646"/>
      <c r="C131" s="1646"/>
      <c r="D131" s="2589"/>
      <c r="E131" s="645"/>
      <c r="F131" s="645">
        <v>0</v>
      </c>
      <c r="G131" s="645"/>
      <c r="H131" s="645"/>
      <c r="I131" s="645"/>
      <c r="J131" s="645"/>
      <c r="K131" s="645"/>
      <c r="L131" s="645"/>
      <c r="M131" s="645"/>
      <c r="N131" s="645"/>
      <c r="O131" s="645"/>
      <c r="P131" s="645"/>
      <c r="Q131" s="645"/>
      <c r="R131" s="645"/>
      <c r="S131" s="646"/>
      <c r="T131" s="728"/>
      <c r="U131" s="2384"/>
      <c r="V131" s="2384"/>
      <c r="W131" s="1646"/>
      <c r="X131" s="1646"/>
      <c r="Y131" s="1646"/>
      <c r="Z131" s="1646"/>
      <c r="AA131" s="1646"/>
      <c r="AB131" s="1170"/>
      <c r="AC131" s="2385"/>
      <c r="AD131" s="639"/>
      <c r="AE131" s="1170"/>
      <c r="AF131" s="1170"/>
      <c r="AG131" s="1646"/>
      <c r="AH131" s="1646"/>
      <c r="AI131" s="1646"/>
      <c r="AJ131" s="1646"/>
      <c r="AK131" s="1646"/>
      <c r="AL131" s="1646"/>
      <c r="AM131" s="1646"/>
      <c r="AN131" s="1646"/>
      <c r="AO131" s="1646"/>
      <c r="AP131" s="1646"/>
      <c r="AQ131" s="1646"/>
      <c r="AR131" s="1646"/>
      <c r="AS131" s="1646"/>
      <c r="AT131" s="1646"/>
      <c r="AU131" s="1646"/>
      <c r="AV131" s="1646"/>
      <c r="AW131" s="1646"/>
      <c r="AX131" s="1646"/>
      <c r="AY131" s="1646"/>
      <c r="AZ131" s="1646"/>
      <c r="BA131" s="1646"/>
      <c r="BB131" s="1646"/>
      <c r="BC131" s="1646"/>
      <c r="BD131" s="1646"/>
      <c r="BE131" s="1646"/>
      <c r="BF131" s="1646"/>
      <c r="BG131" s="1646"/>
      <c r="BH131" s="1646"/>
      <c r="BI131" s="1646"/>
      <c r="BJ131" s="1646"/>
      <c r="BK131" s="1646"/>
      <c r="BL131" s="1646"/>
      <c r="BM131" s="1646"/>
      <c r="BN131" s="1646"/>
      <c r="BO131" s="1646"/>
      <c r="BP131" s="1646"/>
      <c r="BQ131" s="1646"/>
      <c r="BR131" s="1646"/>
      <c r="BS131" s="1646"/>
      <c r="BT131" s="1646"/>
      <c r="BU131" s="1646"/>
      <c r="BV131" s="1646"/>
      <c r="BW131" s="1646"/>
      <c r="BX131" s="1646"/>
      <c r="BY131" s="1646"/>
      <c r="BZ131" s="1646"/>
      <c r="CA131" s="1646"/>
      <c r="CB131" s="1646"/>
      <c r="CC131" s="1646"/>
      <c r="CD131" s="1646"/>
      <c r="CE131" s="1646"/>
    </row>
    <row s="1860" customFormat="1" customHeight="1" ht="11.25" hidden="1">
      <c r="A132" s="1816"/>
      <c r="B132" s="1170"/>
      <c r="C132" s="422"/>
      <c r="D132" s="2589"/>
      <c r="E132" s="659" t="s">
        <v>22</v>
      </c>
      <c r="F132" s="1178" t="s">
        <v>22</v>
      </c>
      <c r="G132" s="1178" t="s">
        <v>637</v>
      </c>
      <c r="H132" s="661" t="s">
        <v>22</v>
      </c>
      <c r="I132" s="661"/>
      <c r="J132" s="661"/>
      <c r="K132" s="661"/>
      <c r="L132" s="661"/>
      <c r="M132" s="661"/>
      <c r="N132" s="661"/>
      <c r="O132" s="661"/>
      <c r="P132" s="661"/>
      <c r="Q132" s="661"/>
      <c r="R132" s="662"/>
      <c r="S132" s="663"/>
      <c r="T132" s="728"/>
      <c r="U132" s="2384"/>
      <c r="V132" s="2384"/>
      <c r="W132" s="1170"/>
      <c r="X132" s="1170"/>
      <c r="Y132" s="1170"/>
      <c r="Z132" s="1170"/>
      <c r="AA132" s="1646"/>
      <c r="AB132" s="1170"/>
      <c r="AC132" s="2385"/>
      <c r="AD132" s="639"/>
      <c r="AE132" s="1170"/>
      <c r="AF132" s="1170"/>
      <c r="AG132" s="1646"/>
      <c r="AH132" s="1646"/>
      <c r="AI132" s="1646"/>
      <c r="AJ132" s="1646"/>
      <c r="AK132" s="1646"/>
      <c r="AL132" s="1646"/>
      <c r="AM132" s="1646"/>
      <c r="AN132" s="1646"/>
      <c r="AO132" s="1646"/>
      <c r="AP132" s="1646"/>
      <c r="AQ132" s="1646"/>
      <c r="AR132" s="1646"/>
      <c r="AS132" s="1646"/>
      <c r="AT132" s="1646"/>
      <c r="AU132" s="1646"/>
      <c r="AV132" s="1646"/>
      <c r="AW132" s="1646"/>
      <c r="AX132" s="1646"/>
      <c r="AY132" s="1646"/>
      <c r="AZ132" s="1646"/>
      <c r="BA132" s="1646"/>
      <c r="BB132" s="1646"/>
      <c r="BC132" s="1646"/>
      <c r="BD132" s="1646"/>
      <c r="BE132" s="1646"/>
      <c r="BF132" s="1646"/>
      <c r="BG132" s="1646"/>
      <c r="BH132" s="1646"/>
      <c r="BI132" s="1646"/>
      <c r="BJ132" s="1646"/>
      <c r="BK132" s="1646"/>
      <c r="BL132" s="1646"/>
      <c r="BM132" s="1646"/>
      <c r="BN132" s="1646"/>
      <c r="BO132" s="1646"/>
      <c r="BP132" s="1646"/>
      <c r="BQ132" s="1646"/>
      <c r="BR132" s="1646"/>
      <c r="BS132" s="1646"/>
      <c r="BT132" s="1646"/>
      <c r="BU132" s="1646"/>
      <c r="BV132" s="1170"/>
      <c r="BW132" s="1170"/>
      <c r="BX132" s="1170"/>
      <c r="BY132" s="1170"/>
      <c r="BZ132" s="1170"/>
      <c r="CA132" s="1170"/>
      <c r="CB132" s="1170"/>
      <c r="CC132" s="1170"/>
      <c r="CD132" s="1170"/>
      <c r="CE132" s="1170"/>
    </row>
    <row s="1326" customFormat="1" customHeight="1" ht="5.25" hidden="1">
      <c r="A133" s="1803"/>
      <c r="B133" s="1646"/>
      <c r="C133" s="1646"/>
      <c r="D133" s="2589"/>
      <c r="E133" s="1049"/>
      <c r="F133" s="1049"/>
      <c r="G133" s="1049"/>
      <c r="H133" s="1049"/>
      <c r="I133" s="1049"/>
      <c r="J133" s="1049"/>
      <c r="K133" s="1049"/>
      <c r="L133" s="1049"/>
      <c r="M133" s="1049"/>
      <c r="N133" s="1049"/>
      <c r="O133" s="1049"/>
      <c r="P133" s="1049"/>
      <c r="Q133" s="1050"/>
      <c r="R133" s="1051"/>
      <c r="S133" s="1052"/>
      <c r="T133" s="727" t="s">
        <v>634</v>
      </c>
      <c r="U133" s="2384">
        <v>1</v>
      </c>
      <c r="V133" s="2384" t="s">
        <v>597</v>
      </c>
      <c r="W133" s="1646"/>
      <c r="X133" s="1646"/>
      <c r="Y133" s="1646"/>
      <c r="Z133" s="1646"/>
      <c r="AA133" s="1646"/>
      <c r="AB133" s="1646"/>
      <c r="AC133" s="1047"/>
      <c r="AD133" s="1048"/>
      <c r="AE133" s="1646"/>
      <c r="AF133" s="1646"/>
      <c r="AG133" s="1646"/>
      <c r="AH133" s="1646"/>
      <c r="AI133" s="1646"/>
      <c r="AJ133" s="1646"/>
      <c r="AK133" s="1646"/>
      <c r="AL133" s="1646"/>
      <c r="AM133" s="1646"/>
      <c r="AN133" s="1646"/>
      <c r="AO133" s="1646"/>
      <c r="AP133" s="1646"/>
      <c r="AQ133" s="1646"/>
      <c r="AR133" s="1646"/>
      <c r="AS133" s="1646"/>
      <c r="AT133" s="1646"/>
      <c r="AU133" s="1646"/>
      <c r="AV133" s="1646"/>
      <c r="AW133" s="1646"/>
      <c r="AX133" s="1646"/>
      <c r="AY133" s="1646"/>
      <c r="AZ133" s="1646"/>
      <c r="BA133" s="1646"/>
      <c r="BB133" s="1646"/>
      <c r="BC133" s="1646"/>
      <c r="BD133" s="1646"/>
      <c r="BE133" s="1646"/>
      <c r="BF133" s="1646"/>
      <c r="BG133" s="1646"/>
      <c r="BH133" s="1646"/>
      <c r="BI133" s="1646"/>
      <c r="BJ133" s="1646"/>
      <c r="BK133" s="1646"/>
      <c r="BL133" s="1646"/>
      <c r="BM133" s="1646"/>
      <c r="BN133" s="1646"/>
      <c r="BO133" s="1646"/>
      <c r="BP133" s="1646"/>
      <c r="BQ133" s="1646"/>
      <c r="BR133" s="1646"/>
      <c r="BS133" s="1646"/>
      <c r="BT133" s="1646"/>
      <c r="BU133" s="1646"/>
      <c r="BV133" s="1646"/>
      <c r="BW133" s="1646"/>
      <c r="BX133" s="1646"/>
      <c r="BY133" s="1646"/>
      <c r="BZ133" s="1646"/>
      <c r="CA133" s="1646"/>
      <c r="CB133" s="1646"/>
      <c r="CC133" s="1646"/>
      <c r="CD133" s="1646"/>
      <c r="CE133" s="1646"/>
    </row>
    <row s="1326" customFormat="1" customHeight="1" ht="5.25" hidden="1">
      <c r="A134" s="1803"/>
      <c r="B134" s="1646"/>
      <c r="C134" s="1646"/>
      <c r="D134" s="2589"/>
      <c r="E134" s="645"/>
      <c r="F134" s="645"/>
      <c r="G134" s="645"/>
      <c r="H134" s="645"/>
      <c r="I134" s="645"/>
      <c r="J134" s="645"/>
      <c r="K134" s="645"/>
      <c r="L134" s="645"/>
      <c r="M134" s="645"/>
      <c r="N134" s="645"/>
      <c r="O134" s="645"/>
      <c r="P134" s="645"/>
      <c r="Q134" s="645"/>
      <c r="R134" s="645"/>
      <c r="S134" s="646"/>
      <c r="T134" s="728"/>
      <c r="U134" s="2384"/>
      <c r="V134" s="2384"/>
      <c r="W134" s="1646"/>
      <c r="X134" s="1646"/>
      <c r="Y134" s="1646"/>
      <c r="Z134" s="1646"/>
      <c r="AA134" s="1646"/>
      <c r="AB134" s="1646"/>
      <c r="AC134" s="1047"/>
      <c r="AD134" s="1048"/>
      <c r="AE134" s="1646"/>
      <c r="AF134" s="1646"/>
      <c r="AG134" s="1646"/>
      <c r="AH134" s="1646"/>
      <c r="AI134" s="1646"/>
      <c r="AJ134" s="1646"/>
      <c r="AK134" s="1646"/>
      <c r="AL134" s="1646"/>
      <c r="AM134" s="1646"/>
      <c r="AN134" s="1646"/>
      <c r="AO134" s="1646"/>
      <c r="AP134" s="1646"/>
      <c r="AQ134" s="1646"/>
      <c r="AR134" s="1646"/>
      <c r="AS134" s="1646"/>
      <c r="AT134" s="1646"/>
      <c r="AU134" s="1646"/>
      <c r="AV134" s="1646"/>
      <c r="AW134" s="1646"/>
      <c r="AX134" s="1646"/>
      <c r="AY134" s="1646"/>
      <c r="AZ134" s="1646"/>
      <c r="BA134" s="1646"/>
      <c r="BB134" s="1646"/>
      <c r="BC134" s="1646"/>
      <c r="BD134" s="1646"/>
      <c r="BE134" s="1646"/>
      <c r="BF134" s="1646"/>
      <c r="BG134" s="1646"/>
      <c r="BH134" s="1646"/>
      <c r="BI134" s="1646"/>
      <c r="BJ134" s="1646"/>
      <c r="BK134" s="1646"/>
      <c r="BL134" s="1646"/>
      <c r="BM134" s="1646"/>
      <c r="BN134" s="1646"/>
      <c r="BO134" s="1646"/>
      <c r="BP134" s="1646"/>
      <c r="BQ134" s="1646"/>
      <c r="BR134" s="1646"/>
      <c r="BS134" s="1646"/>
      <c r="BT134" s="1646"/>
      <c r="BU134" s="1646"/>
      <c r="BV134" s="1646"/>
      <c r="BW134" s="1646"/>
      <c r="BX134" s="1646"/>
      <c r="BY134" s="1646"/>
      <c r="BZ134" s="1646"/>
      <c r="CA134" s="1646"/>
      <c r="CB134" s="1646"/>
      <c r="CC134" s="1646"/>
      <c r="CD134" s="1646"/>
      <c r="CE134" s="1646"/>
    </row>
    <row s="1326" customFormat="1" customHeight="1" ht="5.25" hidden="1">
      <c r="A135" s="1803"/>
      <c r="B135" s="1646"/>
      <c r="C135" s="1646"/>
      <c r="D135" s="2590"/>
      <c r="E135" s="1053"/>
      <c r="F135" s="1054"/>
      <c r="G135" s="1054"/>
      <c r="H135" s="1055"/>
      <c r="I135" s="1055"/>
      <c r="J135" s="1055"/>
      <c r="K135" s="1055"/>
      <c r="L135" s="1055"/>
      <c r="M135" s="1055"/>
      <c r="N135" s="1055"/>
      <c r="O135" s="1055"/>
      <c r="P135" s="1055"/>
      <c r="Q135" s="1055"/>
      <c r="R135" s="956"/>
      <c r="S135" s="1056"/>
      <c r="T135" s="728"/>
      <c r="U135" s="2384"/>
      <c r="V135" s="2384"/>
      <c r="W135" s="1646"/>
      <c r="X135" s="1646"/>
      <c r="Y135" s="1646"/>
      <c r="Z135" s="1646"/>
      <c r="AA135" s="1646"/>
      <c r="AB135" s="1646"/>
      <c r="AC135" s="1047"/>
      <c r="AD135" s="1048"/>
      <c r="AE135" s="1646"/>
      <c r="AF135" s="1646"/>
      <c r="AG135" s="1646"/>
      <c r="AH135" s="1646"/>
      <c r="AI135" s="1646"/>
      <c r="AJ135" s="1646"/>
      <c r="AK135" s="1646"/>
      <c r="AL135" s="1646"/>
      <c r="AM135" s="1646"/>
      <c r="AN135" s="1646"/>
      <c r="AO135" s="1646"/>
      <c r="AP135" s="1646"/>
      <c r="AQ135" s="1646"/>
      <c r="AR135" s="1646"/>
      <c r="AS135" s="1646"/>
      <c r="AT135" s="1646"/>
      <c r="AU135" s="1646"/>
      <c r="AV135" s="1646"/>
      <c r="AW135" s="1646"/>
      <c r="AX135" s="1646"/>
      <c r="AY135" s="1646"/>
      <c r="AZ135" s="1646"/>
      <c r="BA135" s="1646"/>
      <c r="BB135" s="1646"/>
      <c r="BC135" s="1646"/>
      <c r="BD135" s="1646"/>
      <c r="BE135" s="1646"/>
      <c r="BF135" s="1646"/>
      <c r="BG135" s="1646"/>
      <c r="BH135" s="1646"/>
      <c r="BI135" s="1646"/>
      <c r="BJ135" s="1646"/>
      <c r="BK135" s="1646"/>
      <c r="BL135" s="1646"/>
      <c r="BM135" s="1646"/>
      <c r="BN135" s="1646"/>
      <c r="BO135" s="1646"/>
      <c r="BP135" s="1646"/>
      <c r="BQ135" s="1646"/>
      <c r="BR135" s="1646"/>
      <c r="BS135" s="1646"/>
      <c r="BT135" s="1646"/>
      <c r="BU135" s="1646"/>
      <c r="BV135" s="1646"/>
      <c r="BW135" s="1646"/>
      <c r="BX135" s="1646"/>
      <c r="BY135" s="1646"/>
      <c r="BZ135" s="1646"/>
      <c r="CA135" s="1646"/>
      <c r="CB135" s="1646"/>
      <c r="CC135" s="1646"/>
      <c r="CD135" s="1646"/>
      <c r="CE135" s="1646"/>
    </row>
    <row customHeight="1" ht="17.25">
      <c r="D136" s="1846"/>
    </row>
    <row s="1825" customFormat="1" customHeight="1" ht="11.25">
      <c r="A137" s="1825" t="s">
        <v>2215</v>
      </c>
    </row>
    <row r="139" s="1860" customFormat="1" customHeight="1" ht="45">
      <c r="A139" s="1816"/>
      <c r="B139" s="1170"/>
      <c r="C139" s="422"/>
      <c r="D139" s="99"/>
      <c r="E139" s="2582"/>
      <c r="F139" s="2118" t="s">
        <v>124</v>
      </c>
      <c r="G139" s="2585" t="s">
        <v>22</v>
      </c>
      <c r="H139" s="299"/>
      <c r="I139" s="647" t="s">
        <v>124</v>
      </c>
      <c r="J139" s="1817" t="s">
        <v>2216</v>
      </c>
      <c r="K139" s="648" t="s">
        <v>568</v>
      </c>
      <c r="L139" s="2234" t="s">
        <v>568</v>
      </c>
      <c r="M139" s="2587"/>
      <c r="N139" s="648" t="s">
        <v>568</v>
      </c>
      <c r="O139" s="648" t="s">
        <v>568</v>
      </c>
      <c r="P139" s="648" t="s">
        <v>568</v>
      </c>
      <c r="Q139" s="649">
        <f>SUM(Q140:Q142)</f>
        <v>0</v>
      </c>
      <c r="R139" s="649">
        <f>IF(R136=0,0,(Q136/R136)*100)</f>
        <v>0</v>
      </c>
      <c r="S139" s="2189"/>
      <c r="T139" s="727" t="s">
        <v>634</v>
      </c>
      <c r="U139" s="99"/>
      <c r="V139" s="99"/>
      <c r="AC139" s="99"/>
    </row>
    <row s="1860" customFormat="1" customHeight="1" ht="11.25">
      <c r="A140" s="1816"/>
      <c r="B140" s="1170"/>
      <c r="C140" s="422"/>
      <c r="D140" s="99"/>
      <c r="E140" s="2583"/>
      <c r="F140" s="2118"/>
      <c r="G140" s="2585"/>
      <c r="H140" s="2137"/>
      <c r="I140" s="2525" t="s">
        <v>1304</v>
      </c>
      <c r="J140" s="2579"/>
      <c r="K140" s="2580"/>
      <c r="L140" s="650"/>
      <c r="M140" s="651" t="s">
        <v>124</v>
      </c>
      <c r="N140" s="1805"/>
      <c r="O140" s="652"/>
      <c r="P140" s="653"/>
      <c r="Q140" s="652"/>
      <c r="R140" s="654">
        <v>0</v>
      </c>
      <c r="S140" s="2189"/>
      <c r="T140" s="727"/>
      <c r="U140" s="99"/>
      <c r="V140" s="99"/>
      <c r="AC140" s="99"/>
    </row>
    <row s="1860" customFormat="1" customHeight="1" ht="11.25">
      <c r="A141" s="1816"/>
      <c r="B141" s="1170"/>
      <c r="C141" s="422"/>
      <c r="D141" s="99"/>
      <c r="E141" s="2583"/>
      <c r="F141" s="2118"/>
      <c r="G141" s="2585"/>
      <c r="H141" s="2137"/>
      <c r="I141" s="2525"/>
      <c r="J141" s="2579"/>
      <c r="K141" s="2581"/>
      <c r="L141" s="655"/>
      <c r="M141" s="656"/>
      <c r="N141" s="657" t="s">
        <v>2217</v>
      </c>
      <c r="O141" s="657"/>
      <c r="P141" s="657"/>
      <c r="Q141" s="657"/>
      <c r="R141" s="658"/>
      <c r="S141" s="2189"/>
      <c r="T141" s="727"/>
      <c r="U141" s="99"/>
      <c r="V141" s="99"/>
      <c r="AC141" s="99"/>
    </row>
    <row s="1860" customFormat="1" customHeight="1" ht="11.25">
      <c r="A142" s="1816"/>
      <c r="B142" s="1170"/>
      <c r="C142" s="422"/>
      <c r="D142" s="99"/>
      <c r="E142" s="2584"/>
      <c r="F142" s="2118"/>
      <c r="G142" s="2586"/>
      <c r="H142" s="655" t="s">
        <v>22</v>
      </c>
      <c r="I142" s="656"/>
      <c r="J142" s="657" t="s">
        <v>2218</v>
      </c>
      <c r="K142" s="657"/>
      <c r="L142" s="657"/>
      <c r="M142" s="657"/>
      <c r="N142" s="657"/>
      <c r="O142" s="657"/>
      <c r="P142" s="657"/>
      <c r="Q142" s="657"/>
      <c r="R142" s="658"/>
      <c r="S142" s="2189"/>
      <c r="T142" s="727"/>
      <c r="U142" s="99"/>
      <c r="V142" s="99"/>
      <c r="AC142" s="99"/>
    </row>
    <row r="147" s="1860" customFormat="1" customHeight="1" ht="11.25">
      <c r="A147" s="1816"/>
      <c r="B147" s="1170"/>
      <c r="C147" s="422"/>
      <c r="D147" s="99"/>
      <c r="E147" s="1840"/>
      <c r="F147" s="1840"/>
      <c r="G147" s="1840"/>
      <c r="H147" s="2137"/>
      <c r="I147" s="2525" t="s">
        <v>1304</v>
      </c>
      <c r="J147" s="2579"/>
      <c r="K147" s="2580"/>
      <c r="L147" s="650"/>
      <c r="M147" s="651" t="s">
        <v>124</v>
      </c>
      <c r="N147" s="1805"/>
      <c r="O147" s="652"/>
      <c r="P147" s="653"/>
      <c r="Q147" s="652"/>
      <c r="R147" s="654">
        <v>0</v>
      </c>
      <c r="S147" s="99"/>
      <c r="T147" s="727"/>
      <c r="U147" s="99"/>
      <c r="V147" s="99"/>
      <c r="AC147" s="99"/>
    </row>
    <row s="1860" customFormat="1" customHeight="1" ht="11.25">
      <c r="A148" s="1816"/>
      <c r="B148" s="1170"/>
      <c r="C148" s="422"/>
      <c r="D148" s="99"/>
      <c r="E148" s="1840"/>
      <c r="F148" s="1840"/>
      <c r="G148" s="1840"/>
      <c r="H148" s="2137"/>
      <c r="I148" s="2525"/>
      <c r="J148" s="2579"/>
      <c r="K148" s="2581"/>
      <c r="L148" s="655"/>
      <c r="M148" s="656"/>
      <c r="N148" s="657" t="s">
        <v>2217</v>
      </c>
      <c r="O148" s="657"/>
      <c r="P148" s="657"/>
      <c r="Q148" s="657"/>
      <c r="R148" s="658"/>
      <c r="S148" s="99"/>
      <c r="T148" s="727"/>
      <c r="U148" s="99"/>
      <c r="V148" s="99"/>
      <c r="AC148" s="99"/>
    </row>
    <row r="150" s="1860" customFormat="1" customHeight="1" ht="11.25">
      <c r="A150" s="1816"/>
      <c r="B150" s="1170"/>
      <c r="C150" s="422"/>
      <c r="D150" s="99"/>
      <c r="E150" s="1847"/>
      <c r="F150" s="1845"/>
      <c r="G150" s="1845"/>
      <c r="H150" s="1848"/>
      <c r="I150" s="1840"/>
      <c r="J150" s="1841"/>
      <c r="K150" s="1841"/>
      <c r="L150" s="650"/>
      <c r="M150" s="651" t="s">
        <v>124</v>
      </c>
      <c r="N150" s="1805"/>
      <c r="O150" s="652"/>
      <c r="P150" s="653"/>
      <c r="Q150" s="652"/>
      <c r="R150" s="654">
        <v>0</v>
      </c>
      <c r="S150" s="99"/>
      <c r="T150" s="727"/>
      <c r="U150" s="99"/>
      <c r="V150" s="99"/>
      <c r="AC150" s="99"/>
    </row>
    <row r="152" s="1825" customFormat="1" customHeight="1" ht="17.25">
      <c r="A152" s="1825" t="s">
        <v>2219</v>
      </c>
    </row>
    <row customHeight="1" ht="17.25">
      <c r="G153" s="1849"/>
      <c r="H153" s="1849"/>
      <c r="I153" s="1849"/>
      <c r="M153" s="1845"/>
    </row>
    <row s="1863" customFormat="1" customHeight="1" ht="17.25">
      <c r="A154" s="1850"/>
      <c r="C154" s="1852"/>
      <c r="D154" s="2539"/>
      <c r="E154" s="2153"/>
      <c r="F154" s="2155"/>
      <c r="G154" s="2541"/>
      <c r="H154" s="2539"/>
      <c r="I154" s="2539">
        <v>1</v>
      </c>
      <c r="J154" s="2511"/>
      <c r="K154" s="2195" t="s">
        <v>66</v>
      </c>
      <c r="L154" s="2118"/>
      <c r="M154" s="2118" t="s">
        <v>124</v>
      </c>
      <c r="N154" s="2514" t="str">
        <f>IF(Z154="","",INDEX(TERRITORY_MR_LIST,MATCH(Z154,TERRITORY_LIST_ID,0)))</f>
        <v/>
      </c>
      <c r="O154" s="2195" t="s">
        <v>66</v>
      </c>
      <c r="P154" s="2118"/>
      <c r="Q154" s="2118" t="s">
        <v>124</v>
      </c>
      <c r="R154" s="2512" t="s">
        <v>22</v>
      </c>
      <c r="S154" s="2117" t="s">
        <v>66</v>
      </c>
      <c r="T154" s="1821"/>
      <c r="U154" s="1821" t="s">
        <v>124</v>
      </c>
      <c r="V154" s="1853" t="s">
        <v>22</v>
      </c>
      <c r="W154" s="1811"/>
      <c r="Y154" s="1277"/>
      <c r="Z154" s="1277"/>
      <c r="AA154" s="1277"/>
      <c r="AB154" s="1277"/>
      <c r="AC154" s="1277"/>
      <c r="AD154" s="1277"/>
      <c r="AE154" s="1277"/>
      <c r="AF154" s="1277"/>
      <c r="AG154" s="1277"/>
      <c r="AH154" s="1277"/>
      <c r="AI154" s="1277"/>
      <c r="AJ154" s="1277"/>
      <c r="AK154" s="1277"/>
      <c r="AL154" s="1854"/>
      <c r="AM154" s="1854"/>
      <c r="AN154" s="1277"/>
      <c r="AO154" s="1277"/>
      <c r="AP154" s="1277"/>
      <c r="AQ154" s="1277"/>
    </row>
    <row s="1863" customFormat="1" customHeight="1" ht="17.25">
      <c r="A155" s="1850"/>
      <c r="C155" s="1855"/>
      <c r="D155" s="2539"/>
      <c r="E155" s="2153"/>
      <c r="F155" s="2156"/>
      <c r="G155" s="2541"/>
      <c r="H155" s="2539"/>
      <c r="I155" s="2539"/>
      <c r="J155" s="2511"/>
      <c r="K155" s="2196"/>
      <c r="L155" s="2118"/>
      <c r="M155" s="2118"/>
      <c r="N155" s="2514"/>
      <c r="O155" s="2196"/>
      <c r="P155" s="2118"/>
      <c r="Q155" s="2118"/>
      <c r="R155" s="2512"/>
      <c r="S155" s="2117"/>
      <c r="T155" s="327"/>
      <c r="U155" s="328"/>
      <c r="V155" s="328" t="s">
        <v>436</v>
      </c>
      <c r="W155" s="329"/>
      <c r="Y155" s="1269"/>
      <c r="Z155" s="1269"/>
      <c r="AA155" s="1269"/>
      <c r="AB155" s="1269"/>
      <c r="AC155" s="1269"/>
      <c r="AD155" s="1269"/>
      <c r="AE155" s="1269"/>
      <c r="AF155" s="1269"/>
      <c r="AG155" s="1269"/>
      <c r="AH155" s="1269"/>
      <c r="AI155" s="1269"/>
      <c r="AJ155" s="1269"/>
      <c r="AK155" s="1269"/>
    </row>
    <row s="1863" customFormat="1" customHeight="1" ht="17.25">
      <c r="A156" s="1850"/>
      <c r="C156" s="1855"/>
      <c r="D156" s="2513"/>
      <c r="E156" s="2540"/>
      <c r="F156" s="2156"/>
      <c r="G156" s="2542"/>
      <c r="H156" s="2513"/>
      <c r="I156" s="2513"/>
      <c r="J156" s="2543"/>
      <c r="K156" s="2196"/>
      <c r="L156" s="2513"/>
      <c r="M156" s="2513"/>
      <c r="N156" s="2515"/>
      <c r="O156" s="2122"/>
      <c r="P156" s="327"/>
      <c r="Q156" s="328"/>
      <c r="R156" s="328" t="s">
        <v>437</v>
      </c>
      <c r="S156" s="1856"/>
      <c r="T156" s="1856"/>
      <c r="U156" s="1856"/>
      <c r="V156" s="1856"/>
      <c r="W156" s="329"/>
      <c r="Y156" s="1269"/>
      <c r="Z156" s="1269"/>
      <c r="AA156" s="1269"/>
      <c r="AB156" s="1269"/>
      <c r="AC156" s="1269"/>
      <c r="AD156" s="1269"/>
      <c r="AE156" s="1269"/>
      <c r="AF156" s="1269"/>
      <c r="AG156" s="1269"/>
      <c r="AH156" s="1269"/>
      <c r="AI156" s="1269"/>
      <c r="AJ156" s="1269"/>
      <c r="AK156" s="1269"/>
    </row>
    <row s="1863" customFormat="1" customHeight="1" ht="17.25">
      <c r="A157" s="1850"/>
      <c r="C157" s="1855"/>
      <c r="D157" s="2513"/>
      <c r="E157" s="2540"/>
      <c r="F157" s="2156"/>
      <c r="G157" s="2542"/>
      <c r="H157" s="2513"/>
      <c r="I157" s="2513"/>
      <c r="J157" s="2543"/>
      <c r="K157" s="2122"/>
      <c r="L157" s="327"/>
      <c r="M157" s="328"/>
      <c r="N157" s="328" t="s">
        <v>438</v>
      </c>
      <c r="O157" s="328"/>
      <c r="P157" s="328"/>
      <c r="Q157" s="328"/>
      <c r="R157" s="328"/>
      <c r="S157" s="1856"/>
      <c r="T157" s="1856"/>
      <c r="U157" s="1856"/>
      <c r="V157" s="1856"/>
      <c r="W157" s="329"/>
      <c r="Y157" s="1269"/>
      <c r="Z157" s="1269"/>
      <c r="AA157" s="1269"/>
      <c r="AB157" s="1269"/>
      <c r="AC157" s="1269"/>
      <c r="AD157" s="1269"/>
      <c r="AE157" s="1269"/>
      <c r="AF157" s="1269"/>
      <c r="AG157" s="1269"/>
      <c r="AH157" s="1269"/>
      <c r="AI157" s="1269"/>
      <c r="AJ157" s="1269"/>
      <c r="AK157" s="1269"/>
    </row>
    <row s="1863" customFormat="1" customHeight="1" ht="17.25">
      <c r="A158" s="1850"/>
      <c r="C158" s="1855"/>
      <c r="D158" s="2513"/>
      <c r="E158" s="2540"/>
      <c r="F158" s="2157"/>
      <c r="G158" s="2542"/>
      <c r="H158" s="327"/>
      <c r="I158" s="328"/>
      <c r="J158" s="328" t="s">
        <v>470</v>
      </c>
      <c r="K158" s="328"/>
      <c r="L158" s="328"/>
      <c r="M158" s="328"/>
      <c r="N158" s="328"/>
      <c r="O158" s="328"/>
      <c r="P158" s="328"/>
      <c r="Q158" s="328"/>
      <c r="R158" s="328"/>
      <c r="S158" s="1856"/>
      <c r="T158" s="1856"/>
      <c r="U158" s="1856"/>
      <c r="V158" s="1856"/>
      <c r="W158" s="329"/>
      <c r="Y158" s="1269"/>
      <c r="Z158" s="1269"/>
      <c r="AA158" s="1269"/>
      <c r="AB158" s="1269"/>
      <c r="AC158" s="1269"/>
      <c r="AD158" s="1269"/>
      <c r="AE158" s="1269"/>
      <c r="AF158" s="1269"/>
      <c r="AG158" s="1269"/>
      <c r="AH158" s="1269"/>
      <c r="AI158" s="1269"/>
      <c r="AJ158" s="1269"/>
      <c r="AK158" s="1269"/>
    </row>
    <row customHeight="1" ht="17.25">
      <c r="G159" s="1849"/>
      <c r="H159" s="1849"/>
      <c r="I159" s="1849"/>
      <c r="M159" s="1845"/>
    </row>
    <row s="1863" customFormat="1" customHeight="1" ht="17.25">
      <c r="A160" s="1850"/>
      <c r="C160" s="1852"/>
      <c r="D160" s="1840"/>
      <c r="E160" s="1857"/>
      <c r="F160" s="1794"/>
      <c r="G160" s="1858"/>
      <c r="H160" s="2539"/>
      <c r="I160" s="2539">
        <v>1</v>
      </c>
      <c r="J160" s="2511"/>
      <c r="K160" s="2195" t="s">
        <v>66</v>
      </c>
      <c r="L160" s="2118"/>
      <c r="M160" s="2118" t="s">
        <v>124</v>
      </c>
      <c r="N160" s="2514" t="str">
        <f>IF(Z160="","",INDEX(TERRITORY_MR_LIST,MATCH(Z160,TERRITORY_LIST_ID,0)))</f>
        <v/>
      </c>
      <c r="O160" s="2195" t="s">
        <v>66</v>
      </c>
      <c r="P160" s="2118"/>
      <c r="Q160" s="2118" t="s">
        <v>124</v>
      </c>
      <c r="R160" s="2512" t="s">
        <v>22</v>
      </c>
      <c r="S160" s="2117" t="s">
        <v>66</v>
      </c>
      <c r="T160" s="1821"/>
      <c r="U160" s="1821" t="s">
        <v>124</v>
      </c>
      <c r="V160" s="1853" t="s">
        <v>22</v>
      </c>
      <c r="W160" s="1811"/>
      <c r="Y160" s="1277"/>
      <c r="Z160" s="1277"/>
      <c r="AA160" s="1277"/>
      <c r="AB160" s="1277"/>
      <c r="AC160" s="1277"/>
      <c r="AD160" s="1277"/>
      <c r="AE160" s="1277"/>
      <c r="AF160" s="1277"/>
      <c r="AG160" s="1277"/>
      <c r="AH160" s="1277"/>
      <c r="AI160" s="1277"/>
      <c r="AJ160" s="1277"/>
      <c r="AK160" s="1277"/>
      <c r="AL160" s="1854"/>
      <c r="AM160" s="1854"/>
      <c r="AN160" s="1277"/>
      <c r="AO160" s="1277"/>
      <c r="AP160" s="1277"/>
      <c r="AQ160" s="1277"/>
    </row>
    <row s="1863" customFormat="1" customHeight="1" ht="17.25">
      <c r="A161" s="1850"/>
      <c r="C161" s="1855"/>
      <c r="D161" s="1840"/>
      <c r="E161" s="1857"/>
      <c r="F161" s="1794"/>
      <c r="G161" s="1858"/>
      <c r="H161" s="2539"/>
      <c r="I161" s="2539"/>
      <c r="J161" s="2511"/>
      <c r="K161" s="2196"/>
      <c r="L161" s="2118"/>
      <c r="M161" s="2118"/>
      <c r="N161" s="2514"/>
      <c r="O161" s="2196"/>
      <c r="P161" s="2118"/>
      <c r="Q161" s="2118"/>
      <c r="R161" s="2512"/>
      <c r="S161" s="2117"/>
      <c r="T161" s="327"/>
      <c r="U161" s="328"/>
      <c r="V161" s="328" t="s">
        <v>436</v>
      </c>
      <c r="W161" s="329"/>
      <c r="Y161" s="1269"/>
      <c r="Z161" s="1269"/>
      <c r="AA161" s="1269"/>
      <c r="AB161" s="1269"/>
      <c r="AC161" s="1269"/>
      <c r="AD161" s="1269"/>
      <c r="AE161" s="1269"/>
      <c r="AF161" s="1269"/>
      <c r="AG161" s="1269"/>
      <c r="AH161" s="1269"/>
      <c r="AI161" s="1269"/>
      <c r="AJ161" s="1269"/>
      <c r="AK161" s="1269"/>
    </row>
    <row s="1863" customFormat="1" customHeight="1" ht="17.25">
      <c r="A162" s="1850"/>
      <c r="C162" s="1855"/>
      <c r="D162" s="1840"/>
      <c r="E162" s="1857"/>
      <c r="F162" s="1794"/>
      <c r="G162" s="1858"/>
      <c r="H162" s="2513"/>
      <c r="I162" s="2513"/>
      <c r="J162" s="2543"/>
      <c r="K162" s="2196"/>
      <c r="L162" s="2513"/>
      <c r="M162" s="2513"/>
      <c r="N162" s="2515"/>
      <c r="O162" s="2122"/>
      <c r="P162" s="327"/>
      <c r="Q162" s="328"/>
      <c r="R162" s="328" t="s">
        <v>437</v>
      </c>
      <c r="S162" s="1856"/>
      <c r="T162" s="1856"/>
      <c r="U162" s="1856"/>
      <c r="V162" s="1856"/>
      <c r="W162" s="329"/>
      <c r="Y162" s="1269"/>
      <c r="Z162" s="1269"/>
      <c r="AA162" s="1269"/>
      <c r="AB162" s="1269"/>
      <c r="AC162" s="1269"/>
      <c r="AD162" s="1269"/>
      <c r="AE162" s="1269"/>
      <c r="AF162" s="1269"/>
      <c r="AG162" s="1269"/>
      <c r="AH162" s="1269"/>
      <c r="AI162" s="1269"/>
      <c r="AJ162" s="1269"/>
      <c r="AK162" s="1269"/>
    </row>
    <row s="1863" customFormat="1" customHeight="1" ht="17.25">
      <c r="A163" s="1850"/>
      <c r="C163" s="1855"/>
      <c r="D163" s="1840"/>
      <c r="E163" s="1857"/>
      <c r="F163" s="1794"/>
      <c r="G163" s="1858"/>
      <c r="H163" s="2513"/>
      <c r="I163" s="2513"/>
      <c r="J163" s="2543"/>
      <c r="K163" s="2122"/>
      <c r="L163" s="327"/>
      <c r="M163" s="328"/>
      <c r="N163" s="328" t="s">
        <v>438</v>
      </c>
      <c r="O163" s="328"/>
      <c r="P163" s="328"/>
      <c r="Q163" s="328"/>
      <c r="R163" s="328"/>
      <c r="S163" s="1856"/>
      <c r="T163" s="1856"/>
      <c r="U163" s="1856"/>
      <c r="V163" s="1856"/>
      <c r="W163" s="329"/>
      <c r="Y163" s="1269"/>
      <c r="Z163" s="1269"/>
      <c r="AA163" s="1269"/>
      <c r="AB163" s="1269"/>
      <c r="AC163" s="1269"/>
      <c r="AD163" s="1269"/>
      <c r="AE163" s="1269"/>
      <c r="AF163" s="1269"/>
      <c r="AG163" s="1269"/>
      <c r="AH163" s="1269"/>
      <c r="AI163" s="1269"/>
      <c r="AJ163" s="1269"/>
      <c r="AK163" s="1269"/>
    </row>
    <row customHeight="1" ht="17.25">
      <c r="G164" s="1849"/>
      <c r="H164" s="1849"/>
      <c r="I164" s="1849"/>
      <c r="M164" s="1845"/>
    </row>
    <row s="1863" customFormat="1" customHeight="1" ht="17.25">
      <c r="A165" s="1850"/>
      <c r="C165" s="1852"/>
      <c r="D165" s="1840"/>
      <c r="E165" s="1857"/>
      <c r="F165" s="1794"/>
      <c r="G165" s="1858"/>
      <c r="H165" s="1840"/>
      <c r="I165" s="1840"/>
      <c r="J165" s="1859"/>
      <c r="K165" s="1770"/>
      <c r="L165" s="2118"/>
      <c r="M165" s="2118" t="s">
        <v>124</v>
      </c>
      <c r="N165" s="2514" t="str">
        <f>IF(Z165="","",INDEX(TERRITORY_MR_LIST,MATCH(Z165,TERRITORY_LIST_ID,0)))</f>
        <v/>
      </c>
      <c r="O165" s="2195" t="s">
        <v>66</v>
      </c>
      <c r="P165" s="2118"/>
      <c r="Q165" s="2118" t="s">
        <v>124</v>
      </c>
      <c r="R165" s="2512" t="s">
        <v>22</v>
      </c>
      <c r="S165" s="2117" t="s">
        <v>66</v>
      </c>
      <c r="T165" s="1821"/>
      <c r="U165" s="1821" t="s">
        <v>124</v>
      </c>
      <c r="V165" s="1853" t="s">
        <v>22</v>
      </c>
      <c r="W165" s="1811"/>
      <c r="Y165" s="1277"/>
      <c r="Z165" s="1277"/>
      <c r="AA165" s="1277"/>
      <c r="AB165" s="1277"/>
      <c r="AC165" s="1277"/>
      <c r="AD165" s="1277"/>
      <c r="AE165" s="1277"/>
      <c r="AF165" s="1277"/>
      <c r="AG165" s="1277"/>
      <c r="AH165" s="1277"/>
      <c r="AI165" s="1277"/>
      <c r="AJ165" s="1277"/>
      <c r="AK165" s="1277"/>
      <c r="AL165" s="1854"/>
      <c r="AM165" s="1854"/>
      <c r="AN165" s="1277"/>
      <c r="AO165" s="1277"/>
      <c r="AP165" s="1277"/>
      <c r="AQ165" s="1277"/>
    </row>
    <row s="1863" customFormat="1" customHeight="1" ht="17.25">
      <c r="A166" s="1850"/>
      <c r="C166" s="1855"/>
      <c r="D166" s="1840"/>
      <c r="E166" s="1857"/>
      <c r="F166" s="1794"/>
      <c r="G166" s="1858"/>
      <c r="H166" s="1840"/>
      <c r="I166" s="1840"/>
      <c r="J166" s="1859"/>
      <c r="K166" s="1770"/>
      <c r="L166" s="2118"/>
      <c r="M166" s="2118"/>
      <c r="N166" s="2514"/>
      <c r="O166" s="2196"/>
      <c r="P166" s="2118"/>
      <c r="Q166" s="2118"/>
      <c r="R166" s="2512"/>
      <c r="S166" s="2117"/>
      <c r="T166" s="327"/>
      <c r="U166" s="328"/>
      <c r="V166" s="328" t="s">
        <v>436</v>
      </c>
      <c r="W166" s="329"/>
      <c r="Y166" s="1269"/>
      <c r="Z166" s="1269"/>
      <c r="AA166" s="1269"/>
      <c r="AB166" s="1269"/>
      <c r="AC166" s="1269"/>
      <c r="AD166" s="1269"/>
      <c r="AE166" s="1269"/>
      <c r="AF166" s="1269"/>
      <c r="AG166" s="1269"/>
      <c r="AH166" s="1269"/>
      <c r="AI166" s="1269"/>
      <c r="AJ166" s="1269"/>
      <c r="AK166" s="1269"/>
    </row>
    <row s="1863" customFormat="1" customHeight="1" ht="17.25">
      <c r="A167" s="1850"/>
      <c r="C167" s="1855"/>
      <c r="D167" s="1840"/>
      <c r="E167" s="1857"/>
      <c r="F167" s="1794"/>
      <c r="G167" s="1858"/>
      <c r="H167" s="1840"/>
      <c r="I167" s="1840"/>
      <c r="J167" s="1859"/>
      <c r="K167" s="1770"/>
      <c r="L167" s="2513"/>
      <c r="M167" s="2513"/>
      <c r="N167" s="2515"/>
      <c r="O167" s="2122"/>
      <c r="P167" s="327"/>
      <c r="Q167" s="328"/>
      <c r="R167" s="328" t="s">
        <v>437</v>
      </c>
      <c r="S167" s="1856"/>
      <c r="T167" s="1856"/>
      <c r="U167" s="1856"/>
      <c r="V167" s="1856"/>
      <c r="W167" s="329"/>
      <c r="Y167" s="1269"/>
      <c r="Z167" s="1269"/>
      <c r="AA167" s="1269"/>
      <c r="AB167" s="1269"/>
      <c r="AC167" s="1269"/>
      <c r="AD167" s="1269"/>
      <c r="AE167" s="1269"/>
      <c r="AF167" s="1269"/>
      <c r="AG167" s="1269"/>
      <c r="AH167" s="1269"/>
      <c r="AI167" s="1269"/>
      <c r="AJ167" s="1269"/>
      <c r="AK167" s="1269"/>
    </row>
    <row customHeight="1" ht="17.25">
      <c r="G168" s="1849"/>
      <c r="H168" s="1849"/>
      <c r="I168" s="1849"/>
      <c r="M168" s="1845"/>
    </row>
    <row s="1863" customFormat="1" customHeight="1" ht="17.25">
      <c r="A169" s="1850"/>
      <c r="C169" s="1852"/>
      <c r="D169" s="1840"/>
      <c r="E169" s="1857"/>
      <c r="F169" s="1794"/>
      <c r="G169" s="1858"/>
      <c r="H169" s="1840"/>
      <c r="I169" s="1840"/>
      <c r="J169" s="1859"/>
      <c r="K169" s="1770"/>
      <c r="L169" s="1766"/>
      <c r="M169" s="1766"/>
      <c r="N169" s="2058"/>
      <c r="O169" s="1797"/>
      <c r="P169" s="2118"/>
      <c r="Q169" s="2118" t="s">
        <v>124</v>
      </c>
      <c r="R169" s="2512" t="s">
        <v>22</v>
      </c>
      <c r="S169" s="2117" t="s">
        <v>66</v>
      </c>
      <c r="T169" s="1821"/>
      <c r="U169" s="1821" t="s">
        <v>124</v>
      </c>
      <c r="V169" s="1853" t="s">
        <v>22</v>
      </c>
      <c r="W169" s="1811"/>
      <c r="Y169" s="1277"/>
      <c r="Z169" s="1277"/>
      <c r="AA169" s="1277"/>
      <c r="AB169" s="1277"/>
      <c r="AC169" s="1277"/>
      <c r="AD169" s="1277"/>
      <c r="AE169" s="1277"/>
      <c r="AF169" s="1277"/>
      <c r="AG169" s="1277"/>
      <c r="AH169" s="1277"/>
      <c r="AI169" s="1277"/>
      <c r="AJ169" s="1277"/>
      <c r="AK169" s="1277"/>
      <c r="AL169" s="1854"/>
      <c r="AM169" s="1854"/>
      <c r="AN169" s="1277"/>
      <c r="AO169" s="1277"/>
      <c r="AP169" s="1277"/>
      <c r="AQ169" s="1277"/>
    </row>
    <row s="1863" customFormat="1" customHeight="1" ht="17.25">
      <c r="A170" s="1850"/>
      <c r="C170" s="1855"/>
      <c r="D170" s="1840"/>
      <c r="E170" s="1857"/>
      <c r="F170" s="1794"/>
      <c r="G170" s="1858"/>
      <c r="H170" s="1840"/>
      <c r="I170" s="1840"/>
      <c r="J170" s="1859"/>
      <c r="K170" s="1770"/>
      <c r="L170" s="1766"/>
      <c r="M170" s="1766"/>
      <c r="N170" s="2058"/>
      <c r="O170" s="1797"/>
      <c r="P170" s="2118"/>
      <c r="Q170" s="2118"/>
      <c r="R170" s="2512"/>
      <c r="S170" s="2117"/>
      <c r="T170" s="327"/>
      <c r="U170" s="328"/>
      <c r="V170" s="328" t="s">
        <v>436</v>
      </c>
      <c r="W170" s="329"/>
      <c r="Y170" s="1269"/>
      <c r="Z170" s="1269"/>
      <c r="AA170" s="1269"/>
      <c r="AB170" s="1269"/>
      <c r="AC170" s="1269"/>
      <c r="AD170" s="1269"/>
      <c r="AE170" s="1269"/>
      <c r="AF170" s="1269"/>
      <c r="AG170" s="1269"/>
      <c r="AH170" s="1269"/>
      <c r="AI170" s="1269"/>
      <c r="AJ170" s="1269"/>
      <c r="AK170" s="1269"/>
    </row>
    <row customHeight="1" ht="17.25">
      <c r="G171" s="1849"/>
      <c r="H171" s="1849"/>
      <c r="I171" s="1849"/>
      <c r="M171" s="1845"/>
    </row>
    <row s="1863" customFormat="1" customHeight="1" ht="17.25">
      <c r="A172" s="1850"/>
      <c r="C172" s="1852"/>
      <c r="D172" s="1840"/>
      <c r="E172" s="1857"/>
      <c r="F172" s="1794"/>
      <c r="G172" s="1858"/>
      <c r="H172" s="1766"/>
      <c r="I172" s="1766"/>
      <c r="J172" s="1767"/>
      <c r="K172" s="1858"/>
      <c r="L172" s="1766"/>
      <c r="M172" s="1766"/>
      <c r="N172" s="1858"/>
      <c r="O172" s="1858"/>
      <c r="P172" s="1766"/>
      <c r="Q172" s="1766"/>
      <c r="R172" s="1768"/>
      <c r="S172" s="1858"/>
      <c r="T172" s="1821"/>
      <c r="U172" s="1821" t="s">
        <v>124</v>
      </c>
      <c r="V172" s="1853" t="s">
        <v>22</v>
      </c>
      <c r="W172" s="1811"/>
      <c r="Y172" s="1277"/>
      <c r="Z172" s="1277"/>
      <c r="AA172" s="1277"/>
      <c r="AB172" s="1277"/>
      <c r="AC172" s="1277"/>
      <c r="AD172" s="1277"/>
      <c r="AE172" s="1277"/>
      <c r="AF172" s="1277"/>
      <c r="AG172" s="1277"/>
      <c r="AH172" s="1277"/>
      <c r="AI172" s="1277"/>
      <c r="AJ172" s="1277"/>
      <c r="AK172" s="1277"/>
      <c r="AL172" s="1854"/>
      <c r="AM172" s="1854"/>
      <c r="AN172" s="1277"/>
      <c r="AO172" s="1277"/>
      <c r="AP172" s="1277"/>
      <c r="AQ172" s="1277"/>
    </row>
    <row r="174" s="1825" customFormat="1" customHeight="1" ht="17.25">
      <c r="A174" s="1825" t="s">
        <v>2220</v>
      </c>
    </row>
    <row customHeight="1" ht="17.25">
      <c r="G175" s="1849"/>
      <c r="H175" s="1849"/>
      <c r="I175" s="1849"/>
      <c r="M175" s="1845"/>
    </row>
    <row s="1863" customFormat="1" customHeight="1" ht="17.25">
      <c r="A176" s="1850"/>
      <c r="C176" s="1852"/>
      <c r="D176" s="2539"/>
      <c r="E176" s="2153"/>
      <c r="F176" s="2155"/>
      <c r="G176" s="2541"/>
      <c r="H176" s="2539"/>
      <c r="I176" s="2539">
        <v>1</v>
      </c>
      <c r="J176" s="2511"/>
      <c r="K176" s="2195" t="s">
        <v>66</v>
      </c>
      <c r="L176" s="2118"/>
      <c r="M176" s="2118" t="s">
        <v>124</v>
      </c>
      <c r="N176" s="2514" t="str">
        <f>IF(Z176="","",INDEX(TERRITORY_MR_LIST,MATCH(Z176,TERRITORY_LIST_ID,0)))</f>
        <v/>
      </c>
      <c r="O176" s="2195" t="s">
        <v>66</v>
      </c>
      <c r="P176" s="2118"/>
      <c r="Q176" s="2118" t="s">
        <v>124</v>
      </c>
      <c r="R176" s="2512" t="s">
        <v>22</v>
      </c>
      <c r="S176" s="2416" t="s">
        <v>19</v>
      </c>
      <c r="T176" s="1812"/>
      <c r="U176" s="1812" t="s">
        <v>124</v>
      </c>
      <c r="V176" s="1444"/>
      <c r="W176" s="2511"/>
      <c r="Y176" s="1277"/>
      <c r="Z176" s="1277"/>
      <c r="AA176" s="1277"/>
      <c r="AB176" s="1277"/>
      <c r="AC176" s="1277"/>
      <c r="AD176" s="1277"/>
      <c r="AE176" s="1277"/>
      <c r="AF176" s="1277"/>
      <c r="AG176" s="1277"/>
      <c r="AH176" s="1277"/>
      <c r="AI176" s="1277"/>
      <c r="AJ176" s="1277"/>
      <c r="AK176" s="1277"/>
      <c r="AL176" s="1854"/>
      <c r="AM176" s="1854"/>
      <c r="AN176" s="1277"/>
      <c r="AO176" s="1277"/>
      <c r="AP176" s="1277"/>
      <c r="AQ176" s="1277"/>
    </row>
    <row s="1863" customFormat="1" customHeight="1" ht="17.25">
      <c r="A177" s="1850"/>
      <c r="C177" s="1855"/>
      <c r="D177" s="2539"/>
      <c r="E177" s="2153"/>
      <c r="F177" s="2156"/>
      <c r="G177" s="2541"/>
      <c r="H177" s="2539"/>
      <c r="I177" s="2539"/>
      <c r="J177" s="2511"/>
      <c r="K177" s="2196"/>
      <c r="L177" s="2118"/>
      <c r="M177" s="2118"/>
      <c r="N177" s="2514"/>
      <c r="O177" s="2196"/>
      <c r="P177" s="2118"/>
      <c r="Q177" s="2118"/>
      <c r="R177" s="2512"/>
      <c r="S177" s="2416"/>
      <c r="T177" s="1445"/>
      <c r="U177" s="1446"/>
      <c r="V177" s="1446"/>
      <c r="W177" s="2511"/>
      <c r="Y177" s="1269"/>
      <c r="Z177" s="1269"/>
      <c r="AA177" s="1269"/>
      <c r="AB177" s="1269"/>
      <c r="AC177" s="1269"/>
      <c r="AD177" s="1269"/>
      <c r="AE177" s="1269"/>
      <c r="AF177" s="1269"/>
      <c r="AG177" s="1269"/>
      <c r="AH177" s="1269"/>
      <c r="AI177" s="1269"/>
      <c r="AJ177" s="1269"/>
      <c r="AK177" s="1269"/>
    </row>
    <row s="1863" customFormat="1" customHeight="1" ht="17.25">
      <c r="A178" s="1850"/>
      <c r="C178" s="1855"/>
      <c r="D178" s="2513"/>
      <c r="E178" s="2540"/>
      <c r="F178" s="2156"/>
      <c r="G178" s="2542"/>
      <c r="H178" s="2513"/>
      <c r="I178" s="2513"/>
      <c r="J178" s="2543"/>
      <c r="K178" s="2196"/>
      <c r="L178" s="2513"/>
      <c r="M178" s="2513"/>
      <c r="N178" s="2515"/>
      <c r="O178" s="2122"/>
      <c r="P178" s="327"/>
      <c r="Q178" s="328"/>
      <c r="R178" s="328" t="s">
        <v>437</v>
      </c>
      <c r="S178" s="1856"/>
      <c r="T178" s="1856"/>
      <c r="U178" s="1856"/>
      <c r="V178" s="1856"/>
      <c r="W178" s="1443"/>
      <c r="Y178" s="1269"/>
      <c r="Z178" s="1269"/>
      <c r="AA178" s="1269"/>
      <c r="AB178" s="1269"/>
      <c r="AC178" s="1269"/>
      <c r="AD178" s="1269"/>
      <c r="AE178" s="1269"/>
      <c r="AF178" s="1269"/>
      <c r="AG178" s="1269"/>
      <c r="AH178" s="1269"/>
      <c r="AI178" s="1269"/>
      <c r="AJ178" s="1269"/>
      <c r="AK178" s="1269"/>
    </row>
    <row s="1863" customFormat="1" customHeight="1" ht="17.25">
      <c r="A179" s="1850"/>
      <c r="C179" s="1855"/>
      <c r="D179" s="2513"/>
      <c r="E179" s="2540"/>
      <c r="F179" s="2156"/>
      <c r="G179" s="2542"/>
      <c r="H179" s="2513"/>
      <c r="I179" s="2513"/>
      <c r="J179" s="2543"/>
      <c r="K179" s="2122"/>
      <c r="L179" s="327"/>
      <c r="M179" s="328"/>
      <c r="N179" s="328" t="s">
        <v>438</v>
      </c>
      <c r="O179" s="328"/>
      <c r="P179" s="328"/>
      <c r="Q179" s="328"/>
      <c r="R179" s="328"/>
      <c r="S179" s="1856"/>
      <c r="T179" s="1856"/>
      <c r="U179" s="1856"/>
      <c r="V179" s="1856"/>
      <c r="W179" s="329"/>
      <c r="Y179" s="1269"/>
      <c r="Z179" s="1269"/>
      <c r="AA179" s="1269"/>
      <c r="AB179" s="1269"/>
      <c r="AC179" s="1269"/>
      <c r="AD179" s="1269"/>
      <c r="AE179" s="1269"/>
      <c r="AF179" s="1269"/>
      <c r="AG179" s="1269"/>
      <c r="AH179" s="1269"/>
      <c r="AI179" s="1269"/>
      <c r="AJ179" s="1269"/>
      <c r="AK179" s="1269"/>
    </row>
    <row s="1863" customFormat="1" customHeight="1" ht="17.25">
      <c r="A180" s="1850"/>
      <c r="C180" s="1855"/>
      <c r="D180" s="2513"/>
      <c r="E180" s="2540"/>
      <c r="F180" s="2157"/>
      <c r="G180" s="2542"/>
      <c r="H180" s="327"/>
      <c r="I180" s="328"/>
      <c r="J180" s="328" t="s">
        <v>470</v>
      </c>
      <c r="K180" s="328"/>
      <c r="L180" s="328"/>
      <c r="M180" s="328"/>
      <c r="N180" s="328"/>
      <c r="O180" s="328"/>
      <c r="P180" s="328"/>
      <c r="Q180" s="328"/>
      <c r="R180" s="328"/>
      <c r="S180" s="1856"/>
      <c r="T180" s="1856"/>
      <c r="U180" s="1856"/>
      <c r="V180" s="1856"/>
      <c r="W180" s="329"/>
      <c r="Y180" s="1269"/>
      <c r="Z180" s="1269"/>
      <c r="AA180" s="1269"/>
      <c r="AB180" s="1269"/>
      <c r="AC180" s="1269"/>
      <c r="AD180" s="1269"/>
      <c r="AE180" s="1269"/>
      <c r="AF180" s="1269"/>
      <c r="AG180" s="1269"/>
      <c r="AH180" s="1269"/>
      <c r="AI180" s="1269"/>
      <c r="AJ180" s="1269"/>
      <c r="AK180" s="1269"/>
    </row>
    <row customHeight="1" ht="17.25">
      <c r="A181" s="1860"/>
    </row>
    <row s="1863" customFormat="1" customHeight="1" ht="17.25">
      <c r="A182" s="1850"/>
      <c r="C182" s="1852"/>
      <c r="D182" s="1840"/>
      <c r="E182" s="1857"/>
      <c r="F182" s="1794"/>
      <c r="G182" s="1858"/>
      <c r="H182" s="2539"/>
      <c r="I182" s="2539">
        <v>1</v>
      </c>
      <c r="J182" s="2511"/>
      <c r="K182" s="2195" t="s">
        <v>66</v>
      </c>
      <c r="L182" s="2118"/>
      <c r="M182" s="2118" t="s">
        <v>124</v>
      </c>
      <c r="N182" s="2514" t="str">
        <f>IF(Z182="","",INDEX(TERRITORY_MR_LIST,MATCH(Z182,TERRITORY_LIST_ID,0)))</f>
        <v/>
      </c>
      <c r="O182" s="2195" t="s">
        <v>66</v>
      </c>
      <c r="P182" s="2118"/>
      <c r="Q182" s="2118" t="s">
        <v>124</v>
      </c>
      <c r="R182" s="2512" t="s">
        <v>22</v>
      </c>
      <c r="S182" s="2416" t="s">
        <v>19</v>
      </c>
      <c r="T182" s="1812"/>
      <c r="U182" s="1812" t="s">
        <v>124</v>
      </c>
      <c r="V182" s="1444"/>
      <c r="W182" s="2511"/>
      <c r="Y182" s="1277"/>
      <c r="Z182" s="1277"/>
      <c r="AA182" s="1277"/>
      <c r="AB182" s="1277"/>
      <c r="AC182" s="1277"/>
      <c r="AD182" s="1277"/>
      <c r="AE182" s="1277"/>
      <c r="AF182" s="1277"/>
      <c r="AG182" s="1277"/>
      <c r="AH182" s="1277"/>
      <c r="AI182" s="1277"/>
      <c r="AJ182" s="1277"/>
      <c r="AK182" s="1277"/>
      <c r="AL182" s="1854"/>
      <c r="AM182" s="1854"/>
      <c r="AN182" s="1277"/>
      <c r="AO182" s="1277"/>
      <c r="AP182" s="1277"/>
      <c r="AQ182" s="1277"/>
    </row>
    <row s="1863" customFormat="1" customHeight="1" ht="17.25">
      <c r="A183" s="1850"/>
      <c r="C183" s="1855"/>
      <c r="D183" s="1840"/>
      <c r="E183" s="1857"/>
      <c r="F183" s="1794"/>
      <c r="G183" s="1858"/>
      <c r="H183" s="2539"/>
      <c r="I183" s="2539"/>
      <c r="J183" s="2511"/>
      <c r="K183" s="2196"/>
      <c r="L183" s="2118"/>
      <c r="M183" s="2118"/>
      <c r="N183" s="2514"/>
      <c r="O183" s="2196"/>
      <c r="P183" s="2118"/>
      <c r="Q183" s="2118"/>
      <c r="R183" s="2512"/>
      <c r="S183" s="2416"/>
      <c r="T183" s="1445"/>
      <c r="U183" s="1446"/>
      <c r="V183" s="1446"/>
      <c r="W183" s="2511"/>
      <c r="Y183" s="1269"/>
      <c r="Z183" s="1269"/>
      <c r="AA183" s="1269"/>
      <c r="AB183" s="1269"/>
      <c r="AC183" s="1269"/>
      <c r="AD183" s="1269"/>
      <c r="AE183" s="1269"/>
      <c r="AF183" s="1269"/>
      <c r="AG183" s="1269"/>
      <c r="AH183" s="1269"/>
      <c r="AI183" s="1269"/>
      <c r="AJ183" s="1269"/>
      <c r="AK183" s="1269"/>
    </row>
    <row s="1863" customFormat="1" customHeight="1" ht="17.25">
      <c r="A184" s="1850"/>
      <c r="C184" s="1855"/>
      <c r="D184" s="1840"/>
      <c r="E184" s="1857"/>
      <c r="F184" s="1794"/>
      <c r="G184" s="1858"/>
      <c r="H184" s="2513"/>
      <c r="I184" s="2513"/>
      <c r="J184" s="2543"/>
      <c r="K184" s="2196"/>
      <c r="L184" s="2513"/>
      <c r="M184" s="2513"/>
      <c r="N184" s="2515"/>
      <c r="O184" s="2122"/>
      <c r="P184" s="327"/>
      <c r="Q184" s="328"/>
      <c r="R184" s="328" t="s">
        <v>437</v>
      </c>
      <c r="S184" s="1856"/>
      <c r="T184" s="1856"/>
      <c r="U184" s="1856"/>
      <c r="V184" s="1856"/>
      <c r="W184" s="1443"/>
      <c r="Y184" s="1269"/>
      <c r="Z184" s="1269"/>
      <c r="AA184" s="1269"/>
      <c r="AB184" s="1269"/>
      <c r="AC184" s="1269"/>
      <c r="AD184" s="1269"/>
      <c r="AE184" s="1269"/>
      <c r="AF184" s="1269"/>
      <c r="AG184" s="1269"/>
      <c r="AH184" s="1269"/>
      <c r="AI184" s="1269"/>
      <c r="AJ184" s="1269"/>
      <c r="AK184" s="1269"/>
    </row>
    <row s="1863" customFormat="1" customHeight="1" ht="17.25">
      <c r="A185" s="1850"/>
      <c r="C185" s="1855"/>
      <c r="D185" s="1840"/>
      <c r="E185" s="1857"/>
      <c r="F185" s="1794"/>
      <c r="G185" s="1858"/>
      <c r="H185" s="2513"/>
      <c r="I185" s="2513"/>
      <c r="J185" s="2543"/>
      <c r="K185" s="2122"/>
      <c r="L185" s="327"/>
      <c r="M185" s="328"/>
      <c r="N185" s="328" t="s">
        <v>438</v>
      </c>
      <c r="O185" s="328"/>
      <c r="P185" s="328"/>
      <c r="Q185" s="328"/>
      <c r="R185" s="328"/>
      <c r="S185" s="1856"/>
      <c r="T185" s="1856"/>
      <c r="U185" s="1856"/>
      <c r="V185" s="1856"/>
      <c r="W185" s="329"/>
      <c r="Y185" s="1269"/>
      <c r="Z185" s="1269"/>
      <c r="AA185" s="1269"/>
      <c r="AB185" s="1269"/>
      <c r="AC185" s="1269"/>
      <c r="AD185" s="1269"/>
      <c r="AE185" s="1269"/>
      <c r="AF185" s="1269"/>
      <c r="AG185" s="1269"/>
      <c r="AH185" s="1269"/>
      <c r="AI185" s="1269"/>
      <c r="AJ185" s="1269"/>
      <c r="AK185" s="1269"/>
    </row>
    <row customHeight="1" ht="17.25">
      <c r="A186" s="1860"/>
    </row>
    <row s="1863" customFormat="1" customHeight="1" ht="17.25">
      <c r="A187" s="1850"/>
      <c r="C187" s="1852"/>
      <c r="D187" s="1840"/>
      <c r="E187" s="1857"/>
      <c r="F187" s="1794"/>
      <c r="G187" s="1858"/>
      <c r="H187" s="1840"/>
      <c r="I187" s="1840"/>
      <c r="J187" s="1861"/>
      <c r="K187" s="1858"/>
      <c r="L187" s="2118"/>
      <c r="M187" s="2118" t="s">
        <v>124</v>
      </c>
      <c r="N187" s="2514" t="str">
        <f>IF(Z187="","",INDEX(TERRITORY_MR_LIST,MATCH(Z187,TERRITORY_LIST_ID,0)))</f>
        <v/>
      </c>
      <c r="O187" s="2195" t="s">
        <v>66</v>
      </c>
      <c r="P187" s="2118"/>
      <c r="Q187" s="2118" t="s">
        <v>124</v>
      </c>
      <c r="R187" s="2512" t="s">
        <v>22</v>
      </c>
      <c r="S187" s="2416" t="s">
        <v>19</v>
      </c>
      <c r="T187" s="1812"/>
      <c r="U187" s="1812" t="s">
        <v>124</v>
      </c>
      <c r="V187" s="1444"/>
      <c r="W187" s="2511"/>
      <c r="Y187" s="1277"/>
      <c r="Z187" s="1277"/>
      <c r="AA187" s="1277"/>
      <c r="AB187" s="1277"/>
      <c r="AC187" s="1277"/>
      <c r="AD187" s="1277"/>
      <c r="AE187" s="1277"/>
      <c r="AF187" s="1277"/>
      <c r="AG187" s="1277"/>
      <c r="AH187" s="1277"/>
      <c r="AI187" s="1277"/>
      <c r="AJ187" s="1277"/>
      <c r="AK187" s="1277"/>
      <c r="AL187" s="1854"/>
      <c r="AM187" s="1854"/>
      <c r="AN187" s="1277"/>
      <c r="AO187" s="1277"/>
      <c r="AP187" s="1277"/>
      <c r="AQ187" s="1277"/>
    </row>
    <row s="1863" customFormat="1" customHeight="1" ht="17.25">
      <c r="A188" s="1850"/>
      <c r="C188" s="1855"/>
      <c r="D188" s="1840"/>
      <c r="E188" s="1857"/>
      <c r="F188" s="1794"/>
      <c r="G188" s="1858"/>
      <c r="H188" s="1840"/>
      <c r="I188" s="1840"/>
      <c r="J188" s="1861"/>
      <c r="K188" s="1858"/>
      <c r="L188" s="2118"/>
      <c r="M188" s="2118"/>
      <c r="N188" s="2514"/>
      <c r="O188" s="2196"/>
      <c r="P188" s="2118"/>
      <c r="Q188" s="2118"/>
      <c r="R188" s="2512"/>
      <c r="S188" s="2416"/>
      <c r="T188" s="1445"/>
      <c r="U188" s="1446"/>
      <c r="V188" s="1446"/>
      <c r="W188" s="2511"/>
      <c r="Y188" s="1269"/>
      <c r="Z188" s="1269"/>
      <c r="AA188" s="1269"/>
      <c r="AB188" s="1269"/>
      <c r="AC188" s="1269"/>
      <c r="AD188" s="1269"/>
      <c r="AE188" s="1269"/>
      <c r="AF188" s="1269"/>
      <c r="AG188" s="1269"/>
      <c r="AH188" s="1269"/>
      <c r="AI188" s="1269"/>
      <c r="AJ188" s="1269"/>
      <c r="AK188" s="1269"/>
    </row>
    <row s="1863" customFormat="1" customHeight="1" ht="17.25">
      <c r="A189" s="1850"/>
      <c r="C189" s="1855"/>
      <c r="D189" s="1840"/>
      <c r="E189" s="1857"/>
      <c r="F189" s="1794"/>
      <c r="G189" s="1858"/>
      <c r="H189" s="1840"/>
      <c r="I189" s="1840"/>
      <c r="J189" s="1861"/>
      <c r="K189" s="1858"/>
      <c r="L189" s="2513"/>
      <c r="M189" s="2513"/>
      <c r="N189" s="2515"/>
      <c r="O189" s="2122"/>
      <c r="P189" s="327"/>
      <c r="Q189" s="328"/>
      <c r="R189" s="328" t="s">
        <v>437</v>
      </c>
      <c r="S189" s="1856"/>
      <c r="T189" s="1856"/>
      <c r="U189" s="1856"/>
      <c r="V189" s="1856"/>
      <c r="W189" s="1443"/>
      <c r="Y189" s="1269"/>
      <c r="Z189" s="1269"/>
      <c r="AA189" s="1269"/>
      <c r="AB189" s="1269"/>
      <c r="AC189" s="1269"/>
      <c r="AD189" s="1269"/>
      <c r="AE189" s="1269"/>
      <c r="AF189" s="1269"/>
      <c r="AG189" s="1269"/>
      <c r="AH189" s="1269"/>
      <c r="AI189" s="1269"/>
      <c r="AJ189" s="1269"/>
      <c r="AK189" s="1269"/>
    </row>
    <row customHeight="1" ht="17.25">
      <c r="A190" s="1860"/>
    </row>
    <row s="1863" customFormat="1" customHeight="1" ht="17.25">
      <c r="A191" s="1850"/>
      <c r="C191" s="1852"/>
      <c r="D191" s="1840"/>
      <c r="E191" s="1857"/>
      <c r="F191" s="1794"/>
      <c r="G191" s="1858"/>
      <c r="H191" s="1840"/>
      <c r="I191" s="1840"/>
      <c r="J191" s="1861"/>
      <c r="K191" s="1858"/>
      <c r="L191" s="1840"/>
      <c r="M191" s="1840"/>
      <c r="N191" s="2058"/>
      <c r="O191" s="1797"/>
      <c r="P191" s="2118"/>
      <c r="Q191" s="2118" t="s">
        <v>124</v>
      </c>
      <c r="R191" s="2512" t="s">
        <v>22</v>
      </c>
      <c r="S191" s="2416" t="s">
        <v>19</v>
      </c>
      <c r="T191" s="1812"/>
      <c r="U191" s="1812" t="s">
        <v>124</v>
      </c>
      <c r="V191" s="1444"/>
      <c r="W191" s="2511"/>
      <c r="Y191" s="1277"/>
      <c r="Z191" s="1277"/>
      <c r="AA191" s="1277"/>
      <c r="AB191" s="1277"/>
      <c r="AC191" s="1277"/>
      <c r="AD191" s="1277"/>
      <c r="AE191" s="1277"/>
      <c r="AF191" s="1277"/>
      <c r="AG191" s="1277"/>
      <c r="AH191" s="1277"/>
      <c r="AI191" s="1277"/>
      <c r="AJ191" s="1277"/>
      <c r="AK191" s="1277"/>
      <c r="AL191" s="1854"/>
      <c r="AM191" s="1854"/>
      <c r="AN191" s="1277"/>
      <c r="AO191" s="1277"/>
      <c r="AP191" s="1277"/>
      <c r="AQ191" s="1277"/>
    </row>
    <row s="1863" customFormat="1" customHeight="1" ht="17.25">
      <c r="A192" s="1850"/>
      <c r="C192" s="1855"/>
      <c r="D192" s="1840"/>
      <c r="E192" s="1857"/>
      <c r="F192" s="1794"/>
      <c r="G192" s="1858"/>
      <c r="H192" s="1840"/>
      <c r="I192" s="1840"/>
      <c r="J192" s="1861"/>
      <c r="K192" s="1858"/>
      <c r="L192" s="1840"/>
      <c r="M192" s="1840"/>
      <c r="N192" s="2058"/>
      <c r="O192" s="1797"/>
      <c r="P192" s="2118"/>
      <c r="Q192" s="2118"/>
      <c r="R192" s="2512"/>
      <c r="S192" s="2416"/>
      <c r="T192" s="1445"/>
      <c r="U192" s="1446"/>
      <c r="V192" s="1446"/>
      <c r="W192" s="2511"/>
      <c r="Y192" s="1269"/>
      <c r="Z192" s="1269"/>
      <c r="AA192" s="1269"/>
      <c r="AB192" s="1269"/>
      <c r="AC192" s="1269"/>
      <c r="AD192" s="1269"/>
      <c r="AE192" s="1269"/>
      <c r="AF192" s="1269"/>
      <c r="AG192" s="1269"/>
      <c r="AH192" s="1269"/>
      <c r="AI192" s="1269"/>
      <c r="AJ192" s="1269"/>
      <c r="AK192" s="1269"/>
    </row>
    <row customHeight="1" ht="17.25">
      <c r="A193" s="1860"/>
    </row>
    <row customHeight="1" ht="16.5">
      <c r="A194" s="1850"/>
      <c r="B194" s="1851"/>
      <c r="C194" s="1855"/>
      <c r="D194" s="2563"/>
      <c r="E194" s="2189"/>
      <c r="F194" s="2189"/>
      <c r="G194" s="2137"/>
      <c r="H194" s="2564"/>
      <c r="I194" s="2577"/>
      <c r="J194" s="2162"/>
      <c r="K194" s="2147"/>
      <c r="L194" s="2147"/>
      <c r="M194" s="2147"/>
      <c r="N194" s="2575"/>
      <c r="O194" s="2147"/>
      <c r="P194" s="2147"/>
      <c r="Q194" s="2147"/>
      <c r="R194" s="2573"/>
      <c r="S194" s="2147"/>
      <c r="T194" s="1793"/>
      <c r="U194" s="1793"/>
      <c r="V194" s="1862"/>
      <c r="W194" s="1306"/>
    </row>
    <row customHeight="1" ht="16.5">
      <c r="A195" s="1850"/>
      <c r="B195" s="1851"/>
      <c r="C195" s="1855"/>
      <c r="D195" s="2563"/>
      <c r="E195" s="2189"/>
      <c r="F195" s="2189"/>
      <c r="G195" s="2137"/>
      <c r="H195" s="2565"/>
      <c r="I195" s="2578"/>
      <c r="J195" s="2163"/>
      <c r="K195" s="2148"/>
      <c r="L195" s="2148"/>
      <c r="M195" s="2148"/>
      <c r="N195" s="2576"/>
      <c r="O195" s="2148"/>
      <c r="P195" s="2148"/>
      <c r="Q195" s="2148"/>
      <c r="R195" s="2574"/>
      <c r="S195" s="2148"/>
      <c r="T195" s="1307"/>
      <c r="U195" s="1307"/>
      <c r="V195" s="1307"/>
      <c r="W195" s="1308"/>
    </row>
    <row customHeight="1" ht="17.25">
      <c r="A196" s="1850"/>
      <c r="B196" s="1851"/>
      <c r="C196" s="1855"/>
      <c r="D196" s="2563"/>
      <c r="E196" s="2189"/>
      <c r="F196" s="2189"/>
      <c r="G196" s="2137"/>
      <c r="H196" s="2565"/>
      <c r="I196" s="2578"/>
      <c r="J196" s="2566"/>
      <c r="K196" s="2148"/>
      <c r="L196" s="2148"/>
      <c r="M196" s="2148"/>
      <c r="N196" s="2574"/>
      <c r="O196" s="2148"/>
      <c r="P196" s="1796"/>
      <c r="Q196" s="1307"/>
      <c r="R196" s="1307"/>
      <c r="S196" s="1863"/>
      <c r="T196" s="1863"/>
      <c r="U196" s="1863"/>
      <c r="V196" s="1863"/>
      <c r="W196" s="1308"/>
    </row>
    <row customHeight="1" ht="17.25">
      <c r="A197" s="1850"/>
      <c r="B197" s="1851"/>
      <c r="C197" s="1855"/>
      <c r="D197" s="2563"/>
      <c r="E197" s="2189"/>
      <c r="F197" s="2189"/>
      <c r="G197" s="2137"/>
      <c r="H197" s="2565"/>
      <c r="I197" s="2578"/>
      <c r="J197" s="2566"/>
      <c r="K197" s="2148"/>
      <c r="L197" s="1307"/>
      <c r="M197" s="1307"/>
      <c r="N197" s="1307"/>
      <c r="O197" s="1307"/>
      <c r="P197" s="1307"/>
      <c r="Q197" s="1307"/>
      <c r="R197" s="1307"/>
      <c r="S197" s="1863"/>
      <c r="T197" s="1863"/>
      <c r="U197" s="1863"/>
      <c r="V197" s="1863"/>
      <c r="W197" s="1308"/>
    </row>
    <row customHeight="1" ht="17.25">
      <c r="A198" s="1850"/>
      <c r="B198" s="1851"/>
      <c r="C198" s="1855"/>
      <c r="D198" s="2563"/>
      <c r="E198" s="2189"/>
      <c r="F198" s="2189"/>
      <c r="G198" s="2137"/>
      <c r="H198" s="1309"/>
      <c r="I198" s="1310"/>
      <c r="J198" s="1310"/>
      <c r="K198" s="1310"/>
      <c r="L198" s="1310"/>
      <c r="M198" s="1310"/>
      <c r="N198" s="1310"/>
      <c r="O198" s="1310"/>
      <c r="P198" s="1310"/>
      <c r="Q198" s="1310"/>
      <c r="R198" s="1310"/>
      <c r="S198" s="1864"/>
      <c r="T198" s="1864"/>
      <c r="U198" s="1864"/>
      <c r="V198" s="1864"/>
      <c r="W198" s="1312"/>
    </row>
    <row r="200" s="1825" customFormat="1" customHeight="1" ht="17.25">
      <c r="A200" s="1825" t="s">
        <v>2221</v>
      </c>
    </row>
    <row customHeight="1" ht="17.25">
      <c r="G201" s="1849"/>
      <c r="H201" s="1849"/>
      <c r="I201" s="1849"/>
      <c r="M201" s="1845"/>
    </row>
    <row s="1860" customFormat="1" customHeight="1" ht="15">
      <c r="D202" s="2533"/>
      <c r="E202" s="2209"/>
      <c r="F202" s="2209"/>
      <c r="G202" s="2195"/>
      <c r="H202" s="1574"/>
      <c r="I202" s="2537">
        <v>1</v>
      </c>
      <c r="J202" s="2511"/>
      <c r="K202" s="1589"/>
      <c r="L202" s="2195" t="s">
        <v>66</v>
      </c>
      <c r="M202" s="2195" t="s">
        <v>66</v>
      </c>
      <c r="N202" s="1574"/>
      <c r="O202" s="2118" t="s">
        <v>124</v>
      </c>
      <c r="P202" s="2527"/>
      <c r="Q202" s="1590"/>
      <c r="R202" s="2195" t="s">
        <v>66</v>
      </c>
      <c r="S202" s="2195" t="s">
        <v>66</v>
      </c>
      <c r="T202" s="1865"/>
      <c r="U202" s="2118" t="s">
        <v>124</v>
      </c>
      <c r="V202" s="2534" t="str">
        <f>IF(AK202="","",INDEX(TERRITORY_MR_LIST,MATCH(AK202,TERRITORY_LIST_ID,0)))</f>
        <v/>
      </c>
      <c r="W202" s="1591"/>
      <c r="X202" s="2195" t="s">
        <v>66</v>
      </c>
      <c r="Y202" s="2195" t="s">
        <v>19</v>
      </c>
      <c r="Z202" s="1574"/>
      <c r="AA202" s="2118" t="s">
        <v>124</v>
      </c>
      <c r="AB202" s="2536"/>
      <c r="AC202" s="1592"/>
      <c r="AD202" s="2195" t="s">
        <v>66</v>
      </c>
      <c r="AE202" s="2195" t="s">
        <v>19</v>
      </c>
      <c r="AF202" s="1572"/>
      <c r="AG202" s="1821" t="s">
        <v>124</v>
      </c>
      <c r="AH202" s="1582"/>
      <c r="AI202" s="1811"/>
    </row>
    <row s="1860" customFormat="1" customHeight="1" ht="15">
      <c r="D203" s="2533"/>
      <c r="E203" s="2209"/>
      <c r="F203" s="2209"/>
      <c r="G203" s="2196"/>
      <c r="H203" s="1574"/>
      <c r="I203" s="2537"/>
      <c r="J203" s="2511"/>
      <c r="K203" s="1573"/>
      <c r="L203" s="2196"/>
      <c r="M203" s="2196"/>
      <c r="N203" s="1574"/>
      <c r="O203" s="2118"/>
      <c r="P203" s="2527"/>
      <c r="Q203" s="1570"/>
      <c r="R203" s="2196"/>
      <c r="S203" s="2196"/>
      <c r="T203" s="1865"/>
      <c r="U203" s="2118"/>
      <c r="V203" s="2535"/>
      <c r="W203" s="1571"/>
      <c r="X203" s="2196"/>
      <c r="Y203" s="2196"/>
      <c r="Z203" s="1574"/>
      <c r="AA203" s="2118"/>
      <c r="AB203" s="2505"/>
      <c r="AC203" s="1575"/>
      <c r="AD203" s="2122"/>
      <c r="AE203" s="2122"/>
      <c r="AF203" s="1576"/>
      <c r="AG203" s="1577"/>
      <c r="AH203" s="2528" t="s">
        <v>2222</v>
      </c>
      <c r="AI203" s="2529"/>
    </row>
    <row s="1860" customFormat="1" customHeight="1" ht="15">
      <c r="D204" s="2533"/>
      <c r="E204" s="2209"/>
      <c r="F204" s="2209"/>
      <c r="G204" s="2196"/>
      <c r="H204" s="1574"/>
      <c r="I204" s="2537"/>
      <c r="J204" s="2511"/>
      <c r="K204" s="1573"/>
      <c r="L204" s="2196"/>
      <c r="M204" s="2196"/>
      <c r="N204" s="1574"/>
      <c r="O204" s="2118"/>
      <c r="P204" s="2527"/>
      <c r="Q204" s="1570"/>
      <c r="R204" s="2196"/>
      <c r="S204" s="2196"/>
      <c r="T204" s="1865"/>
      <c r="U204" s="2118"/>
      <c r="V204" s="2535"/>
      <c r="W204" s="1571"/>
      <c r="X204" s="2196"/>
      <c r="Y204" s="2196"/>
      <c r="Z204" s="1613"/>
      <c r="AA204" s="1579"/>
      <c r="AB204" s="2530" t="s">
        <v>2223</v>
      </c>
      <c r="AC204" s="2530"/>
      <c r="AD204" s="2530"/>
      <c r="AE204" s="2530"/>
      <c r="AF204" s="2530"/>
      <c r="AG204" s="2530"/>
      <c r="AH204" s="2530"/>
      <c r="AI204" s="2531"/>
    </row>
    <row s="1860" customFormat="1" customHeight="1" ht="15">
      <c r="D205" s="2533"/>
      <c r="E205" s="2209"/>
      <c r="F205" s="2209"/>
      <c r="G205" s="2196"/>
      <c r="H205" s="1574"/>
      <c r="I205" s="2537"/>
      <c r="J205" s="2511"/>
      <c r="K205" s="1573"/>
      <c r="L205" s="2196"/>
      <c r="M205" s="2196"/>
      <c r="N205" s="1574"/>
      <c r="O205" s="2118"/>
      <c r="P205" s="2532"/>
      <c r="Q205" s="1570"/>
      <c r="R205" s="2196"/>
      <c r="S205" s="2196"/>
      <c r="T205" s="1866"/>
      <c r="U205" s="1614"/>
      <c r="V205" s="2528" t="s">
        <v>118</v>
      </c>
      <c r="W205" s="2528"/>
      <c r="X205" s="2528"/>
      <c r="Y205" s="2528"/>
      <c r="Z205" s="2528"/>
      <c r="AA205" s="2528"/>
      <c r="AB205" s="2528"/>
      <c r="AC205" s="2528"/>
      <c r="AD205" s="2528"/>
      <c r="AE205" s="2528"/>
      <c r="AF205" s="2528"/>
      <c r="AG205" s="2528"/>
      <c r="AH205" s="2528"/>
      <c r="AI205" s="2529"/>
    </row>
    <row s="1860" customFormat="1" customHeight="1" ht="11.25">
      <c r="D206" s="2533"/>
      <c r="E206" s="2209"/>
      <c r="F206" s="2209"/>
      <c r="G206" s="2196"/>
      <c r="H206" s="1578"/>
      <c r="I206" s="2537"/>
      <c r="J206" s="2538"/>
      <c r="K206" s="1573"/>
      <c r="L206" s="2196"/>
      <c r="M206" s="2196"/>
      <c r="N206" s="1578"/>
      <c r="O206" s="1579"/>
      <c r="P206" s="2528" t="s">
        <v>2224</v>
      </c>
      <c r="Q206" s="2528"/>
      <c r="R206" s="2528"/>
      <c r="S206" s="2528"/>
      <c r="T206" s="2528"/>
      <c r="U206" s="2528"/>
      <c r="V206" s="2528"/>
      <c r="W206" s="2528"/>
      <c r="X206" s="2528"/>
      <c r="Y206" s="2528"/>
      <c r="Z206" s="2528"/>
      <c r="AA206" s="2528"/>
      <c r="AB206" s="2528"/>
      <c r="AC206" s="2528"/>
      <c r="AD206" s="2528"/>
      <c r="AE206" s="2528"/>
      <c r="AF206" s="2528"/>
      <c r="AG206" s="2528"/>
      <c r="AH206" s="2528"/>
      <c r="AI206" s="2529"/>
    </row>
    <row s="1564" customFormat="1" customHeight="1" ht="11.25">
      <c r="D207" s="2533"/>
      <c r="E207" s="2209"/>
      <c r="F207" s="2209"/>
      <c r="G207" s="2122"/>
      <c r="H207" s="1580"/>
      <c r="I207" s="1581"/>
      <c r="J207" s="2528" t="s">
        <v>470</v>
      </c>
      <c r="K207" s="2528"/>
      <c r="L207" s="2528"/>
      <c r="M207" s="2528"/>
      <c r="N207" s="2528"/>
      <c r="O207" s="2528"/>
      <c r="P207" s="2528"/>
      <c r="Q207" s="2528"/>
      <c r="R207" s="2528"/>
      <c r="S207" s="2528"/>
      <c r="T207" s="2528"/>
      <c r="U207" s="2528"/>
      <c r="V207" s="2528"/>
      <c r="W207" s="2528"/>
      <c r="X207" s="2528"/>
      <c r="Y207" s="2528"/>
      <c r="Z207" s="2528"/>
      <c r="AA207" s="2528"/>
      <c r="AB207" s="2528"/>
      <c r="AC207" s="2528"/>
      <c r="AD207" s="2528"/>
      <c r="AE207" s="2528"/>
      <c r="AF207" s="2528"/>
      <c r="AG207" s="2528"/>
      <c r="AH207" s="2528"/>
      <c r="AI207" s="2529"/>
      <c r="BK207" s="1584"/>
    </row>
    <row customHeight="1" ht="17.25">
      <c r="G208" s="1849"/>
      <c r="I208" s="1849"/>
      <c r="J208" s="1849"/>
      <c r="N208" s="1845"/>
    </row>
    <row s="1860" customFormat="1" customHeight="1" ht="15">
      <c r="D209" s="2533"/>
      <c r="E209" s="2209"/>
      <c r="F209" s="2209"/>
      <c r="G209" s="2189"/>
      <c r="H209" s="1609"/>
      <c r="I209" s="2191"/>
      <c r="J209" s="2162"/>
      <c r="K209" s="1795"/>
      <c r="L209" s="2147"/>
      <c r="M209" s="2147"/>
      <c r="N209" s="1594"/>
      <c r="O209" s="2147"/>
      <c r="P209" s="2162"/>
      <c r="Q209" s="1799"/>
      <c r="R209" s="2147"/>
      <c r="S209" s="2147"/>
      <c r="T209" s="1867"/>
      <c r="U209" s="2147"/>
      <c r="V209" s="2162"/>
      <c r="W209" s="1597"/>
      <c r="X209" s="2147"/>
      <c r="Y209" s="2147"/>
      <c r="Z209" s="1594"/>
      <c r="AA209" s="2147"/>
      <c r="AB209" s="2162"/>
      <c r="AC209" s="1598"/>
      <c r="AD209" s="2147"/>
      <c r="AE209" s="2147"/>
      <c r="AF209" s="1793"/>
      <c r="AG209" s="1793"/>
      <c r="AH209" s="1599"/>
      <c r="AI209" s="1306"/>
    </row>
    <row s="1860" customFormat="1" customHeight="1" ht="15">
      <c r="D210" s="2533"/>
      <c r="E210" s="2209"/>
      <c r="F210" s="2209"/>
      <c r="G210" s="2189"/>
      <c r="H210" s="1610"/>
      <c r="I210" s="2192"/>
      <c r="J210" s="2163"/>
      <c r="K210" s="1620"/>
      <c r="L210" s="2148"/>
      <c r="M210" s="2148"/>
      <c r="N210" s="1600"/>
      <c r="O210" s="2148"/>
      <c r="P210" s="2163"/>
      <c r="Q210" s="1800"/>
      <c r="R210" s="2148"/>
      <c r="S210" s="2148"/>
      <c r="T210" s="1868"/>
      <c r="U210" s="2148"/>
      <c r="V210" s="2163"/>
      <c r="W210" s="1603"/>
      <c r="X210" s="2148"/>
      <c r="Y210" s="2148"/>
      <c r="Z210" s="1600"/>
      <c r="AA210" s="2148"/>
      <c r="AB210" s="2163"/>
      <c r="AC210" s="1604"/>
      <c r="AD210" s="2148"/>
      <c r="AE210" s="2148"/>
      <c r="AF210" s="1798"/>
      <c r="AG210" s="1798"/>
      <c r="AH210" s="2187"/>
      <c r="AI210" s="2188"/>
    </row>
    <row s="1860" customFormat="1" customHeight="1" ht="15">
      <c r="D211" s="2533"/>
      <c r="E211" s="2209"/>
      <c r="F211" s="2209"/>
      <c r="G211" s="2189"/>
      <c r="H211" s="1610"/>
      <c r="I211" s="2192"/>
      <c r="J211" s="2163"/>
      <c r="K211" s="1620"/>
      <c r="L211" s="2148"/>
      <c r="M211" s="2148"/>
      <c r="N211" s="1600"/>
      <c r="O211" s="2148"/>
      <c r="P211" s="2163"/>
      <c r="Q211" s="1800"/>
      <c r="R211" s="2148"/>
      <c r="S211" s="2148"/>
      <c r="T211" s="1868"/>
      <c r="U211" s="2148"/>
      <c r="V211" s="2163"/>
      <c r="W211" s="1603"/>
      <c r="X211" s="2148"/>
      <c r="Y211" s="2148"/>
      <c r="Z211" s="1796"/>
      <c r="AA211" s="1798"/>
      <c r="AB211" s="2187"/>
      <c r="AC211" s="2187"/>
      <c r="AD211" s="2187"/>
      <c r="AE211" s="2187"/>
      <c r="AF211" s="2187"/>
      <c r="AG211" s="2187"/>
      <c r="AH211" s="2187"/>
      <c r="AI211" s="2188"/>
    </row>
    <row s="1860" customFormat="1" customHeight="1" ht="15">
      <c r="D212" s="2533"/>
      <c r="E212" s="2209"/>
      <c r="F212" s="2209"/>
      <c r="G212" s="2189"/>
      <c r="H212" s="1610"/>
      <c r="I212" s="2192"/>
      <c r="J212" s="2163"/>
      <c r="K212" s="1620"/>
      <c r="L212" s="2148"/>
      <c r="M212" s="2148"/>
      <c r="N212" s="1600"/>
      <c r="O212" s="2148"/>
      <c r="P212" s="2163"/>
      <c r="Q212" s="1800"/>
      <c r="R212" s="2148"/>
      <c r="S212" s="2148"/>
      <c r="T212" s="1869"/>
      <c r="U212" s="1607"/>
      <c r="V212" s="2187"/>
      <c r="W212" s="2187"/>
      <c r="X212" s="2187"/>
      <c r="Y212" s="2187"/>
      <c r="Z212" s="2187"/>
      <c r="AA212" s="2187"/>
      <c r="AB212" s="2187"/>
      <c r="AC212" s="2187"/>
      <c r="AD212" s="2187"/>
      <c r="AE212" s="2187"/>
      <c r="AF212" s="2187"/>
      <c r="AG212" s="2187"/>
      <c r="AH212" s="2187"/>
      <c r="AI212" s="2188"/>
    </row>
    <row s="1860" customFormat="1" customHeight="1" ht="11.25">
      <c r="D213" s="2533"/>
      <c r="E213" s="2209"/>
      <c r="F213" s="2209"/>
      <c r="G213" s="2189"/>
      <c r="H213" s="1611"/>
      <c r="I213" s="2192"/>
      <c r="J213" s="2163"/>
      <c r="K213" s="1620"/>
      <c r="L213" s="2148"/>
      <c r="M213" s="2148"/>
      <c r="N213" s="1798"/>
      <c r="O213" s="1798"/>
      <c r="P213" s="2187"/>
      <c r="Q213" s="2187"/>
      <c r="R213" s="2187"/>
      <c r="S213" s="2187"/>
      <c r="T213" s="2187"/>
      <c r="U213" s="2187"/>
      <c r="V213" s="2187"/>
      <c r="W213" s="2187"/>
      <c r="X213" s="2187"/>
      <c r="Y213" s="2187"/>
      <c r="Z213" s="2187"/>
      <c r="AA213" s="2187"/>
      <c r="AB213" s="2187"/>
      <c r="AC213" s="2187"/>
      <c r="AD213" s="2187"/>
      <c r="AE213" s="2187"/>
      <c r="AF213" s="2187"/>
      <c r="AG213" s="2187"/>
      <c r="AH213" s="2187"/>
      <c r="AI213" s="2188"/>
    </row>
    <row s="1564" customFormat="1" customHeight="1" ht="11.25">
      <c r="D214" s="2533"/>
      <c r="E214" s="2209"/>
      <c r="F214" s="2209"/>
      <c r="G214" s="2194"/>
      <c r="H214" s="1608"/>
      <c r="I214" s="1612"/>
      <c r="J214" s="2197"/>
      <c r="K214" s="2197"/>
      <c r="L214" s="2197"/>
      <c r="M214" s="2197"/>
      <c r="N214" s="2197"/>
      <c r="O214" s="2197"/>
      <c r="P214" s="2197"/>
      <c r="Q214" s="2197"/>
      <c r="R214" s="2197"/>
      <c r="S214" s="2197"/>
      <c r="T214" s="2197"/>
      <c r="U214" s="2197"/>
      <c r="V214" s="2197"/>
      <c r="W214" s="2197"/>
      <c r="X214" s="2197"/>
      <c r="Y214" s="2197"/>
      <c r="Z214" s="2197"/>
      <c r="AA214" s="2197"/>
      <c r="AB214" s="2197"/>
      <c r="AC214" s="2197"/>
      <c r="AD214" s="2197"/>
      <c r="AE214" s="2197"/>
      <c r="AF214" s="2197"/>
      <c r="AG214" s="2197"/>
      <c r="AH214" s="2197"/>
      <c r="AI214" s="2198"/>
      <c r="BK214" s="1584"/>
    </row>
    <row customHeight="1" ht="17.25">
      <c r="A215" s="1860"/>
    </row>
  </sheetData>
  <sheetProtection sheet="1" formatColumns="0" formatRows="0" sort="1" autoFilter="0" insertRows="1" insertColumns="1" deleteRows="1" deleteColumns="1"/>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B0450B-9659-6EEA-7CC3-0.244B1F1B}"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50" width="43.140625"/>
    <col min="2" max="2" style="850" width="43.140625" hidden="1"/>
    <col min="3" max="3" style="850" width="43.140625"/>
    <col min="4" max="5" style="850" width="36.421875" customWidth="1"/>
    <col min="6" max="8" style="991" width="36.421875" customWidth="1"/>
  </cols>
  <sheetData>
    <row customHeight="1" ht="9">
      <c r="A1" s="856" t="s">
        <v>2225</v>
      </c>
      <c r="B1" s="856"/>
      <c r="C1" s="992" t="s">
        <v>2226</v>
      </c>
      <c r="D1" s="990" t="s">
        <v>832</v>
      </c>
      <c r="E1" s="990" t="s">
        <v>878</v>
      </c>
      <c r="F1" s="990" t="s">
        <v>931</v>
      </c>
      <c r="G1" s="990" t="s">
        <v>918</v>
      </c>
      <c r="H1" s="990" t="s">
        <v>1901</v>
      </c>
    </row>
    <row customHeight="1" ht="9">
      <c r="A2" s="993" t="s">
        <v>2227</v>
      </c>
      <c r="B2" s="993"/>
      <c r="C2" s="994" t="str">
        <f>INDEX(TEMPLATE_NUMBER_FORM_LIST,MATCH(TEMPLATE_SPHERE,TEMPLATE_SPHERE_LIST,0))</f>
        <v>16</v>
      </c>
      <c r="D2" s="993" t="s">
        <v>1750</v>
      </c>
      <c r="E2" s="993" t="s">
        <v>173</v>
      </c>
      <c r="F2" s="995" t="s">
        <v>173</v>
      </c>
      <c r="G2" s="993" t="s">
        <v>173</v>
      </c>
      <c r="H2" s="996"/>
    </row>
    <row customHeight="1" ht="63">
      <c r="A3" s="856"/>
      <c r="B3" s="856" t="s">
        <v>124</v>
      </c>
      <c r="C3" s="994"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94" t="s">
        <v>2228</v>
      </c>
      <c r="E3" s="99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95"/>
      <c r="G3" s="996"/>
      <c r="H3" s="856"/>
    </row>
    <row customHeight="1" ht="243">
      <c r="A4" s="856" t="s">
        <v>2229</v>
      </c>
      <c r="B4" s="856" t="s">
        <v>104</v>
      </c>
      <c r="C4" s="994"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93" t="s">
        <v>2230</v>
      </c>
      <c r="E4" s="99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93"/>
      <c r="G4" s="993"/>
      <c r="H4" s="856" t="s">
        <v>2231</v>
      </c>
    </row>
    <row customHeight="1" ht="117">
      <c r="A5" s="856" t="s">
        <v>2232</v>
      </c>
      <c r="B5" s="856" t="s">
        <v>90</v>
      </c>
      <c r="C5" s="994"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56" t="s">
        <v>2233</v>
      </c>
      <c r="E5" s="85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96"/>
      <c r="G5" s="996"/>
      <c r="H5" s="856" t="s">
        <v>2234</v>
      </c>
    </row>
    <row customHeight="1" ht="90">
      <c r="A6" s="856" t="s">
        <v>2235</v>
      </c>
      <c r="B6" s="856" t="s">
        <v>91</v>
      </c>
      <c r="C6" s="994"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56"/>
      <c r="G6" s="856"/>
      <c r="H6" s="996"/>
    </row>
    <row customHeight="1" ht="45">
      <c r="A7" s="856" t="s">
        <v>2236</v>
      </c>
      <c r="B7" s="856" t="s">
        <v>125</v>
      </c>
      <c r="C7" s="994" t="str">
        <f>IF(TEMPLATE_SPHERE="HEAT",D7,E7)</f>
        <v>Форма 11. Информация о расходах на капитальный и текущий ремонт основных средств</v>
      </c>
      <c r="D7" s="856" t="s">
        <v>2237</v>
      </c>
      <c r="E7" s="856" t="s">
        <v>2238</v>
      </c>
      <c r="F7" s="996"/>
      <c r="G7" s="996"/>
      <c r="H7" s="996"/>
    </row>
    <row customHeight="1" ht="108">
      <c r="A8" s="856" t="s">
        <v>2239</v>
      </c>
      <c r="B8" s="856" t="s">
        <v>92</v>
      </c>
      <c r="C8" s="994"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56" t="s">
        <v>1438</v>
      </c>
      <c r="E8" s="856" t="s">
        <v>2240</v>
      </c>
      <c r="F8" s="996"/>
      <c r="G8" s="996"/>
      <c r="H8" s="996"/>
    </row>
    <row customHeight="1" ht="99">
      <c r="A9" s="856" t="s">
        <v>2241</v>
      </c>
      <c r="B9" s="856"/>
      <c r="C9" s="856" t="s">
        <v>2242</v>
      </c>
      <c r="D9" s="856"/>
      <c r="E9" s="856"/>
      <c r="F9" s="996"/>
      <c r="G9" s="996"/>
      <c r="H9" s="996"/>
    </row>
    <row customHeight="1" ht="126">
      <c r="A10" s="856" t="s">
        <v>2243</v>
      </c>
      <c r="B10" s="856"/>
      <c r="C10" s="856" t="s">
        <v>2244</v>
      </c>
      <c r="D10" s="856"/>
      <c r="E10" s="856"/>
      <c r="F10" s="996"/>
      <c r="G10" s="996"/>
      <c r="H10" s="996"/>
    </row>
    <row customHeight="1" ht="108">
      <c r="A11" s="856" t="s">
        <v>2245</v>
      </c>
      <c r="B11" s="856"/>
      <c r="C11" s="856" t="s">
        <v>2246</v>
      </c>
      <c r="D11" s="856"/>
      <c r="E11" s="856"/>
      <c r="F11" s="996"/>
      <c r="G11" s="996"/>
      <c r="H11" s="996"/>
    </row>
    <row customHeight="1" ht="54">
      <c r="A12" s="856" t="s">
        <v>2247</v>
      </c>
      <c r="B12" s="856"/>
      <c r="C12" s="856" t="s">
        <v>2248</v>
      </c>
      <c r="D12" s="856"/>
      <c r="E12" s="856"/>
      <c r="F12" s="996"/>
      <c r="G12" s="996"/>
      <c r="H12" s="996"/>
    </row>
    <row customHeight="1" ht="45">
      <c r="A13" s="856" t="s">
        <v>2249</v>
      </c>
      <c r="B13" s="856"/>
      <c r="C13" s="856" t="s">
        <v>2250</v>
      </c>
      <c r="D13" s="856"/>
      <c r="E13" s="856"/>
      <c r="F13" s="996"/>
      <c r="G13" s="996"/>
      <c r="H13" s="996"/>
    </row>
    <row customHeight="1" ht="117">
      <c r="A14" s="856" t="s">
        <v>2251</v>
      </c>
      <c r="B14" s="856"/>
      <c r="C14" s="856" t="s">
        <v>2252</v>
      </c>
      <c r="D14" s="856"/>
      <c r="E14" s="856"/>
      <c r="F14" s="996"/>
      <c r="G14" s="996"/>
      <c r="H14" s="996"/>
    </row>
    <row customHeight="1" ht="117">
      <c r="A15" s="856" t="s">
        <v>2253</v>
      </c>
      <c r="B15" s="856"/>
      <c r="C15" s="856" t="s">
        <v>2254</v>
      </c>
      <c r="D15" s="856"/>
      <c r="E15" s="856"/>
      <c r="F15" s="996"/>
      <c r="G15" s="996"/>
      <c r="H15" s="996"/>
    </row>
    <row customHeight="1" ht="63">
      <c r="A16" s="856" t="s">
        <v>2255</v>
      </c>
      <c r="B16" s="856"/>
      <c r="C16" s="856" t="s">
        <v>2256</v>
      </c>
      <c r="D16" s="856"/>
      <c r="E16" s="856"/>
      <c r="F16" s="996"/>
      <c r="G16" s="996"/>
      <c r="H16" s="996"/>
    </row>
    <row customHeight="1" ht="54">
      <c r="A17" s="856" t="s">
        <v>2257</v>
      </c>
      <c r="B17" s="856"/>
      <c r="C17" s="994" t="s">
        <v>2258</v>
      </c>
      <c r="D17" s="856"/>
      <c r="E17" s="856"/>
      <c r="F17" s="996"/>
      <c r="G17" s="996"/>
      <c r="H17" s="996"/>
    </row>
    <row customHeight="1" ht="27">
      <c r="A18" s="856" t="s">
        <v>2259</v>
      </c>
      <c r="B18" s="856"/>
      <c r="C18" s="994" t="s">
        <v>2260</v>
      </c>
      <c r="D18" s="856"/>
      <c r="E18" s="856"/>
      <c r="F18" s="996"/>
      <c r="G18" s="996"/>
      <c r="H18" s="996"/>
    </row>
    <row customHeight="1" ht="54">
      <c r="A19" s="856" t="s">
        <v>2261</v>
      </c>
      <c r="B19" s="856"/>
      <c r="C19" s="994" t="s">
        <v>2262</v>
      </c>
      <c r="D19" s="856"/>
      <c r="E19" s="856"/>
      <c r="F19" s="996"/>
      <c r="G19" s="996"/>
      <c r="H19" s="996"/>
    </row>
    <row customHeight="1" ht="36">
      <c r="A20" s="856" t="s">
        <v>2263</v>
      </c>
      <c r="B20" s="856"/>
      <c r="C20" s="994" t="s">
        <v>2264</v>
      </c>
      <c r="D20" s="856"/>
      <c r="E20" s="856"/>
      <c r="F20" s="996"/>
      <c r="G20" s="996"/>
      <c r="H20" s="996"/>
    </row>
    <row customHeight="1" ht="36">
      <c r="A21" s="856" t="s">
        <v>2265</v>
      </c>
      <c r="B21" s="856"/>
      <c r="C21" s="994" t="s">
        <v>2266</v>
      </c>
      <c r="D21" s="856"/>
      <c r="E21" s="856"/>
      <c r="F21" s="996"/>
      <c r="G21" s="996"/>
      <c r="H21" s="996"/>
    </row>
    <row customHeight="1" ht="27">
      <c r="A22" s="856" t="s">
        <v>2267</v>
      </c>
      <c r="B22" s="856"/>
      <c r="C22" s="994" t="s">
        <v>2268</v>
      </c>
      <c r="D22" s="856"/>
      <c r="E22" s="856"/>
      <c r="F22" s="996"/>
      <c r="G22" s="996"/>
      <c r="H22" s="996"/>
    </row>
    <row customHeight="1" ht="36">
      <c r="A23" s="856" t="s">
        <v>2269</v>
      </c>
      <c r="B23" s="856"/>
      <c r="C23" s="994" t="s">
        <v>2270</v>
      </c>
      <c r="D23" s="856"/>
      <c r="E23" s="856"/>
      <c r="F23" s="996"/>
      <c r="G23" s="996"/>
      <c r="H23" s="996"/>
    </row>
    <row customHeight="1" ht="28.5">
      <c r="A24" s="856" t="s">
        <v>2271</v>
      </c>
      <c r="B24" s="856"/>
      <c r="C24" s="994" t="s">
        <v>2272</v>
      </c>
      <c r="D24" s="856"/>
      <c r="E24" s="856"/>
      <c r="F24" s="996"/>
      <c r="G24" s="996"/>
      <c r="H24" s="996"/>
    </row>
    <row customHeight="1" ht="36">
      <c r="A25" s="856" t="s">
        <v>2273</v>
      </c>
      <c r="B25" s="856"/>
      <c r="C25" s="994" t="s">
        <v>2274</v>
      </c>
      <c r="D25" s="856"/>
      <c r="E25" s="856"/>
      <c r="F25" s="996"/>
      <c r="G25" s="996"/>
      <c r="H25" s="996"/>
    </row>
    <row customHeight="1" ht="27">
      <c r="A26" s="856" t="s">
        <v>2275</v>
      </c>
      <c r="B26" s="856"/>
      <c r="C26" s="994" t="s">
        <v>2276</v>
      </c>
      <c r="D26" s="856"/>
      <c r="E26" s="856"/>
      <c r="F26" s="996"/>
      <c r="G26" s="996"/>
      <c r="H26" s="996"/>
    </row>
    <row customHeight="1" ht="36">
      <c r="A27" s="856" t="s">
        <v>2277</v>
      </c>
      <c r="B27" s="856"/>
      <c r="C27" s="994" t="s">
        <v>2278</v>
      </c>
      <c r="D27" s="856"/>
      <c r="E27" s="856"/>
      <c r="F27" s="996"/>
      <c r="G27" s="996"/>
      <c r="H27" s="996"/>
    </row>
    <row customHeight="1" ht="28.5">
      <c r="A28" s="856" t="s">
        <v>2279</v>
      </c>
      <c r="B28" s="856"/>
      <c r="C28" s="994" t="s">
        <v>2280</v>
      </c>
      <c r="D28" s="856"/>
      <c r="E28" s="856"/>
      <c r="F28" s="996"/>
      <c r="G28" s="996"/>
      <c r="H28" s="996"/>
    </row>
    <row customHeight="1" ht="126">
      <c r="A29" s="856" t="s">
        <v>2281</v>
      </c>
      <c r="B29" s="856" t="s">
        <v>1852</v>
      </c>
      <c r="C29" s="994"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56" t="s">
        <v>2282</v>
      </c>
      <c r="E29" s="85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96"/>
      <c r="G29" s="996"/>
      <c r="H29" s="856" t="s">
        <v>2283</v>
      </c>
    </row>
    <row customHeight="1" ht="36">
      <c r="A30" s="856" t="s">
        <v>2284</v>
      </c>
      <c r="B30" s="856"/>
      <c r="C30" s="994"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56" t="s">
        <v>2285</v>
      </c>
      <c r="E30" s="85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96"/>
      <c r="G30" s="996"/>
      <c r="H30" s="996"/>
    </row>
    <row customHeight="1" ht="54">
      <c r="A31" s="856" t="s">
        <v>2286</v>
      </c>
      <c r="B31" s="856"/>
      <c r="C31" s="994"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56" t="s">
        <v>2287</v>
      </c>
      <c r="E31" s="85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96"/>
      <c r="G31" s="996"/>
      <c r="H31" s="996"/>
    </row>
    <row customHeight="1" ht="198">
      <c r="A32" s="856" t="s">
        <v>2288</v>
      </c>
      <c r="B32" s="856"/>
      <c r="C32" s="994"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56" t="s">
        <v>2289</v>
      </c>
      <c r="E32" s="85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96"/>
      <c r="G32" s="996"/>
      <c r="H32" s="856" t="s">
        <v>2290</v>
      </c>
    </row>
    <row customHeight="1" ht="9">
      <c r="A33" s="856"/>
      <c r="B33" s="856"/>
      <c r="C33" s="994"/>
      <c r="D33" s="856"/>
      <c r="E33" s="856"/>
      <c r="F33" s="996"/>
      <c r="G33" s="996"/>
      <c r="H33" s="996"/>
    </row>
    <row customHeight="1" ht="9">
      <c r="A34" s="856"/>
      <c r="B34" s="856" t="s">
        <v>1788</v>
      </c>
      <c r="C34" s="994">
        <f>INDEX(TEMPLATE_NAME_FORM_LIST,B34,MATCH(TEMPLATE_SPHERE,TEMPLATE_SPHERE_LIST,0))</f>
        <v>0</v>
      </c>
      <c r="D34" s="856"/>
      <c r="E34" s="856"/>
      <c r="F34" s="996"/>
      <c r="G34" s="996"/>
      <c r="H34" s="996"/>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6EA5B16-9B3E-66F3-57F1-0.B00AAEE1}"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50" width="9.140625"/>
    <col min="3" max="7" style="852" width="8.00390625" customWidth="1"/>
    <col min="8" max="12" style="852" width="8.57421875" customWidth="1"/>
    <col min="13" max="14" style="852" width="27.7109375" customWidth="1"/>
    <col min="15" max="19" style="852" width="5.140625" customWidth="1"/>
    <col min="20" max="24" style="852" width="27.7109375" customWidth="1"/>
    <col min="25" max="25" style="1011" width="1.8515625" customWidth="1"/>
    <col min="26" max="26" style="850" width="27.7109375" customWidth="1"/>
    <col min="27" max="27" style="861" width="27.7109375" customWidth="1"/>
    <col min="28" max="29" style="850" width="27.7109375" customWidth="1"/>
    <col min="30" max="30" style="850" width="3.8515625" customWidth="1"/>
    <col min="31" max="34" style="850" width="9.140625"/>
  </cols>
  <sheetData>
    <row s="849" customFormat="1" customHeight="1" ht="18">
      <c r="A1" s="908"/>
      <c r="B1" s="908"/>
      <c r="C1" s="908" t="s">
        <v>2291</v>
      </c>
      <c r="D1" s="908"/>
      <c r="E1" s="908"/>
      <c r="F1" s="908"/>
      <c r="G1" s="908"/>
      <c r="H1" s="908" t="s">
        <v>2292</v>
      </c>
      <c r="I1" s="908"/>
      <c r="J1" s="908"/>
      <c r="K1" s="908"/>
      <c r="L1" s="908"/>
      <c r="M1" s="908" t="s">
        <v>2293</v>
      </c>
      <c r="N1" s="908" t="s">
        <v>2294</v>
      </c>
      <c r="O1" s="2602" t="s">
        <v>2295</v>
      </c>
      <c r="P1" s="2602"/>
      <c r="Q1" s="2602"/>
      <c r="R1" s="2602"/>
      <c r="S1" s="2602"/>
      <c r="T1" s="2602" t="s">
        <v>2293</v>
      </c>
      <c r="U1" s="2602"/>
      <c r="V1" s="2602"/>
      <c r="W1" s="2602"/>
      <c r="X1" s="2602"/>
      <c r="Y1" s="1009"/>
      <c r="Z1" s="2602" t="s">
        <v>2296</v>
      </c>
      <c r="AA1" s="2602"/>
      <c r="AB1" s="2602"/>
      <c r="AC1" s="2602"/>
      <c r="AD1" s="2602"/>
    </row>
    <row customHeight="1" ht="18">
      <c r="A2" s="856"/>
      <c r="B2" s="856"/>
      <c r="C2" s="851" t="s">
        <v>832</v>
      </c>
      <c r="D2" s="851" t="s">
        <v>878</v>
      </c>
      <c r="E2" s="851" t="s">
        <v>931</v>
      </c>
      <c r="F2" s="851" t="s">
        <v>918</v>
      </c>
      <c r="G2" s="851" t="s">
        <v>1901</v>
      </c>
      <c r="H2" s="853"/>
      <c r="I2" s="853"/>
      <c r="J2" s="853"/>
      <c r="K2" s="853"/>
      <c r="L2" s="853"/>
      <c r="M2" s="853"/>
      <c r="N2" s="853"/>
      <c r="O2" s="851" t="s">
        <v>832</v>
      </c>
      <c r="P2" s="851" t="s">
        <v>878</v>
      </c>
      <c r="Q2" s="851" t="s">
        <v>918</v>
      </c>
      <c r="R2" s="851" t="s">
        <v>931</v>
      </c>
      <c r="S2" s="851" t="s">
        <v>1901</v>
      </c>
      <c r="T2" s="851" t="s">
        <v>832</v>
      </c>
      <c r="U2" s="851" t="s">
        <v>878</v>
      </c>
      <c r="V2" s="851" t="s">
        <v>918</v>
      </c>
      <c r="W2" s="851" t="s">
        <v>931</v>
      </c>
      <c r="X2" s="851" t="s">
        <v>1901</v>
      </c>
      <c r="Y2" s="851"/>
      <c r="Z2" s="851" t="s">
        <v>832</v>
      </c>
      <c r="AA2" s="860" t="s">
        <v>878</v>
      </c>
      <c r="AB2" s="851" t="s">
        <v>918</v>
      </c>
      <c r="AC2" s="851" t="s">
        <v>931</v>
      </c>
      <c r="AD2" s="851" t="s">
        <v>1901</v>
      </c>
    </row>
    <row customHeight="1" ht="162">
      <c r="A3" s="855" t="s">
        <v>27</v>
      </c>
      <c r="B3" s="855"/>
      <c r="C3" s="2606" t="s">
        <v>2297</v>
      </c>
      <c r="D3" s="2607"/>
      <c r="E3" s="2607"/>
      <c r="F3" s="2608"/>
      <c r="G3" s="853"/>
      <c r="H3" s="853"/>
      <c r="I3" s="853"/>
      <c r="J3" s="853"/>
      <c r="K3" s="853"/>
      <c r="L3" s="853"/>
      <c r="M3" s="853"/>
      <c r="N3" s="85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53"/>
      <c r="P3" s="853"/>
      <c r="Q3" s="853"/>
      <c r="R3" s="853"/>
      <c r="S3" s="853"/>
      <c r="T3" s="853"/>
      <c r="U3" s="853"/>
      <c r="V3" s="853"/>
      <c r="W3" s="853"/>
      <c r="X3" s="853"/>
      <c r="Y3" s="1010"/>
      <c r="Z3" s="856" t="s">
        <v>2298</v>
      </c>
      <c r="AA3" s="853" t="s">
        <v>2299</v>
      </c>
      <c r="AB3" s="856" t="s">
        <v>2300</v>
      </c>
      <c r="AC3" s="856" t="s">
        <v>2301</v>
      </c>
      <c r="AD3" s="856"/>
      <c r="AG3" s="856"/>
      <c r="AH3" s="856"/>
    </row>
    <row customHeight="1" ht="9">
      <c r="A4" s="855"/>
      <c r="B4" s="855"/>
      <c r="C4" s="853"/>
      <c r="D4" s="853"/>
      <c r="E4" s="853"/>
      <c r="F4" s="853"/>
      <c r="G4" s="853"/>
      <c r="H4" s="853"/>
      <c r="I4" s="853"/>
      <c r="J4" s="853"/>
      <c r="K4" s="853"/>
      <c r="L4" s="853"/>
      <c r="M4" s="853"/>
      <c r="N4" s="853"/>
      <c r="O4" s="853"/>
      <c r="P4" s="853"/>
      <c r="Q4" s="853"/>
      <c r="R4" s="853"/>
      <c r="S4" s="853"/>
      <c r="T4" s="853"/>
      <c r="U4" s="853"/>
      <c r="V4" s="853"/>
      <c r="W4" s="853"/>
      <c r="X4" s="853"/>
      <c r="Y4" s="1010"/>
      <c r="Z4" s="856"/>
      <c r="AA4" s="859"/>
      <c r="AB4" s="856"/>
      <c r="AC4" s="856"/>
      <c r="AD4" s="856"/>
    </row>
    <row customHeight="1" ht="9">
      <c r="A5" s="855"/>
      <c r="B5" s="855"/>
      <c r="C5" s="853"/>
      <c r="D5" s="853"/>
      <c r="E5" s="853"/>
      <c r="F5" s="853"/>
      <c r="G5" s="853"/>
      <c r="H5" s="853"/>
      <c r="I5" s="853"/>
      <c r="J5" s="853"/>
      <c r="K5" s="853"/>
      <c r="L5" s="853"/>
      <c r="M5" s="853"/>
      <c r="N5" s="853"/>
      <c r="O5" s="853"/>
      <c r="P5" s="853"/>
      <c r="Q5" s="853"/>
      <c r="R5" s="853"/>
      <c r="S5" s="853"/>
      <c r="T5" s="853"/>
      <c r="U5" s="853"/>
      <c r="V5" s="853"/>
      <c r="W5" s="853"/>
      <c r="X5" s="853"/>
      <c r="Y5" s="1010"/>
      <c r="Z5" s="856"/>
      <c r="AA5" s="859"/>
      <c r="AB5" s="856"/>
      <c r="AC5" s="856"/>
      <c r="AD5" s="856"/>
    </row>
    <row customHeight="1" ht="9">
      <c r="A6" s="855"/>
      <c r="B6" s="855"/>
      <c r="C6" s="853"/>
      <c r="D6" s="853"/>
      <c r="E6" s="853"/>
      <c r="F6" s="853"/>
      <c r="G6" s="853"/>
      <c r="H6" s="853"/>
      <c r="I6" s="853"/>
      <c r="J6" s="853"/>
      <c r="K6" s="853"/>
      <c r="L6" s="853"/>
      <c r="M6" s="853"/>
      <c r="N6" s="853"/>
      <c r="O6" s="853"/>
      <c r="P6" s="853"/>
      <c r="Q6" s="853"/>
      <c r="R6" s="853"/>
      <c r="S6" s="853"/>
      <c r="T6" s="853"/>
      <c r="U6" s="853"/>
      <c r="V6" s="853"/>
      <c r="W6" s="853"/>
      <c r="X6" s="853"/>
      <c r="Y6" s="1010"/>
      <c r="Z6" s="856"/>
      <c r="AA6" s="859"/>
      <c r="AB6" s="856"/>
      <c r="AC6" s="856"/>
      <c r="AD6" s="856"/>
    </row>
    <row customHeight="1" ht="9">
      <c r="A7" s="855"/>
      <c r="B7" s="855"/>
      <c r="C7" s="853"/>
      <c r="D7" s="853"/>
      <c r="E7" s="853"/>
      <c r="F7" s="853"/>
      <c r="G7" s="853"/>
      <c r="H7" s="853"/>
      <c r="I7" s="853"/>
      <c r="J7" s="853"/>
      <c r="K7" s="853"/>
      <c r="L7" s="853"/>
      <c r="M7" s="853"/>
      <c r="N7" s="853"/>
      <c r="O7" s="853"/>
      <c r="P7" s="853"/>
      <c r="Q7" s="853"/>
      <c r="R7" s="853"/>
      <c r="S7" s="853"/>
      <c r="T7" s="853"/>
      <c r="U7" s="853"/>
      <c r="V7" s="853"/>
      <c r="W7" s="853"/>
      <c r="X7" s="853"/>
      <c r="Y7" s="1010"/>
      <c r="Z7" s="856"/>
      <c r="AA7" s="859"/>
      <c r="AB7" s="856"/>
      <c r="AC7" s="856"/>
      <c r="AD7" s="856"/>
    </row>
    <row customHeight="1" ht="9">
      <c r="A8" s="855"/>
      <c r="B8" s="855"/>
      <c r="C8" s="853"/>
      <c r="D8" s="853"/>
      <c r="E8" s="853"/>
      <c r="F8" s="853"/>
      <c r="G8" s="853"/>
      <c r="H8" s="853"/>
      <c r="I8" s="853"/>
      <c r="J8" s="853"/>
      <c r="K8" s="853"/>
      <c r="L8" s="853"/>
      <c r="M8" s="853"/>
      <c r="N8" s="853"/>
      <c r="O8" s="853"/>
      <c r="P8" s="853"/>
      <c r="Q8" s="853"/>
      <c r="R8" s="853"/>
      <c r="S8" s="853"/>
      <c r="T8" s="853"/>
      <c r="U8" s="853"/>
      <c r="V8" s="853"/>
      <c r="W8" s="853"/>
      <c r="X8" s="853"/>
      <c r="Y8" s="1010"/>
      <c r="Z8" s="856"/>
      <c r="AA8" s="859"/>
      <c r="AB8" s="856"/>
      <c r="AC8" s="856"/>
      <c r="AD8" s="856"/>
    </row>
    <row customHeight="1" ht="9">
      <c r="A9" s="855"/>
      <c r="B9" s="855"/>
      <c r="C9" s="853"/>
      <c r="D9" s="853"/>
      <c r="E9" s="853"/>
      <c r="F9" s="853"/>
      <c r="G9" s="853"/>
      <c r="H9" s="853"/>
      <c r="I9" s="853"/>
      <c r="J9" s="853"/>
      <c r="K9" s="853"/>
      <c r="L9" s="853"/>
      <c r="M9" s="853"/>
      <c r="N9" s="853"/>
      <c r="O9" s="853"/>
      <c r="P9" s="853"/>
      <c r="Q9" s="853"/>
      <c r="R9" s="853"/>
      <c r="S9" s="853"/>
      <c r="T9" s="853"/>
      <c r="U9" s="853"/>
      <c r="V9" s="853"/>
      <c r="W9" s="853"/>
      <c r="X9" s="853"/>
      <c r="Y9" s="1010"/>
      <c r="Z9" s="856"/>
      <c r="AA9" s="859"/>
      <c r="AB9" s="856"/>
      <c r="AC9" s="856"/>
      <c r="AD9" s="856"/>
    </row>
    <row customHeight="1" ht="9">
      <c r="A10" s="909"/>
      <c r="B10" s="909"/>
      <c r="C10" s="909"/>
      <c r="D10" s="909"/>
      <c r="E10" s="909"/>
      <c r="F10" s="909"/>
      <c r="G10" s="909"/>
      <c r="H10" s="909"/>
      <c r="I10" s="909"/>
      <c r="J10" s="909"/>
      <c r="K10" s="909"/>
      <c r="L10" s="909"/>
      <c r="M10" s="909"/>
      <c r="N10" s="909"/>
      <c r="O10" s="909"/>
      <c r="P10" s="909"/>
      <c r="Q10" s="909"/>
      <c r="R10" s="909"/>
      <c r="S10" s="909"/>
      <c r="T10" s="909"/>
      <c r="U10" s="909"/>
      <c r="V10" s="909"/>
      <c r="W10" s="909"/>
      <c r="X10" s="909"/>
      <c r="Y10" s="909"/>
      <c r="Z10" s="909"/>
      <c r="AA10" s="909"/>
      <c r="AB10" s="909"/>
      <c r="AC10" s="909"/>
      <c r="AD10" s="909"/>
    </row>
    <row customHeight="1" ht="45">
      <c r="A11" s="2603" t="s">
        <v>33</v>
      </c>
      <c r="B11" s="909">
        <v>1</v>
      </c>
      <c r="C11" s="2609" t="s">
        <v>1839</v>
      </c>
      <c r="D11" s="2609" t="s">
        <v>1835</v>
      </c>
      <c r="E11" s="2609" t="s">
        <v>1933</v>
      </c>
      <c r="F11" s="2609" t="s">
        <v>2302</v>
      </c>
      <c r="G11" s="2609"/>
      <c r="H11" s="908" t="s">
        <v>2303</v>
      </c>
      <c r="I11" s="908"/>
      <c r="J11" s="908"/>
      <c r="K11" s="908"/>
      <c r="L11" s="908"/>
      <c r="M11" s="854" t="str">
        <f>IF(TEMPLATE_SPHERE="HEAT",T11,U11)</f>
        <v>Количество поданных заявок</v>
      </c>
      <c r="N11" s="854"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53"/>
      <c r="P11" s="853"/>
      <c r="Q11" s="853"/>
      <c r="R11" s="853"/>
      <c r="S11" s="853"/>
      <c r="T11" s="853" t="s">
        <v>2304</v>
      </c>
      <c r="U11" s="853" t="s">
        <v>2305</v>
      </c>
      <c r="V11" s="853"/>
      <c r="W11" s="853"/>
      <c r="X11" s="853"/>
      <c r="Y11" s="1010"/>
      <c r="Z11" s="856" t="s">
        <v>2306</v>
      </c>
      <c r="AA11" s="85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56"/>
      <c r="AC11" s="856"/>
      <c r="AD11" s="856"/>
    </row>
    <row customHeight="1" ht="45">
      <c r="A12" s="2603"/>
      <c r="B12" s="909">
        <v>2</v>
      </c>
      <c r="C12" s="2610"/>
      <c r="D12" s="2610"/>
      <c r="E12" s="2610"/>
      <c r="F12" s="2610"/>
      <c r="G12" s="2610"/>
      <c r="H12" s="908" t="s">
        <v>2307</v>
      </c>
      <c r="I12" s="908"/>
      <c r="J12" s="908"/>
      <c r="K12" s="908"/>
      <c r="L12" s="908"/>
      <c r="M12" s="854" t="str">
        <f>IF(TEMPLATE_SPHERE="HEAT",T12,U12)</f>
        <v>Количество рассмотренных заявок</v>
      </c>
      <c r="N12" s="854"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53"/>
      <c r="P12" s="853"/>
      <c r="Q12" s="853"/>
      <c r="R12" s="853"/>
      <c r="S12" s="853"/>
      <c r="T12" s="853" t="s">
        <v>2308</v>
      </c>
      <c r="U12" s="853" t="s">
        <v>2309</v>
      </c>
      <c r="V12" s="853"/>
      <c r="W12" s="853"/>
      <c r="X12" s="853"/>
      <c r="Y12" s="1010"/>
      <c r="Z12" s="856" t="s">
        <v>2310</v>
      </c>
      <c r="AA12" s="85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56"/>
      <c r="AC12" s="856"/>
      <c r="AD12" s="856"/>
    </row>
    <row customHeight="1" ht="72">
      <c r="A13" s="2603"/>
      <c r="B13" s="909">
        <v>3</v>
      </c>
      <c r="C13" s="2610"/>
      <c r="D13" s="2610"/>
      <c r="E13" s="2610"/>
      <c r="F13" s="2610"/>
      <c r="G13" s="2610"/>
      <c r="H13" s="2602" t="s">
        <v>2311</v>
      </c>
      <c r="I13" s="908"/>
      <c r="J13" s="908"/>
      <c r="K13" s="908"/>
      <c r="L13" s="908"/>
      <c r="M13" s="85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54" t="str">
        <f>IF(TEMPLATE_SPHERE="HEAT",Z13,AA13)</f>
        <v>Указывается количество заявок с решением об отказе в течение отчетного квартала.</v>
      </c>
      <c r="O13" s="853"/>
      <c r="P13" s="854"/>
      <c r="Q13" s="854"/>
      <c r="R13" s="854"/>
      <c r="S13" s="853"/>
      <c r="T13" s="853" t="s">
        <v>2312</v>
      </c>
      <c r="U13" s="854" t="s">
        <v>2313</v>
      </c>
      <c r="V13" s="854"/>
      <c r="W13" s="854"/>
      <c r="X13" s="853"/>
      <c r="Y13" s="1010"/>
      <c r="Z13" s="856" t="s">
        <v>2314</v>
      </c>
      <c r="AA13" s="85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56"/>
      <c r="AC13" s="856"/>
      <c r="AD13" s="856"/>
    </row>
    <row customHeight="1" ht="45">
      <c r="A14" s="2603"/>
      <c r="B14" s="909">
        <v>4</v>
      </c>
      <c r="C14" s="2610"/>
      <c r="D14" s="2610"/>
      <c r="E14" s="2610"/>
      <c r="F14" s="2610"/>
      <c r="G14" s="2610"/>
      <c r="H14" s="2602"/>
      <c r="I14" s="911"/>
      <c r="J14" s="911"/>
      <c r="K14" s="911"/>
      <c r="L14" s="911"/>
      <c r="M14" s="857" t="str">
        <f>IF(TEMPLATE_SPHERE="HEAT",T14,U14)</f>
        <v>Причины отказа в заключении договора о подключении (технологическом присоединении) к системе теплоснабжения</v>
      </c>
      <c r="N14" s="854"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53"/>
      <c r="P14" s="854"/>
      <c r="Q14" s="854"/>
      <c r="R14" s="854"/>
      <c r="S14" s="853"/>
      <c r="T14" s="853" t="s">
        <v>2315</v>
      </c>
      <c r="U14" s="85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54"/>
      <c r="W14" s="854"/>
      <c r="X14" s="853"/>
      <c r="Y14" s="1010"/>
      <c r="Z14" s="856" t="s">
        <v>2316</v>
      </c>
      <c r="AA14" s="859" t="s">
        <v>2316</v>
      </c>
      <c r="AB14" s="856"/>
      <c r="AC14" s="856"/>
      <c r="AD14" s="856"/>
    </row>
    <row customHeight="1" ht="108">
      <c r="A15" s="2603"/>
      <c r="B15" s="909">
        <v>5</v>
      </c>
      <c r="C15" s="2610"/>
      <c r="D15" s="2610"/>
      <c r="E15" s="2610"/>
      <c r="F15" s="2610"/>
      <c r="G15" s="2610"/>
      <c r="H15" s="2604" t="s">
        <v>2317</v>
      </c>
      <c r="I15" s="910"/>
      <c r="J15" s="910"/>
      <c r="K15" s="910"/>
      <c r="L15" s="910"/>
      <c r="M15" s="859" t="str">
        <f>IF(TEMPLATE_SPHERE="HEAT",T15,U15)</f>
        <v>Резерв мощности источников тепловой энергии, входящих в систему теплоснабжения, в течение одного квартала, в том числе:</v>
      </c>
      <c r="N15" s="858"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53"/>
      <c r="P15" s="854"/>
      <c r="Q15" s="854"/>
      <c r="R15" s="854"/>
      <c r="S15" s="853"/>
      <c r="T15" s="853" t="s">
        <v>2318</v>
      </c>
      <c r="U15" s="85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54"/>
      <c r="W15" s="854"/>
      <c r="X15" s="853"/>
      <c r="Y15" s="1010"/>
      <c r="Z15" s="856" t="s">
        <v>2319</v>
      </c>
      <c r="AA15" s="85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56"/>
      <c r="AC15" s="856"/>
      <c r="AD15" s="856"/>
    </row>
    <row customHeight="1" ht="108">
      <c r="A16" s="909"/>
      <c r="B16" s="909">
        <v>6</v>
      </c>
      <c r="C16" s="2611"/>
      <c r="D16" s="2611"/>
      <c r="E16" s="2611"/>
      <c r="F16" s="2611"/>
      <c r="G16" s="2611"/>
      <c r="H16" s="2605"/>
      <c r="I16" s="972"/>
      <c r="J16" s="972"/>
      <c r="K16" s="972"/>
      <c r="L16" s="972"/>
      <c r="M16" s="902"/>
      <c r="N16" s="858"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53"/>
      <c r="P16" s="854"/>
      <c r="Q16" s="854"/>
      <c r="R16" s="854"/>
      <c r="S16" s="853"/>
      <c r="T16" s="853"/>
      <c r="U16" s="854"/>
      <c r="V16" s="854"/>
      <c r="W16" s="854"/>
      <c r="X16" s="853"/>
      <c r="Y16" s="1010"/>
      <c r="Z16" s="856" t="s">
        <v>2319</v>
      </c>
      <c r="AA16" s="85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56"/>
      <c r="AC16" s="856"/>
      <c r="AD16" s="856"/>
    </row>
    <row customHeight="1" ht="9">
      <c r="A17" s="909"/>
      <c r="B17" s="909"/>
      <c r="C17" s="909">
        <v>22</v>
      </c>
      <c r="D17" s="909">
        <v>21</v>
      </c>
      <c r="E17" s="909">
        <v>42</v>
      </c>
      <c r="F17" s="909">
        <v>63</v>
      </c>
      <c r="G17" s="909"/>
      <c r="H17" s="909"/>
      <c r="I17" s="909"/>
      <c r="J17" s="909"/>
      <c r="K17" s="909"/>
      <c r="L17" s="909"/>
      <c r="M17" s="909"/>
      <c r="N17" s="909"/>
      <c r="O17" s="909"/>
      <c r="P17" s="909"/>
      <c r="Q17" s="909"/>
      <c r="R17" s="909"/>
      <c r="S17" s="909"/>
      <c r="T17" s="909"/>
      <c r="U17" s="909"/>
      <c r="V17" s="909"/>
      <c r="W17" s="909"/>
      <c r="X17" s="909"/>
      <c r="Y17" s="909"/>
      <c r="Z17" s="909"/>
      <c r="AA17" s="909"/>
      <c r="AB17" s="909"/>
      <c r="AC17" s="909"/>
      <c r="AD17" s="909"/>
    </row>
    <row customHeight="1" ht="27">
      <c r="A18" s="855" t="s">
        <v>1936</v>
      </c>
      <c r="B18" s="909">
        <v>1</v>
      </c>
      <c r="C18" s="853" t="s">
        <v>2303</v>
      </c>
      <c r="D18" s="977" t="s">
        <v>2303</v>
      </c>
      <c r="E18" s="853" t="s">
        <v>2303</v>
      </c>
      <c r="F18" s="853" t="s">
        <v>2303</v>
      </c>
      <c r="G18" s="853"/>
      <c r="H18" s="1012"/>
      <c r="I18" s="1015">
        <f>INDEX(TEMPLATE_NUMBER_POINT_FHD,B18,MATCH(TEMPLATE_SPHERE,TEMPLATE_SPHERE_LIST_FOR_NOTE,0))</f>
        <v>1</v>
      </c>
      <c r="J18" s="1015" t="str">
        <f>INDEX(TEMPLATE_DATA_POINT_FHD,B18,MATCH(TEMPLATE_SPHERE,TEMPLATE_SPHERE_LIST_FOR_NOTE,0))</f>
        <v>Выручка от регулируемого вида деятельности с распределением по видам деятельности</v>
      </c>
      <c r="K18" s="1015"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54">
        <f>IF(I18=0,"",I18)</f>
        <v>1</v>
      </c>
      <c r="M18" s="854" t="str">
        <f>IF(J18=0,"",J18)</f>
        <v>Выручка от регулируемого вида деятельности с распределением по видам деятельности</v>
      </c>
      <c r="N18" s="854" t="str">
        <f>IF(K18=0,"",K18)</f>
        <v>Указывается выручка от регулируемого вида деятельности с распределением по видам деятельности.</v>
      </c>
      <c r="O18" s="967">
        <v>1</v>
      </c>
      <c r="P18" s="967">
        <v>1</v>
      </c>
      <c r="Q18" s="967">
        <v>1</v>
      </c>
      <c r="R18" s="967">
        <v>1</v>
      </c>
      <c r="S18" s="967"/>
      <c r="T18" s="974" t="s">
        <v>2320</v>
      </c>
      <c r="U18" s="856" t="s">
        <v>2321</v>
      </c>
      <c r="V18" s="856" t="s">
        <v>2322</v>
      </c>
      <c r="W18" s="856" t="s">
        <v>2323</v>
      </c>
      <c r="X18" s="853"/>
      <c r="Y18" s="1010"/>
      <c r="Z18" s="856" t="s">
        <v>2324</v>
      </c>
      <c r="AA18" s="859" t="s">
        <v>2325</v>
      </c>
      <c r="AB18" s="859" t="s">
        <v>2325</v>
      </c>
      <c r="AC18" s="859" t="s">
        <v>2325</v>
      </c>
      <c r="AD18" s="856"/>
    </row>
    <row customHeight="1" ht="36">
      <c r="A19" s="855"/>
      <c r="B19" s="909">
        <v>2</v>
      </c>
      <c r="C19" s="853" t="s">
        <v>2307</v>
      </c>
      <c r="D19" s="977" t="s">
        <v>2307</v>
      </c>
      <c r="E19" s="853" t="s">
        <v>2307</v>
      </c>
      <c r="F19" s="853" t="s">
        <v>2307</v>
      </c>
      <c r="G19" s="853"/>
      <c r="H19" s="1012"/>
      <c r="I19" s="1015">
        <f>INDEX(TEMPLATE_NUMBER_POINT_FHD,B19,MATCH(TEMPLATE_SPHERE,TEMPLATE_SPHERE_LIST_FOR_NOTE,0))</f>
        <v>2</v>
      </c>
      <c r="J19" s="1015"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15" t="str">
        <f>INDEX(TEMPLATE_NOTE_POINT_FHD,B19,MATCH(TEMPLATE_SPHERE,TEMPLATE_SPHERE_LIST_FOR_NOTE,0))</f>
        <v>Указывается суммарная себестоимость производимых товаров.</v>
      </c>
      <c r="L19" s="854">
        <f>IF(I19=0,"",I19)</f>
        <v>2</v>
      </c>
      <c r="M19" s="854" t="str">
        <f>IF(J19=0,"",J19)</f>
        <v>Себестоимость производимых товаров (оказываемых услуг) по регулируемому виду деятельности, включая:</v>
      </c>
      <c r="N19" s="854" t="str">
        <f>IF(K19=0,"",K19)</f>
        <v>Указывается суммарная себестоимость производимых товаров.</v>
      </c>
      <c r="O19" s="967">
        <v>2</v>
      </c>
      <c r="P19" s="967">
        <v>2</v>
      </c>
      <c r="Q19" s="967">
        <v>2</v>
      </c>
      <c r="R19" s="967">
        <v>2</v>
      </c>
      <c r="S19" s="967"/>
      <c r="T19" s="974" t="s">
        <v>2326</v>
      </c>
      <c r="U19" s="856" t="s">
        <v>2327</v>
      </c>
      <c r="V19" s="856" t="s">
        <v>2328</v>
      </c>
      <c r="W19" s="856" t="s">
        <v>2329</v>
      </c>
      <c r="X19" s="853"/>
      <c r="Y19" s="1010"/>
      <c r="Z19" s="856" t="s">
        <v>2330</v>
      </c>
      <c r="AA19" s="859" t="s">
        <v>2330</v>
      </c>
      <c r="AB19" s="859" t="s">
        <v>2330</v>
      </c>
      <c r="AC19" s="859" t="s">
        <v>2330</v>
      </c>
      <c r="AD19" s="856"/>
    </row>
    <row customHeight="1" ht="27">
      <c r="A20" s="855"/>
      <c r="B20" s="909">
        <v>3</v>
      </c>
      <c r="C20" s="853">
        <v>1</v>
      </c>
      <c r="D20" s="977"/>
      <c r="E20" s="853"/>
      <c r="F20" s="853"/>
      <c r="G20" s="853"/>
      <c r="H20" s="1012"/>
      <c r="I20" s="1015" t="str">
        <f>INDEX(TEMPLATE_NUMBER_POINT_FHD,B20,MATCH(TEMPLATE_SPHERE,TEMPLATE_SPHERE_LIST_FOR_NOTE,0))</f>
        <v>2.1</v>
      </c>
      <c r="J20" s="1015" t="str">
        <f>INDEX(TEMPLATE_DATA_POINT_FHD,B20,MATCH(TEMPLATE_SPHERE,TEMPLATE_SPHERE_LIST_FOR_NOTE,0))</f>
        <v>Расходы на приобретаемую тепловую энергию (мощность), теплоноситель</v>
      </c>
      <c r="K20" s="1015">
        <f>INDEX(TEMPLATE_NOTE_POINT_FHD,B20,MATCH(TEMPLATE_SPHERE,TEMPLATE_SPHERE_LIST_FOR_NOTE,0))</f>
        <v>0</v>
      </c>
      <c r="L20" s="854" t="str">
        <f>IF(I20=0,"",I20)</f>
        <v>2.1</v>
      </c>
      <c r="M20" s="854" t="str">
        <f>IF(J20=0,"",J20)</f>
        <v>Расходы на приобретаемую тепловую энергию (мощность), теплоноситель</v>
      </c>
      <c r="N20" s="854" t="str">
        <f>IF(K20=0,"",K20)</f>
        <v/>
      </c>
      <c r="O20" s="967" t="s">
        <v>733</v>
      </c>
      <c r="P20" s="967" t="s">
        <v>733</v>
      </c>
      <c r="Q20" s="967" t="s">
        <v>733</v>
      </c>
      <c r="R20" s="967" t="s">
        <v>733</v>
      </c>
      <c r="S20" s="967"/>
      <c r="T20" s="974" t="s">
        <v>2331</v>
      </c>
      <c r="U20" s="856" t="s">
        <v>2332</v>
      </c>
      <c r="V20" s="856" t="s">
        <v>2333</v>
      </c>
      <c r="W20" s="856" t="s">
        <v>2334</v>
      </c>
      <c r="X20" s="853"/>
      <c r="Y20" s="1010"/>
      <c r="Z20" s="856"/>
      <c r="AA20" s="859"/>
      <c r="AB20" s="856"/>
      <c r="AC20" s="856"/>
      <c r="AD20" s="856"/>
    </row>
    <row customHeight="1" ht="36">
      <c r="A21" s="855"/>
      <c r="B21" s="909">
        <v>4</v>
      </c>
      <c r="C21" s="853">
        <v>2</v>
      </c>
      <c r="D21" s="977"/>
      <c r="E21" s="853"/>
      <c r="F21" s="853"/>
      <c r="G21" s="853"/>
      <c r="H21" s="1012"/>
      <c r="I21" s="1015" t="str">
        <f>INDEX(TEMPLATE_NUMBER_POINT_FHD,B21,MATCH(TEMPLATE_SPHERE,TEMPLATE_SPHERE_LIST_FOR_NOTE,0))</f>
        <v>2.2</v>
      </c>
      <c r="J21" s="1015"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15" t="str">
        <f>INDEX(TEMPLATE_NOTE_POINT_FHD,B21,MATCH(TEMPLATE_SPHERE,TEMPLATE_SPHERE_LIST_FOR_NOTE,0))</f>
        <v>Указываются суммарные расходы на приобретение топлива всех видов.</v>
      </c>
      <c r="L21" s="854" t="str">
        <f>IF(I21=0,"",I21)</f>
        <v>2.2</v>
      </c>
      <c r="M21" s="854"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54" t="str">
        <f>IF(K21=0,"",K21)</f>
        <v>Указываются суммарные расходы на приобретение топлива всех видов.</v>
      </c>
      <c r="O21" s="967" t="s">
        <v>329</v>
      </c>
      <c r="P21" s="967"/>
      <c r="Q21" s="967"/>
      <c r="R21" s="967"/>
      <c r="S21" s="967"/>
      <c r="T21" s="974" t="s">
        <v>2335</v>
      </c>
      <c r="U21" s="856"/>
      <c r="V21" s="856"/>
      <c r="W21" s="856"/>
      <c r="X21" s="853"/>
      <c r="Y21" s="1010"/>
      <c r="Z21" s="856" t="s">
        <v>2336</v>
      </c>
      <c r="AA21" s="859"/>
      <c r="AB21" s="856"/>
      <c r="AC21" s="856"/>
      <c r="AD21" s="856"/>
    </row>
    <row customHeight="1" ht="36">
      <c r="A22" s="855"/>
      <c r="B22" s="909">
        <v>5</v>
      </c>
      <c r="C22" s="853">
        <v>3</v>
      </c>
      <c r="D22" s="977"/>
      <c r="E22" s="853"/>
      <c r="F22" s="853"/>
      <c r="G22" s="901"/>
      <c r="H22" s="968"/>
      <c r="I22" s="1015">
        <f>INDEX(TEMPLATE_NUMBER_POINT_FHD,B22,MATCH(TEMPLATE_SPHERE,TEMPLATE_SPHERE_LIST_FOR_NOTE,0))</f>
        <v>0</v>
      </c>
      <c r="J22" s="1015">
        <f>INDEX(TEMPLATE_DATA_POINT_FHD,B22,MATCH(TEMPLATE_SPHERE,TEMPLATE_SPHERE_LIST_FOR_NOTE,0))</f>
        <v>0</v>
      </c>
      <c r="K22" s="1015">
        <f>INDEX(TEMPLATE_NOTE_POINT_FHD,B22,MATCH(TEMPLATE_SPHERE,TEMPLATE_SPHERE_LIST_FOR_NOTE,0))</f>
        <v>0</v>
      </c>
      <c r="L22" s="854" t="str">
        <f>IF(I22=0,"",I22)</f>
        <v/>
      </c>
      <c r="M22" s="854" t="str">
        <f>IF(J22=0,"",J22)</f>
        <v/>
      </c>
      <c r="N22" s="854" t="str">
        <f>IF(K22=0,"",K22)</f>
        <v/>
      </c>
      <c r="O22" s="967"/>
      <c r="P22" s="967"/>
      <c r="Q22" s="967" t="s">
        <v>329</v>
      </c>
      <c r="R22" s="967"/>
      <c r="S22" s="967"/>
      <c r="T22" s="974"/>
      <c r="U22" s="856"/>
      <c r="V22" s="856" t="s">
        <v>2337</v>
      </c>
      <c r="W22" s="856"/>
      <c r="X22" s="853"/>
      <c r="Y22" s="1010"/>
      <c r="Z22" s="856"/>
      <c r="AA22" s="859"/>
      <c r="AB22" s="856"/>
      <c r="AC22" s="856"/>
      <c r="AD22" s="856"/>
    </row>
    <row customHeight="1" ht="27">
      <c r="A23" s="855"/>
      <c r="B23" s="909">
        <v>6</v>
      </c>
      <c r="C23" s="853">
        <v>4</v>
      </c>
      <c r="D23" s="977"/>
      <c r="E23" s="853"/>
      <c r="F23" s="853"/>
      <c r="G23" s="901"/>
      <c r="H23" s="968"/>
      <c r="I23" s="1015">
        <f>INDEX(TEMPLATE_NUMBER_POINT_FHD,B23,MATCH(TEMPLATE_SPHERE,TEMPLATE_SPHERE_LIST_FOR_NOTE,0))</f>
        <v>0</v>
      </c>
      <c r="J23" s="1015">
        <f>INDEX(TEMPLATE_DATA_POINT_FHD,B23,MATCH(TEMPLATE_SPHERE,TEMPLATE_SPHERE_LIST_FOR_NOTE,0))</f>
        <v>0</v>
      </c>
      <c r="K23" s="1015">
        <f>INDEX(TEMPLATE_NOTE_POINT_FHD,B23,MATCH(TEMPLATE_SPHERE,TEMPLATE_SPHERE_LIST_FOR_NOTE,0))</f>
        <v>0</v>
      </c>
      <c r="L23" s="854" t="str">
        <f>IF(I23=0,"",I23)</f>
        <v/>
      </c>
      <c r="M23" s="854" t="str">
        <f>IF(J23=0,"",J23)</f>
        <v/>
      </c>
      <c r="N23" s="854" t="str">
        <f>IF(K23=0,"",K23)</f>
        <v/>
      </c>
      <c r="O23" s="967"/>
      <c r="P23" s="967"/>
      <c r="Q23" s="967" t="s">
        <v>332</v>
      </c>
      <c r="R23" s="967"/>
      <c r="S23" s="967"/>
      <c r="T23" s="974"/>
      <c r="U23" s="856"/>
      <c r="V23" s="856" t="s">
        <v>2338</v>
      </c>
      <c r="W23" s="856"/>
      <c r="X23" s="853"/>
      <c r="Y23" s="1010"/>
      <c r="Z23" s="856"/>
      <c r="AA23" s="859"/>
      <c r="AB23" s="856"/>
      <c r="AC23" s="856"/>
      <c r="AD23" s="856"/>
    </row>
    <row customHeight="1" ht="36">
      <c r="A24" s="855"/>
      <c r="B24" s="909">
        <v>7</v>
      </c>
      <c r="C24" s="853">
        <v>5</v>
      </c>
      <c r="D24" s="977"/>
      <c r="E24" s="853"/>
      <c r="F24" s="853"/>
      <c r="G24" s="901"/>
      <c r="H24" s="968"/>
      <c r="I24" s="1015">
        <f>INDEX(TEMPLATE_NUMBER_POINT_FHD,B24,MATCH(TEMPLATE_SPHERE,TEMPLATE_SPHERE_LIST_FOR_NOTE,0))</f>
        <v>0</v>
      </c>
      <c r="J24" s="1015">
        <f>INDEX(TEMPLATE_DATA_POINT_FHD,B24,MATCH(TEMPLATE_SPHERE,TEMPLATE_SPHERE_LIST_FOR_NOTE,0))</f>
        <v>0</v>
      </c>
      <c r="K24" s="1015">
        <f>INDEX(TEMPLATE_NOTE_POINT_FHD,B24,MATCH(TEMPLATE_SPHERE,TEMPLATE_SPHERE_LIST_FOR_NOTE,0))</f>
        <v>0</v>
      </c>
      <c r="L24" s="854" t="str">
        <f>IF(I24=0,"",I24)</f>
        <v/>
      </c>
      <c r="M24" s="854" t="str">
        <f>IF(J24=0,"",J24)</f>
        <v/>
      </c>
      <c r="N24" s="854" t="str">
        <f>IF(K24=0,"",K24)</f>
        <v/>
      </c>
      <c r="O24" s="967"/>
      <c r="P24" s="967"/>
      <c r="Q24" s="967" t="s">
        <v>753</v>
      </c>
      <c r="R24" s="967"/>
      <c r="S24" s="967"/>
      <c r="T24" s="974"/>
      <c r="U24" s="856"/>
      <c r="V24" s="856" t="s">
        <v>2339</v>
      </c>
      <c r="W24" s="856"/>
      <c r="X24" s="853"/>
      <c r="Y24" s="1010"/>
      <c r="Z24" s="856"/>
      <c r="AA24" s="859"/>
      <c r="AB24" s="856"/>
      <c r="AC24" s="856"/>
      <c r="AD24" s="856"/>
    </row>
    <row customHeight="1" ht="36">
      <c r="A25" s="855"/>
      <c r="B25" s="909">
        <v>8</v>
      </c>
      <c r="C25" s="853">
        <v>6</v>
      </c>
      <c r="D25" s="977"/>
      <c r="E25" s="853"/>
      <c r="F25" s="853"/>
      <c r="G25" s="901"/>
      <c r="H25" s="968"/>
      <c r="I25" s="1015" t="str">
        <f>INDEX(TEMPLATE_NUMBER_POINT_FHD,B25,MATCH(TEMPLATE_SPHERE,TEMPLATE_SPHERE_LIST_FOR_NOTE,0))</f>
        <v>2.3</v>
      </c>
      <c r="J25" s="1015"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5">
        <f>INDEX(TEMPLATE_NOTE_POINT_FHD,B25,MATCH(TEMPLATE_SPHERE,TEMPLATE_SPHERE_LIST_FOR_NOTE,0))</f>
        <v>0</v>
      </c>
      <c r="L25" s="854" t="str">
        <f>IF(I25=0,"",I25)</f>
        <v>2.3</v>
      </c>
      <c r="M25" s="854" t="str">
        <f>IF(J25=0,"",J25)</f>
        <v>Расходы на приобретаемую электрическую энергию (мощность), используемую в технологическом процессе</v>
      </c>
      <c r="N25" s="854" t="str">
        <f>IF(K25=0,"",K25)</f>
        <v/>
      </c>
      <c r="O25" s="967" t="s">
        <v>332</v>
      </c>
      <c r="P25" s="967" t="s">
        <v>329</v>
      </c>
      <c r="Q25" s="967" t="s">
        <v>760</v>
      </c>
      <c r="R25" s="967" t="s">
        <v>329</v>
      </c>
      <c r="S25" s="967"/>
      <c r="T25" s="974" t="s">
        <v>2340</v>
      </c>
      <c r="U25" s="856" t="s">
        <v>2340</v>
      </c>
      <c r="V25" s="856" t="s">
        <v>2340</v>
      </c>
      <c r="W25" s="856" t="s">
        <v>2340</v>
      </c>
      <c r="X25" s="853"/>
      <c r="Y25" s="1010"/>
      <c r="Z25" s="856"/>
      <c r="AA25" s="859"/>
      <c r="AB25" s="856"/>
      <c r="AC25" s="856"/>
      <c r="AD25" s="856"/>
    </row>
    <row customHeight="1" ht="18">
      <c r="A26" s="855"/>
      <c r="B26" s="909">
        <v>9</v>
      </c>
      <c r="C26" s="853" t="s">
        <v>677</v>
      </c>
      <c r="D26" s="977"/>
      <c r="E26" s="853"/>
      <c r="F26" s="853"/>
      <c r="G26" s="901"/>
      <c r="H26" s="968"/>
      <c r="I26" s="1015" t="str">
        <f>INDEX(TEMPLATE_NUMBER_POINT_FHD,B26,MATCH(TEMPLATE_SPHERE,TEMPLATE_SPHERE_LIST_FOR_NOTE,0))</f>
        <v>2.3.1</v>
      </c>
      <c r="J26" s="1015" t="str">
        <f>INDEX(TEMPLATE_DATA_POINT_FHD,B26,MATCH(TEMPLATE_SPHERE,TEMPLATE_SPHERE_LIST_FOR_NOTE,0))</f>
        <v>Средневзвешенная стоимость 1 кВт.ч (с учетом мощности)</v>
      </c>
      <c r="K26" s="1015">
        <f>INDEX(TEMPLATE_NOTE_POINT_FHD,B26,MATCH(TEMPLATE_SPHERE,TEMPLATE_SPHERE_LIST_FOR_NOTE,0))</f>
        <v>0</v>
      </c>
      <c r="L26" s="854" t="str">
        <f>IF(I26=0,"",I26)</f>
        <v>2.3.1</v>
      </c>
      <c r="M26" s="854" t="str">
        <f>IF(J26=0,"",J26)</f>
        <v>Средневзвешенная стоимость 1 кВт.ч (с учетом мощности)</v>
      </c>
      <c r="N26" s="854" t="str">
        <f>IF(K26=0,"",K26)</f>
        <v/>
      </c>
      <c r="O26" s="967" t="s">
        <v>749</v>
      </c>
      <c r="P26" s="967" t="s">
        <v>743</v>
      </c>
      <c r="Q26" s="967" t="s">
        <v>2341</v>
      </c>
      <c r="R26" s="967" t="s">
        <v>743</v>
      </c>
      <c r="S26" s="967"/>
      <c r="T26" s="974" t="str">
        <f>"Средневзвешенная стоимость 1 кВт.ч"&amp;IF(TITLE_TYPE_ORG="Регулируемая организация"," (с учетом мощности)","")</f>
        <v>Средневзвешенная стоимость 1 кВт.ч (с учетом мощности)</v>
      </c>
      <c r="U26" s="974" t="s">
        <v>2342</v>
      </c>
      <c r="V26" s="974" t="s">
        <v>2342</v>
      </c>
      <c r="W26" s="974" t="s">
        <v>2342</v>
      </c>
      <c r="X26" s="853"/>
      <c r="Y26" s="1010"/>
      <c r="Z26" s="856"/>
      <c r="AA26" s="859"/>
      <c r="AB26" s="856"/>
      <c r="AC26" s="856"/>
      <c r="AD26" s="856"/>
    </row>
    <row customHeight="1" ht="18">
      <c r="A27" s="855"/>
      <c r="B27" s="909">
        <v>10</v>
      </c>
      <c r="C27" s="853" t="s">
        <v>681</v>
      </c>
      <c r="D27" s="977"/>
      <c r="E27" s="853"/>
      <c r="F27" s="853"/>
      <c r="G27" s="901"/>
      <c r="H27" s="968"/>
      <c r="I27" s="1015" t="str">
        <f>INDEX(TEMPLATE_NUMBER_POINT_FHD,B27,MATCH(TEMPLATE_SPHERE,TEMPLATE_SPHERE_LIST_FOR_NOTE,0))</f>
        <v>2.3.2</v>
      </c>
      <c r="J27" s="1015" t="str">
        <f>INDEX(TEMPLATE_DATA_POINT_FHD,B27,MATCH(TEMPLATE_SPHERE,TEMPLATE_SPHERE_LIST_FOR_NOTE,0))</f>
        <v>Объём приобретения электрической энергии</v>
      </c>
      <c r="K27" s="1015">
        <f>INDEX(TEMPLATE_NOTE_POINT_FHD,B27,MATCH(TEMPLATE_SPHERE,TEMPLATE_SPHERE_LIST_FOR_NOTE,0))</f>
        <v>0</v>
      </c>
      <c r="L27" s="854" t="str">
        <f>IF(I27=0,"",I27)</f>
        <v>2.3.2</v>
      </c>
      <c r="M27" s="854" t="str">
        <f>IF(J27=0,"",J27)</f>
        <v>Объём приобретения электрической энергии</v>
      </c>
      <c r="N27" s="854" t="str">
        <f>IF(K27=0,"",K27)</f>
        <v/>
      </c>
      <c r="O27" s="967" t="s">
        <v>751</v>
      </c>
      <c r="P27" s="967" t="s">
        <v>745</v>
      </c>
      <c r="Q27" s="967" t="s">
        <v>2343</v>
      </c>
      <c r="R27" s="967" t="s">
        <v>745</v>
      </c>
      <c r="S27" s="967"/>
      <c r="T27" s="974" t="s">
        <v>2344</v>
      </c>
      <c r="U27" s="974" t="s">
        <v>2344</v>
      </c>
      <c r="V27" s="974" t="s">
        <v>2344</v>
      </c>
      <c r="W27" s="974" t="s">
        <v>2344</v>
      </c>
      <c r="X27" s="853"/>
      <c r="Y27" s="1010"/>
      <c r="Z27" s="856"/>
      <c r="AA27" s="859"/>
      <c r="AB27" s="856"/>
      <c r="AC27" s="856"/>
      <c r="AD27" s="856"/>
    </row>
    <row customHeight="1" ht="27">
      <c r="A28" s="855"/>
      <c r="B28" s="909">
        <v>11</v>
      </c>
      <c r="C28" s="853">
        <v>7</v>
      </c>
      <c r="D28" s="977"/>
      <c r="E28" s="853"/>
      <c r="F28" s="853"/>
      <c r="G28" s="901"/>
      <c r="H28" s="968"/>
      <c r="I28" s="1015" t="str">
        <f>INDEX(TEMPLATE_NUMBER_POINT_FHD,B28,MATCH(TEMPLATE_SPHERE,TEMPLATE_SPHERE_LIST_FOR_NOTE,0))</f>
        <v>2.4</v>
      </c>
      <c r="J28" s="1015" t="str">
        <f>INDEX(TEMPLATE_DATA_POINT_FHD,B28,MATCH(TEMPLATE_SPHERE,TEMPLATE_SPHERE_LIST_FOR_NOTE,0))</f>
        <v>Расходы на приобретение холодной воды, используемой в технологическом процессе</v>
      </c>
      <c r="K28" s="1015">
        <f>INDEX(TEMPLATE_NOTE_POINT_FHD,B28,MATCH(TEMPLATE_SPHERE,TEMPLATE_SPHERE_LIST_FOR_NOTE,0))</f>
        <v>0</v>
      </c>
      <c r="L28" s="854" t="str">
        <f>IF(I28=0,"",I28)</f>
        <v>2.4</v>
      </c>
      <c r="M28" s="854" t="str">
        <f>IF(J28=0,"",J28)</f>
        <v>Расходы на приобретение холодной воды, используемой в технологическом процессе</v>
      </c>
      <c r="N28" s="854" t="str">
        <f>IF(K28=0,"",K28)</f>
        <v/>
      </c>
      <c r="O28" s="967" t="s">
        <v>753</v>
      </c>
      <c r="P28" s="967"/>
      <c r="Q28" s="967"/>
      <c r="R28" s="967"/>
      <c r="S28" s="967"/>
      <c r="T28" s="974" t="s">
        <v>2345</v>
      </c>
      <c r="U28" s="856"/>
      <c r="V28" s="856"/>
      <c r="W28" s="856"/>
      <c r="X28" s="853"/>
      <c r="Y28" s="1010"/>
      <c r="Z28" s="856"/>
      <c r="AA28" s="859"/>
      <c r="AB28" s="856"/>
      <c r="AC28" s="856"/>
      <c r="AD28" s="856"/>
    </row>
    <row customHeight="1" ht="27">
      <c r="A29" s="855"/>
      <c r="B29" s="909">
        <v>12</v>
      </c>
      <c r="C29" s="853">
        <v>8</v>
      </c>
      <c r="D29" s="977"/>
      <c r="E29" s="853"/>
      <c r="F29" s="853"/>
      <c r="G29" s="901"/>
      <c r="H29" s="968"/>
      <c r="I29" s="1015" t="str">
        <f>INDEX(TEMPLATE_NUMBER_POINT_FHD,B29,MATCH(TEMPLATE_SPHERE,TEMPLATE_SPHERE_LIST_FOR_NOTE,0))</f>
        <v>2.5</v>
      </c>
      <c r="J29" s="1015" t="str">
        <f>INDEX(TEMPLATE_DATA_POINT_FHD,B29,MATCH(TEMPLATE_SPHERE,TEMPLATE_SPHERE_LIST_FOR_NOTE,0))</f>
        <v>Расходы на  химические реагенты, используемые в технологическом процессе</v>
      </c>
      <c r="K29" s="1015">
        <f>INDEX(TEMPLATE_NOTE_POINT_FHD,B29,MATCH(TEMPLATE_SPHERE,TEMPLATE_SPHERE_LIST_FOR_NOTE,0))</f>
        <v>0</v>
      </c>
      <c r="L29" s="854" t="str">
        <f>IF(I29=0,"",I29)</f>
        <v>2.5</v>
      </c>
      <c r="M29" s="854" t="str">
        <f>IF(J29=0,"",J29)</f>
        <v>Расходы на  химические реагенты, используемые в технологическом процессе</v>
      </c>
      <c r="N29" s="854" t="str">
        <f>IF(K29=0,"",K29)</f>
        <v/>
      </c>
      <c r="O29" s="967" t="s">
        <v>760</v>
      </c>
      <c r="P29" s="967" t="s">
        <v>332</v>
      </c>
      <c r="Q29" s="967"/>
      <c r="R29" s="967" t="s">
        <v>332</v>
      </c>
      <c r="S29" s="967"/>
      <c r="T29" s="974"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56" t="s">
        <v>2346</v>
      </c>
      <c r="V29" s="856"/>
      <c r="W29" s="856" t="s">
        <v>2346</v>
      </c>
      <c r="X29" s="853"/>
      <c r="Y29" s="1010"/>
      <c r="Z29" s="856"/>
      <c r="AA29" s="859"/>
      <c r="AB29" s="856"/>
      <c r="AC29" s="856"/>
      <c r="AD29" s="856"/>
    </row>
    <row customHeight="1" ht="54">
      <c r="A30" s="855"/>
      <c r="B30" s="909">
        <v>13</v>
      </c>
      <c r="C30" s="853">
        <v>9</v>
      </c>
      <c r="D30" s="977"/>
      <c r="E30" s="853"/>
      <c r="F30" s="853"/>
      <c r="G30" s="901"/>
      <c r="H30" s="968"/>
      <c r="I30" s="1015" t="str">
        <f>INDEX(TEMPLATE_NUMBER_POINT_FHD,B30,MATCH(TEMPLATE_SPHERE,TEMPLATE_SPHERE_LIST_FOR_NOTE,0))</f>
        <v>2.6</v>
      </c>
      <c r="J30" s="1015"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5">
        <f>INDEX(TEMPLATE_NOTE_POINT_FHD,B30,MATCH(TEMPLATE_SPHERE,TEMPLATE_SPHERE_LIST_FOR_NOTE,0))</f>
        <v>0</v>
      </c>
      <c r="L30" s="854" t="str">
        <f>IF(I30=0,"",I30)</f>
        <v>2.6</v>
      </c>
      <c r="M30" s="854"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4" t="str">
        <f>IF(K30=0,"",K30)</f>
        <v/>
      </c>
      <c r="O30" s="967" t="s">
        <v>762</v>
      </c>
      <c r="P30" s="967" t="s">
        <v>753</v>
      </c>
      <c r="Q30" s="967" t="s">
        <v>762</v>
      </c>
      <c r="R30" s="967" t="s">
        <v>753</v>
      </c>
      <c r="S30" s="967"/>
      <c r="T30" s="974" t="s">
        <v>2347</v>
      </c>
      <c r="U30" s="856" t="s">
        <v>2347</v>
      </c>
      <c r="V30" s="856" t="s">
        <v>2347</v>
      </c>
      <c r="W30" s="856" t="s">
        <v>2347</v>
      </c>
      <c r="X30" s="853"/>
      <c r="Y30" s="1010"/>
      <c r="Z30" s="856"/>
      <c r="AA30" s="859" t="s">
        <v>2348</v>
      </c>
      <c r="AB30" s="859" t="s">
        <v>2348</v>
      </c>
      <c r="AC30" s="859" t="s">
        <v>2348</v>
      </c>
      <c r="AD30" s="856"/>
    </row>
    <row customHeight="1" ht="18">
      <c r="A31" s="855"/>
      <c r="B31" s="909">
        <v>14</v>
      </c>
      <c r="C31" s="853" t="s">
        <v>2349</v>
      </c>
      <c r="D31" s="977"/>
      <c r="E31" s="853"/>
      <c r="F31" s="853"/>
      <c r="G31" s="901"/>
      <c r="H31" s="968"/>
      <c r="I31" s="1015" t="str">
        <f>INDEX(TEMPLATE_NUMBER_POINT_FHD,B31,MATCH(TEMPLATE_SPHERE,TEMPLATE_SPHERE_LIST_FOR_NOTE,0))</f>
        <v>2.6.1</v>
      </c>
      <c r="J31" s="1015" t="str">
        <f>INDEX(TEMPLATE_DATA_POINT_FHD,B31,MATCH(TEMPLATE_SPHERE,TEMPLATE_SPHERE_LIST_FOR_NOTE,0))</f>
        <v>Расходы на оплату труда основного производственного персонала</v>
      </c>
      <c r="K31" s="1015">
        <f>INDEX(TEMPLATE_NOTE_POINT_FHD,B31,MATCH(TEMPLATE_SPHERE,TEMPLATE_SPHERE_LIST_FOR_NOTE,0))</f>
        <v>0</v>
      </c>
      <c r="L31" s="854" t="str">
        <f>IF(I31=0,"",I31)</f>
        <v>2.6.1</v>
      </c>
      <c r="M31" s="854" t="str">
        <f>IF(J31=0,"",J31)</f>
        <v>Расходы на оплату труда основного производственного персонала</v>
      </c>
      <c r="N31" s="854" t="str">
        <f>IF(K31=0,"",K31)</f>
        <v/>
      </c>
      <c r="O31" s="967" t="s">
        <v>2350</v>
      </c>
      <c r="P31" s="967" t="s">
        <v>756</v>
      </c>
      <c r="Q31" s="967" t="s">
        <v>2350</v>
      </c>
      <c r="R31" s="967" t="s">
        <v>756</v>
      </c>
      <c r="S31" s="967"/>
      <c r="T31" s="975" t="s">
        <v>2351</v>
      </c>
      <c r="U31" s="856" t="s">
        <v>2351</v>
      </c>
      <c r="V31" s="856" t="s">
        <v>2351</v>
      </c>
      <c r="W31" s="856" t="s">
        <v>2351</v>
      </c>
      <c r="X31" s="853"/>
      <c r="Y31" s="1010"/>
      <c r="Z31" s="856"/>
      <c r="AA31" s="859"/>
      <c r="AB31" s="859"/>
      <c r="AC31" s="859"/>
      <c r="AD31" s="856"/>
    </row>
    <row customHeight="1" ht="36">
      <c r="A32" s="855"/>
      <c r="B32" s="909">
        <v>15</v>
      </c>
      <c r="C32" s="853" t="s">
        <v>2352</v>
      </c>
      <c r="D32" s="977"/>
      <c r="E32" s="853"/>
      <c r="F32" s="853"/>
      <c r="G32" s="901"/>
      <c r="H32" s="968"/>
      <c r="I32" s="1015" t="str">
        <f>INDEX(TEMPLATE_NUMBER_POINT_FHD,B32,MATCH(TEMPLATE_SPHERE,TEMPLATE_SPHERE_LIST_FOR_NOTE,0))</f>
        <v>2.6.2</v>
      </c>
      <c r="J32" s="1015"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5">
        <f>INDEX(TEMPLATE_NOTE_POINT_FHD,B32,MATCH(TEMPLATE_SPHERE,TEMPLATE_SPHERE_LIST_FOR_NOTE,0))</f>
        <v>0</v>
      </c>
      <c r="L32" s="854" t="str">
        <f>IF(I32=0,"",I32)</f>
        <v>2.6.2</v>
      </c>
      <c r="M32" s="854" t="str">
        <f>IF(J32=0,"",J32)</f>
        <v>Страховые взносы на обязательное социальное страхование, выплачиваемые из фонда оплаты труда основного производственного персонала</v>
      </c>
      <c r="N32" s="854" t="str">
        <f>IF(K32=0,"",K32)</f>
        <v/>
      </c>
      <c r="O32" s="967" t="s">
        <v>2353</v>
      </c>
      <c r="P32" s="967" t="s">
        <v>758</v>
      </c>
      <c r="Q32" s="967" t="s">
        <v>2353</v>
      </c>
      <c r="R32" s="967" t="s">
        <v>758</v>
      </c>
      <c r="S32" s="967"/>
      <c r="T32" s="97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56" t="s">
        <v>2354</v>
      </c>
      <c r="V32" s="856" t="s">
        <v>2354</v>
      </c>
      <c r="W32" s="856" t="s">
        <v>2354</v>
      </c>
      <c r="X32" s="853"/>
      <c r="Y32" s="1010"/>
      <c r="Z32" s="856"/>
      <c r="AA32" s="859"/>
      <c r="AB32" s="859"/>
      <c r="AC32" s="859"/>
      <c r="AD32" s="856"/>
    </row>
    <row customHeight="1" ht="45">
      <c r="A33" s="855"/>
      <c r="B33" s="909">
        <v>16</v>
      </c>
      <c r="C33" s="853">
        <v>10</v>
      </c>
      <c r="D33" s="977"/>
      <c r="E33" s="853"/>
      <c r="F33" s="853"/>
      <c r="G33" s="901"/>
      <c r="H33" s="968"/>
      <c r="I33" s="1015" t="str">
        <f>INDEX(TEMPLATE_NUMBER_POINT_FHD,B33,MATCH(TEMPLATE_SPHERE,TEMPLATE_SPHERE_LIST_FOR_NOTE,0))</f>
        <v>2.7</v>
      </c>
      <c r="J33" s="1015"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5">
        <f>INDEX(TEMPLATE_NOTE_POINT_FHD,B33,MATCH(TEMPLATE_SPHERE,TEMPLATE_SPHERE_LIST_FOR_NOTE,0))</f>
        <v>0</v>
      </c>
      <c r="L33" s="854" t="str">
        <f>IF(I33=0,"",I33)</f>
        <v>2.7</v>
      </c>
      <c r="M33" s="854"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54" t="str">
        <f>IF(K33=0,"",K33)</f>
        <v/>
      </c>
      <c r="O33" s="967" t="s">
        <v>764</v>
      </c>
      <c r="P33" s="967" t="s">
        <v>760</v>
      </c>
      <c r="Q33" s="967" t="s">
        <v>764</v>
      </c>
      <c r="R33" s="967" t="s">
        <v>760</v>
      </c>
      <c r="S33" s="967"/>
      <c r="T33" s="97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56" t="s">
        <v>2355</v>
      </c>
      <c r="V33" s="856" t="s">
        <v>2355</v>
      </c>
      <c r="W33" s="856" t="s">
        <v>2356</v>
      </c>
      <c r="X33" s="853"/>
      <c r="Y33" s="1010"/>
      <c r="Z33" s="856"/>
      <c r="AA33" s="859" t="s">
        <v>2357</v>
      </c>
      <c r="AB33" s="859" t="s">
        <v>2357</v>
      </c>
      <c r="AC33" s="859" t="s">
        <v>2357</v>
      </c>
      <c r="AD33" s="856"/>
    </row>
    <row customHeight="1" ht="27">
      <c r="A34" s="855"/>
      <c r="B34" s="909">
        <v>17</v>
      </c>
      <c r="C34" s="853" t="s">
        <v>2358</v>
      </c>
      <c r="D34" s="977"/>
      <c r="E34" s="853"/>
      <c r="F34" s="853"/>
      <c r="G34" s="901"/>
      <c r="H34" s="968"/>
      <c r="I34" s="1015" t="str">
        <f>INDEX(TEMPLATE_NUMBER_POINT_FHD,B34,MATCH(TEMPLATE_SPHERE,TEMPLATE_SPHERE_LIST_FOR_NOTE,0))</f>
        <v>2.7.1</v>
      </c>
      <c r="J34" s="1015" t="str">
        <f>INDEX(TEMPLATE_DATA_POINT_FHD,B34,MATCH(TEMPLATE_SPHERE,TEMPLATE_SPHERE_LIST_FOR_NOTE,0))</f>
        <v>Расходы на оплату труда административно-управленческого персонала</v>
      </c>
      <c r="K34" s="1015">
        <f>INDEX(TEMPLATE_NOTE_POINT_FHD,B34,MATCH(TEMPLATE_SPHERE,TEMPLATE_SPHERE_LIST_FOR_NOTE,0))</f>
        <v>0</v>
      </c>
      <c r="L34" s="854" t="str">
        <f>IF(I34=0,"",I34)</f>
        <v>2.7.1</v>
      </c>
      <c r="M34" s="854" t="str">
        <f>IF(J34=0,"",J34)</f>
        <v>Расходы на оплату труда административно-управленческого персонала</v>
      </c>
      <c r="N34" s="854" t="str">
        <f>IF(K34=0,"",K34)</f>
        <v/>
      </c>
      <c r="O34" s="967" t="s">
        <v>2359</v>
      </c>
      <c r="P34" s="967" t="s">
        <v>2341</v>
      </c>
      <c r="Q34" s="967" t="s">
        <v>2359</v>
      </c>
      <c r="R34" s="967" t="s">
        <v>2341</v>
      </c>
      <c r="S34" s="967"/>
      <c r="T34" s="976" t="s">
        <v>2360</v>
      </c>
      <c r="U34" s="856" t="s">
        <v>2360</v>
      </c>
      <c r="V34" s="856" t="s">
        <v>2360</v>
      </c>
      <c r="W34" s="856" t="s">
        <v>2361</v>
      </c>
      <c r="X34" s="853"/>
      <c r="Y34" s="1010"/>
      <c r="Z34" s="856"/>
      <c r="AA34" s="859"/>
      <c r="AB34" s="856"/>
      <c r="AC34" s="856"/>
      <c r="AD34" s="856"/>
    </row>
    <row customHeight="1" ht="45">
      <c r="A35" s="855"/>
      <c r="B35" s="909">
        <v>18</v>
      </c>
      <c r="C35" s="853" t="s">
        <v>2362</v>
      </c>
      <c r="D35" s="977"/>
      <c r="E35" s="853"/>
      <c r="F35" s="853"/>
      <c r="G35" s="901"/>
      <c r="H35" s="968"/>
      <c r="I35" s="1015" t="str">
        <f>INDEX(TEMPLATE_NUMBER_POINT_FHD,B35,MATCH(TEMPLATE_SPHERE,TEMPLATE_SPHERE_LIST_FOR_NOTE,0))</f>
        <v>2.7.2</v>
      </c>
      <c r="J35" s="1015"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5">
        <f>INDEX(TEMPLATE_NOTE_POINT_FHD,B35,MATCH(TEMPLATE_SPHERE,TEMPLATE_SPHERE_LIST_FOR_NOTE,0))</f>
        <v>0</v>
      </c>
      <c r="L35" s="854" t="str">
        <f>IF(I35=0,"",I35)</f>
        <v>2.7.2</v>
      </c>
      <c r="M35" s="854"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54" t="str">
        <f>IF(K35=0,"",K35)</f>
        <v/>
      </c>
      <c r="O35" s="967" t="s">
        <v>2363</v>
      </c>
      <c r="P35" s="967" t="s">
        <v>2343</v>
      </c>
      <c r="Q35" s="967" t="s">
        <v>2363</v>
      </c>
      <c r="R35" s="967" t="s">
        <v>2343</v>
      </c>
      <c r="S35" s="967"/>
      <c r="T35" s="97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56" t="s">
        <v>2364</v>
      </c>
      <c r="V35" s="856" t="s">
        <v>2364</v>
      </c>
      <c r="W35" s="856" t="s">
        <v>2364</v>
      </c>
      <c r="X35" s="853"/>
      <c r="Y35" s="1010"/>
      <c r="Z35" s="856"/>
      <c r="AA35" s="859"/>
      <c r="AB35" s="856"/>
      <c r="AC35" s="856"/>
      <c r="AD35" s="856"/>
    </row>
    <row customHeight="1" ht="18">
      <c r="A36" s="855"/>
      <c r="B36" s="909">
        <v>19</v>
      </c>
      <c r="C36" s="853">
        <v>11</v>
      </c>
      <c r="D36" s="977"/>
      <c r="E36" s="853"/>
      <c r="F36" s="853"/>
      <c r="G36" s="901"/>
      <c r="H36" s="968"/>
      <c r="I36" s="1015" t="str">
        <f>INDEX(TEMPLATE_NUMBER_POINT_FHD,B36,MATCH(TEMPLATE_SPHERE,TEMPLATE_SPHERE_LIST_FOR_NOTE,0))</f>
        <v>2.8</v>
      </c>
      <c r="J36" s="1015" t="str">
        <f>INDEX(TEMPLATE_DATA_POINT_FHD,B36,MATCH(TEMPLATE_SPHERE,TEMPLATE_SPHERE_LIST_FOR_NOTE,0))</f>
        <v>Расходы на амортизацию основных средств и нематериальных активов</v>
      </c>
      <c r="K36" s="1015">
        <f>INDEX(TEMPLATE_NOTE_POINT_FHD,B36,MATCH(TEMPLATE_SPHERE,TEMPLATE_SPHERE_LIST_FOR_NOTE,0))</f>
        <v>0</v>
      </c>
      <c r="L36" s="854" t="str">
        <f>IF(I36=0,"",I36)</f>
        <v>2.8</v>
      </c>
      <c r="M36" s="854" t="str">
        <f>IF(J36=0,"",J36)</f>
        <v>Расходы на амортизацию основных средств и нематериальных активов</v>
      </c>
      <c r="N36" s="854" t="str">
        <f>IF(K36=0,"",K36)</f>
        <v/>
      </c>
      <c r="O36" s="967" t="s">
        <v>766</v>
      </c>
      <c r="P36" s="967" t="s">
        <v>762</v>
      </c>
      <c r="Q36" s="967" t="s">
        <v>766</v>
      </c>
      <c r="R36" s="967" t="s">
        <v>762</v>
      </c>
      <c r="S36" s="967"/>
      <c r="T36" s="974" t="s">
        <v>2365</v>
      </c>
      <c r="U36" s="856" t="s">
        <v>2365</v>
      </c>
      <c r="V36" s="856" t="s">
        <v>2365</v>
      </c>
      <c r="W36" s="856" t="s">
        <v>2365</v>
      </c>
      <c r="X36" s="853"/>
      <c r="Y36" s="1010"/>
      <c r="Z36" s="856"/>
      <c r="AA36" s="859"/>
      <c r="AB36" s="856"/>
      <c r="AC36" s="856"/>
      <c r="AD36" s="856"/>
    </row>
    <row customHeight="1" ht="18">
      <c r="A37" s="855"/>
      <c r="B37" s="909">
        <v>20</v>
      </c>
      <c r="C37" s="853" t="s">
        <v>2366</v>
      </c>
      <c r="D37" s="977"/>
      <c r="E37" s="853"/>
      <c r="F37" s="853"/>
      <c r="G37" s="901"/>
      <c r="H37" s="968"/>
      <c r="I37" s="1015" t="str">
        <f>INDEX(TEMPLATE_NUMBER_POINT_FHD,B37,MATCH(TEMPLATE_SPHERE,TEMPLATE_SPHERE_LIST_FOR_NOTE,0))</f>
        <v>2.8.1</v>
      </c>
      <c r="J37" s="1015" t="str">
        <f>INDEX(TEMPLATE_DATA_POINT_FHD,B37,MATCH(TEMPLATE_SPHERE,TEMPLATE_SPHERE_LIST_FOR_NOTE,0))</f>
        <v>Расходы на амортизацию основных средств</v>
      </c>
      <c r="K37" s="1015">
        <f>INDEX(TEMPLATE_NOTE_POINT_FHD,B37,MATCH(TEMPLATE_SPHERE,TEMPLATE_SPHERE_LIST_FOR_NOTE,0))</f>
        <v>0</v>
      </c>
      <c r="L37" s="854" t="str">
        <f>IF(I37=0,"",I37)</f>
        <v>2.8.1</v>
      </c>
      <c r="M37" s="854" t="str">
        <f>IF(J37=0,"",J37)</f>
        <v>Расходы на амортизацию основных средств</v>
      </c>
      <c r="N37" s="854" t="str">
        <f>IF(K37=0,"",K37)</f>
        <v/>
      </c>
      <c r="O37" s="967" t="s">
        <v>2367</v>
      </c>
      <c r="P37" s="967" t="s">
        <v>2350</v>
      </c>
      <c r="Q37" s="967" t="s">
        <v>2367</v>
      </c>
      <c r="R37" s="967" t="s">
        <v>2350</v>
      </c>
      <c r="S37" s="967"/>
      <c r="T37" s="974" t="s">
        <v>2368</v>
      </c>
      <c r="U37" s="856" t="s">
        <v>2368</v>
      </c>
      <c r="V37" s="856" t="s">
        <v>2368</v>
      </c>
      <c r="W37" s="856" t="s">
        <v>2368</v>
      </c>
      <c r="X37" s="853"/>
      <c r="Y37" s="1010"/>
      <c r="Z37" s="856"/>
      <c r="AA37" s="859"/>
      <c r="AB37" s="856"/>
      <c r="AC37" s="856"/>
      <c r="AD37" s="856"/>
    </row>
    <row customHeight="1" ht="18">
      <c r="A38" s="855"/>
      <c r="B38" s="909">
        <v>21</v>
      </c>
      <c r="C38" s="853" t="s">
        <v>2369</v>
      </c>
      <c r="D38" s="977"/>
      <c r="E38" s="853"/>
      <c r="F38" s="853"/>
      <c r="G38" s="901"/>
      <c r="H38" s="968"/>
      <c r="I38" s="1015" t="str">
        <f>INDEX(TEMPLATE_NUMBER_POINT_FHD,B38,MATCH(TEMPLATE_SPHERE,TEMPLATE_SPHERE_LIST_FOR_NOTE,0))</f>
        <v>2.8.2</v>
      </c>
      <c r="J38" s="1015" t="str">
        <f>INDEX(TEMPLATE_DATA_POINT_FHD,B38,MATCH(TEMPLATE_SPHERE,TEMPLATE_SPHERE_LIST_FOR_NOTE,0))</f>
        <v>Расходы на амортизацию нематериальных активов</v>
      </c>
      <c r="K38" s="1015">
        <f>INDEX(TEMPLATE_NOTE_POINT_FHD,B38,MATCH(TEMPLATE_SPHERE,TEMPLATE_SPHERE_LIST_FOR_NOTE,0))</f>
        <v>0</v>
      </c>
      <c r="L38" s="854" t="str">
        <f>IF(I38=0,"",I38)</f>
        <v>2.8.2</v>
      </c>
      <c r="M38" s="854" t="str">
        <f>IF(J38=0,"",J38)</f>
        <v>Расходы на амортизацию нематериальных активов</v>
      </c>
      <c r="N38" s="854" t="str">
        <f>IF(K38=0,"",K38)</f>
        <v/>
      </c>
      <c r="O38" s="967" t="s">
        <v>2370</v>
      </c>
      <c r="P38" s="967" t="s">
        <v>2353</v>
      </c>
      <c r="Q38" s="967" t="s">
        <v>2370</v>
      </c>
      <c r="R38" s="967" t="s">
        <v>2353</v>
      </c>
      <c r="S38" s="967"/>
      <c r="T38" s="974" t="s">
        <v>2371</v>
      </c>
      <c r="U38" s="856" t="s">
        <v>2371</v>
      </c>
      <c r="V38" s="856" t="s">
        <v>2371</v>
      </c>
      <c r="W38" s="856" t="s">
        <v>2371</v>
      </c>
      <c r="X38" s="853"/>
      <c r="Y38" s="1010"/>
      <c r="Z38" s="856"/>
      <c r="AA38" s="859"/>
      <c r="AB38" s="856"/>
      <c r="AC38" s="856"/>
      <c r="AD38" s="856"/>
    </row>
    <row customHeight="1" ht="36">
      <c r="A39" s="855"/>
      <c r="B39" s="909">
        <v>22</v>
      </c>
      <c r="C39" s="853">
        <v>12</v>
      </c>
      <c r="D39" s="977"/>
      <c r="E39" s="853"/>
      <c r="F39" s="853"/>
      <c r="G39" s="901"/>
      <c r="H39" s="968"/>
      <c r="I39" s="1015" t="str">
        <f>INDEX(TEMPLATE_NUMBER_POINT_FHD,B39,MATCH(TEMPLATE_SPHERE,TEMPLATE_SPHERE_LIST_FOR_NOTE,0))</f>
        <v>2.9</v>
      </c>
      <c r="J39" s="1015" t="str">
        <f>INDEX(TEMPLATE_DATA_POINT_FHD,B39,MATCH(TEMPLATE_SPHERE,TEMPLATE_SPHERE_LIST_FOR_NOTE,0))</f>
        <v>Расходы на аренду имущества, используемого для осуществления регулируемого вида деятельности</v>
      </c>
      <c r="K39" s="1015">
        <f>INDEX(TEMPLATE_NOTE_POINT_FHD,B39,MATCH(TEMPLATE_SPHERE,TEMPLATE_SPHERE_LIST_FOR_NOTE,0))</f>
        <v>0</v>
      </c>
      <c r="L39" s="854" t="str">
        <f>IF(I39=0,"",I39)</f>
        <v>2.9</v>
      </c>
      <c r="M39" s="854" t="str">
        <f>IF(J39=0,"",J39)</f>
        <v>Расходы на аренду имущества, используемого для осуществления регулируемого вида деятельности</v>
      </c>
      <c r="N39" s="854" t="str">
        <f>IF(K39=0,"",K39)</f>
        <v/>
      </c>
      <c r="O39" s="967" t="s">
        <v>770</v>
      </c>
      <c r="P39" s="967" t="s">
        <v>764</v>
      </c>
      <c r="Q39" s="967" t="s">
        <v>770</v>
      </c>
      <c r="R39" s="967" t="s">
        <v>764</v>
      </c>
      <c r="S39" s="967"/>
      <c r="T39" s="974" t="s">
        <v>2372</v>
      </c>
      <c r="U39" s="856" t="s">
        <v>2373</v>
      </c>
      <c r="V39" s="856" t="s">
        <v>2374</v>
      </c>
      <c r="W39" s="856" t="s">
        <v>2375</v>
      </c>
      <c r="X39" s="853"/>
      <c r="Y39" s="1010"/>
      <c r="Z39" s="856"/>
      <c r="AA39" s="859"/>
      <c r="AB39" s="856"/>
      <c r="AC39" s="856"/>
      <c r="AD39" s="856"/>
    </row>
    <row customHeight="1" ht="18">
      <c r="A40" s="855"/>
      <c r="B40" s="909">
        <v>23</v>
      </c>
      <c r="C40" s="853">
        <v>13</v>
      </c>
      <c r="D40" s="977"/>
      <c r="E40" s="853"/>
      <c r="F40" s="853"/>
      <c r="G40" s="853"/>
      <c r="H40" s="904"/>
      <c r="I40" s="1015" t="str">
        <f>INDEX(TEMPLATE_NUMBER_POINT_FHD,B40,MATCH(TEMPLATE_SPHERE,TEMPLATE_SPHERE_LIST_FOR_NOTE,0))</f>
        <v>2.10</v>
      </c>
      <c r="J40" s="1015" t="str">
        <f>INDEX(TEMPLATE_DATA_POINT_FHD,B40,MATCH(TEMPLATE_SPHERE,TEMPLATE_SPHERE_LIST_FOR_NOTE,0))</f>
        <v>Общепроизводственные расходы, в том числе:</v>
      </c>
      <c r="K40" s="1015" t="str">
        <f>INDEX(TEMPLATE_NOTE_POINT_FHD,B40,MATCH(TEMPLATE_SPHERE,TEMPLATE_SPHERE_LIST_FOR_NOTE,0))</f>
        <v>Указывается общая сумма общепроизводственных расходов.</v>
      </c>
      <c r="L40" s="854" t="str">
        <f>IF(I40=0,"",I40)</f>
        <v>2.10</v>
      </c>
      <c r="M40" s="854" t="str">
        <f>IF(J40=0,"",J40)</f>
        <v>Общепроизводственные расходы, в том числе:</v>
      </c>
      <c r="N40" s="854" t="str">
        <f>IF(K40=0,"",K40)</f>
        <v>Указывается общая сумма общепроизводственных расходов.</v>
      </c>
      <c r="O40" s="967" t="s">
        <v>2376</v>
      </c>
      <c r="P40" s="967" t="s">
        <v>766</v>
      </c>
      <c r="Q40" s="967" t="s">
        <v>2376</v>
      </c>
      <c r="R40" s="967" t="s">
        <v>766</v>
      </c>
      <c r="S40" s="967"/>
      <c r="T40" s="853" t="s">
        <v>2377</v>
      </c>
      <c r="U40" s="853" t="s">
        <v>2377</v>
      </c>
      <c r="V40" s="853" t="s">
        <v>2377</v>
      </c>
      <c r="W40" s="853" t="s">
        <v>2377</v>
      </c>
      <c r="X40" s="853"/>
      <c r="Y40" s="1010"/>
      <c r="Z40" s="856" t="s">
        <v>2378</v>
      </c>
      <c r="AA40" s="859" t="s">
        <v>2378</v>
      </c>
      <c r="AB40" s="859" t="s">
        <v>2378</v>
      </c>
      <c r="AC40" s="859" t="s">
        <v>2378</v>
      </c>
      <c r="AD40" s="856"/>
    </row>
    <row customHeight="1" ht="27">
      <c r="A41" s="855"/>
      <c r="B41" s="909">
        <v>24</v>
      </c>
      <c r="C41" s="853" t="s">
        <v>2379</v>
      </c>
      <c r="D41" s="977"/>
      <c r="E41" s="853"/>
      <c r="F41" s="853"/>
      <c r="G41" s="853"/>
      <c r="H41" s="901"/>
      <c r="I41" s="1015" t="str">
        <f>INDEX(TEMPLATE_NUMBER_POINT_FHD,B41,MATCH(TEMPLATE_SPHERE,TEMPLATE_SPHERE_LIST_FOR_NOTE,0))</f>
        <v>2.10.1</v>
      </c>
      <c r="J41" s="1015" t="str">
        <f>INDEX(TEMPLATE_DATA_POINT_FHD,B41,MATCH(TEMPLATE_SPHERE,TEMPLATE_SPHERE_LIST_FOR_NOTE,0))</f>
        <v>Расходы на текущий ремонт</v>
      </c>
      <c r="K41" s="1015" t="str">
        <f>INDEX(TEMPLATE_NOTE_POINT_FHD,B41,MATCH(TEMPLATE_SPHERE,TEMPLATE_SPHERE_LIST_FOR_NOTE,0))</f>
        <v>Указываются расходы на текущий ремонт, отнесенные к общепроизводственным расходам.</v>
      </c>
      <c r="L41" s="854" t="str">
        <f>IF(I41=0,"",I41)</f>
        <v>2.10.1</v>
      </c>
      <c r="M41" s="854" t="str">
        <f>IF(J41=0,"",J41)</f>
        <v>Расходы на текущий ремонт</v>
      </c>
      <c r="N41" s="854" t="str">
        <f>IF(K41=0,"",K41)</f>
        <v>Указываются расходы на текущий ремонт, отнесенные к общепроизводственным расходам.</v>
      </c>
      <c r="O41" s="967" t="s">
        <v>2380</v>
      </c>
      <c r="P41" s="967" t="s">
        <v>2367</v>
      </c>
      <c r="Q41" s="967" t="s">
        <v>2380</v>
      </c>
      <c r="R41" s="967" t="s">
        <v>2367</v>
      </c>
      <c r="S41" s="967"/>
      <c r="T41" s="853" t="s">
        <v>2381</v>
      </c>
      <c r="U41" s="853" t="s">
        <v>2381</v>
      </c>
      <c r="V41" s="853" t="s">
        <v>2381</v>
      </c>
      <c r="W41" s="853" t="s">
        <v>2381</v>
      </c>
      <c r="X41" s="853"/>
      <c r="Y41" s="1010"/>
      <c r="Z41" s="856" t="s">
        <v>2382</v>
      </c>
      <c r="AA41" s="856" t="s">
        <v>2382</v>
      </c>
      <c r="AB41" s="856" t="s">
        <v>2382</v>
      </c>
      <c r="AC41" s="856" t="s">
        <v>2382</v>
      </c>
      <c r="AD41" s="856"/>
    </row>
    <row customHeight="1" ht="27">
      <c r="A42" s="855"/>
      <c r="B42" s="909">
        <v>25</v>
      </c>
      <c r="C42" s="853" t="s">
        <v>2383</v>
      </c>
      <c r="D42" s="977"/>
      <c r="E42" s="853"/>
      <c r="F42" s="853"/>
      <c r="G42" s="853"/>
      <c r="H42" s="901"/>
      <c r="I42" s="1015" t="str">
        <f>INDEX(TEMPLATE_NUMBER_POINT_FHD,B42,MATCH(TEMPLATE_SPHERE,TEMPLATE_SPHERE_LIST_FOR_NOTE,0))</f>
        <v>2.10.2</v>
      </c>
      <c r="J42" s="1015" t="str">
        <f>INDEX(TEMPLATE_DATA_POINT_FHD,B42,MATCH(TEMPLATE_SPHERE,TEMPLATE_SPHERE_LIST_FOR_NOTE,0))</f>
        <v>Расходы на капитальный ремонт</v>
      </c>
      <c r="K42" s="1015" t="str">
        <f>INDEX(TEMPLATE_NOTE_POINT_FHD,B42,MATCH(TEMPLATE_SPHERE,TEMPLATE_SPHERE_LIST_FOR_NOTE,0))</f>
        <v>Указываются расходы на капитальный ремонт, отнесенные к общепроизводственным расходам.</v>
      </c>
      <c r="L42" s="854" t="str">
        <f>IF(I42=0,"",I42)</f>
        <v>2.10.2</v>
      </c>
      <c r="M42" s="854" t="str">
        <f>IF(J42=0,"",J42)</f>
        <v>Расходы на капитальный ремонт</v>
      </c>
      <c r="N42" s="854" t="str">
        <f>IF(K42=0,"",K42)</f>
        <v>Указываются расходы на капитальный ремонт, отнесенные к общепроизводственным расходам.</v>
      </c>
      <c r="O42" s="967" t="s">
        <v>2384</v>
      </c>
      <c r="P42" s="967" t="s">
        <v>2370</v>
      </c>
      <c r="Q42" s="967" t="s">
        <v>2384</v>
      </c>
      <c r="R42" s="967" t="s">
        <v>2370</v>
      </c>
      <c r="S42" s="967"/>
      <c r="T42" s="853" t="s">
        <v>2385</v>
      </c>
      <c r="U42" s="853" t="s">
        <v>2385</v>
      </c>
      <c r="V42" s="853" t="s">
        <v>2385</v>
      </c>
      <c r="W42" s="853" t="s">
        <v>2385</v>
      </c>
      <c r="X42" s="853"/>
      <c r="Y42" s="1010"/>
      <c r="Z42" s="856" t="s">
        <v>2386</v>
      </c>
      <c r="AA42" s="856" t="s">
        <v>2386</v>
      </c>
      <c r="AB42" s="856" t="s">
        <v>2386</v>
      </c>
      <c r="AC42" s="856" t="s">
        <v>2386</v>
      </c>
      <c r="AD42" s="856"/>
    </row>
    <row customHeight="1" ht="18">
      <c r="A43" s="855"/>
      <c r="B43" s="909">
        <v>26</v>
      </c>
      <c r="C43" s="853">
        <v>14</v>
      </c>
      <c r="D43" s="977"/>
      <c r="E43" s="853"/>
      <c r="F43" s="853"/>
      <c r="G43" s="853"/>
      <c r="H43" s="901"/>
      <c r="I43" s="1015" t="str">
        <f>INDEX(TEMPLATE_NUMBER_POINT_FHD,B43,MATCH(TEMPLATE_SPHERE,TEMPLATE_SPHERE_LIST_FOR_NOTE,0))</f>
        <v>2.11</v>
      </c>
      <c r="J43" s="1015" t="str">
        <f>INDEX(TEMPLATE_DATA_POINT_FHD,B43,MATCH(TEMPLATE_SPHERE,TEMPLATE_SPHERE_LIST_FOR_NOTE,0))</f>
        <v>Общехозяйственные расходы, в том числе:</v>
      </c>
      <c r="K43" s="1015" t="str">
        <f>INDEX(TEMPLATE_NOTE_POINT_FHD,B43,MATCH(TEMPLATE_SPHERE,TEMPLATE_SPHERE_LIST_FOR_NOTE,0))</f>
        <v>Указывается общая сумма общехозяйственных расходов.</v>
      </c>
      <c r="L43" s="854" t="str">
        <f>IF(I43=0,"",I43)</f>
        <v>2.11</v>
      </c>
      <c r="M43" s="854" t="str">
        <f>IF(J43=0,"",J43)</f>
        <v>Общехозяйственные расходы, в том числе:</v>
      </c>
      <c r="N43" s="854" t="str">
        <f>IF(K43=0,"",K43)</f>
        <v>Указывается общая сумма общехозяйственных расходов.</v>
      </c>
      <c r="O43" s="967" t="s">
        <v>2387</v>
      </c>
      <c r="P43" s="967" t="s">
        <v>770</v>
      </c>
      <c r="Q43" s="967" t="s">
        <v>2387</v>
      </c>
      <c r="R43" s="967" t="s">
        <v>770</v>
      </c>
      <c r="S43" s="967"/>
      <c r="T43" s="853" t="s">
        <v>2388</v>
      </c>
      <c r="U43" s="853" t="s">
        <v>2388</v>
      </c>
      <c r="V43" s="853" t="s">
        <v>2388</v>
      </c>
      <c r="W43" s="853" t="s">
        <v>2388</v>
      </c>
      <c r="X43" s="853"/>
      <c r="Y43" s="1010"/>
      <c r="Z43" s="856" t="s">
        <v>2389</v>
      </c>
      <c r="AA43" s="856" t="s">
        <v>2389</v>
      </c>
      <c r="AB43" s="856" t="s">
        <v>2389</v>
      </c>
      <c r="AC43" s="856" t="s">
        <v>2389</v>
      </c>
      <c r="AD43" s="856"/>
    </row>
    <row customHeight="1" ht="27">
      <c r="A44" s="855"/>
      <c r="B44" s="909">
        <v>27</v>
      </c>
      <c r="C44" s="853" t="s">
        <v>2390</v>
      </c>
      <c r="D44" s="977"/>
      <c r="E44" s="853"/>
      <c r="F44" s="853"/>
      <c r="G44" s="853"/>
      <c r="H44" s="901"/>
      <c r="I44" s="1015" t="str">
        <f>INDEX(TEMPLATE_NUMBER_POINT_FHD,B44,MATCH(TEMPLATE_SPHERE,TEMPLATE_SPHERE_LIST_FOR_NOTE,0))</f>
        <v>2.11.1</v>
      </c>
      <c r="J44" s="1015" t="str">
        <f>INDEX(TEMPLATE_DATA_POINT_FHD,B44,MATCH(TEMPLATE_SPHERE,TEMPLATE_SPHERE_LIST_FOR_NOTE,0))</f>
        <v>Расходы на текущий ремонт</v>
      </c>
      <c r="K44" s="1015" t="str">
        <f>INDEX(TEMPLATE_NOTE_POINT_FHD,B44,MATCH(TEMPLATE_SPHERE,TEMPLATE_SPHERE_LIST_FOR_NOTE,0))</f>
        <v>Указываются расходы на текущий ремонт, отнесенные к общехозяйственным расходам.</v>
      </c>
      <c r="L44" s="854" t="str">
        <f>IF(I44=0,"",I44)</f>
        <v>2.11.1</v>
      </c>
      <c r="M44" s="854" t="str">
        <f>IF(J44=0,"",J44)</f>
        <v>Расходы на текущий ремонт</v>
      </c>
      <c r="N44" s="854" t="str">
        <f>IF(K44=0,"",K44)</f>
        <v>Указываются расходы на текущий ремонт, отнесенные к общехозяйственным расходам.</v>
      </c>
      <c r="O44" s="967" t="s">
        <v>2391</v>
      </c>
      <c r="P44" s="967" t="s">
        <v>2392</v>
      </c>
      <c r="Q44" s="967" t="s">
        <v>2391</v>
      </c>
      <c r="R44" s="967" t="s">
        <v>2392</v>
      </c>
      <c r="S44" s="967"/>
      <c r="T44" s="853" t="s">
        <v>2381</v>
      </c>
      <c r="U44" s="853" t="s">
        <v>2381</v>
      </c>
      <c r="V44" s="853" t="s">
        <v>2381</v>
      </c>
      <c r="W44" s="853" t="s">
        <v>2381</v>
      </c>
      <c r="X44" s="853"/>
      <c r="Y44" s="1010"/>
      <c r="Z44" s="856" t="s">
        <v>2393</v>
      </c>
      <c r="AA44" s="856" t="s">
        <v>2393</v>
      </c>
      <c r="AB44" s="856" t="s">
        <v>2393</v>
      </c>
      <c r="AC44" s="856" t="s">
        <v>2393</v>
      </c>
      <c r="AD44" s="856"/>
    </row>
    <row customHeight="1" ht="27">
      <c r="A45" s="855"/>
      <c r="B45" s="909">
        <v>28</v>
      </c>
      <c r="C45" s="853" t="s">
        <v>2394</v>
      </c>
      <c r="D45" s="977"/>
      <c r="E45" s="853"/>
      <c r="F45" s="853"/>
      <c r="G45" s="853"/>
      <c r="H45" s="901"/>
      <c r="I45" s="1015" t="str">
        <f>INDEX(TEMPLATE_NUMBER_POINT_FHD,B45,MATCH(TEMPLATE_SPHERE,TEMPLATE_SPHERE_LIST_FOR_NOTE,0))</f>
        <v>2.11.2</v>
      </c>
      <c r="J45" s="1015" t="str">
        <f>INDEX(TEMPLATE_DATA_POINT_FHD,B45,MATCH(TEMPLATE_SPHERE,TEMPLATE_SPHERE_LIST_FOR_NOTE,0))</f>
        <v>Расходы на капитальный ремонт</v>
      </c>
      <c r="K45" s="1015" t="str">
        <f>INDEX(TEMPLATE_NOTE_POINT_FHD,B45,MATCH(TEMPLATE_SPHERE,TEMPLATE_SPHERE_LIST_FOR_NOTE,0))</f>
        <v>Указываются расходы на капитальный ремонт, отнесенные к общехозяйственным расходам.</v>
      </c>
      <c r="L45" s="854" t="str">
        <f>IF(I45=0,"",I45)</f>
        <v>2.11.2</v>
      </c>
      <c r="M45" s="854" t="str">
        <f>IF(J45=0,"",J45)</f>
        <v>Расходы на капитальный ремонт</v>
      </c>
      <c r="N45" s="854" t="str">
        <f>IF(K45=0,"",K45)</f>
        <v>Указываются расходы на капитальный ремонт, отнесенные к общехозяйственным расходам.</v>
      </c>
      <c r="O45" s="967" t="s">
        <v>2395</v>
      </c>
      <c r="P45" s="967" t="s">
        <v>2396</v>
      </c>
      <c r="Q45" s="967" t="s">
        <v>2395</v>
      </c>
      <c r="R45" s="967" t="s">
        <v>2396</v>
      </c>
      <c r="S45" s="967"/>
      <c r="T45" s="853" t="s">
        <v>2385</v>
      </c>
      <c r="U45" s="853" t="s">
        <v>2385</v>
      </c>
      <c r="V45" s="853" t="s">
        <v>2385</v>
      </c>
      <c r="W45" s="853" t="s">
        <v>2385</v>
      </c>
      <c r="X45" s="853"/>
      <c r="Y45" s="1010"/>
      <c r="Z45" s="856" t="s">
        <v>2397</v>
      </c>
      <c r="AA45" s="856" t="s">
        <v>2397</v>
      </c>
      <c r="AB45" s="856" t="s">
        <v>2397</v>
      </c>
      <c r="AC45" s="856" t="s">
        <v>2397</v>
      </c>
      <c r="AD45" s="856"/>
    </row>
    <row customHeight="1" ht="54">
      <c r="A46" s="855"/>
      <c r="B46" s="909">
        <v>29</v>
      </c>
      <c r="C46" s="853">
        <v>15</v>
      </c>
      <c r="D46" s="977"/>
      <c r="E46" s="853"/>
      <c r="F46" s="853"/>
      <c r="G46" s="853"/>
      <c r="H46" s="901"/>
      <c r="I46" s="1015" t="str">
        <f>INDEX(TEMPLATE_NUMBER_POINT_FHD,B46,MATCH(TEMPLATE_SPHERE,TEMPLATE_SPHERE_LIST_FOR_NOTE,0))</f>
        <v>2.12</v>
      </c>
      <c r="J46" s="1015" t="str">
        <f>INDEX(TEMPLATE_DATA_POINT_FHD,B46,MATCH(TEMPLATE_SPHERE,TEMPLATE_SPHERE_LIST_FOR_NOTE,0))</f>
        <v>Расходы на капитальный и текущий ремонт основных средств</v>
      </c>
      <c r="K46" s="1015"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4" t="str">
        <f>IF(I46=0,"",I46)</f>
        <v>2.12</v>
      </c>
      <c r="M46" s="854" t="str">
        <f>IF(J46=0,"",J46)</f>
        <v>Расходы на капитальный и текущий ремонт основных средств</v>
      </c>
      <c r="N46" s="854"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7" t="s">
        <v>2398</v>
      </c>
      <c r="P46" s="967" t="s">
        <v>2376</v>
      </c>
      <c r="Q46" s="967" t="s">
        <v>2398</v>
      </c>
      <c r="R46" s="967" t="s">
        <v>2376</v>
      </c>
      <c r="S46" s="967"/>
      <c r="T46" s="85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53" t="s">
        <v>2399</v>
      </c>
      <c r="V46" s="853" t="s">
        <v>2399</v>
      </c>
      <c r="W46" s="853" t="s">
        <v>2399</v>
      </c>
      <c r="X46" s="853"/>
      <c r="Y46" s="1010"/>
      <c r="Z46" s="856" t="s">
        <v>2400</v>
      </c>
      <c r="AA46" s="856" t="s">
        <v>2401</v>
      </c>
      <c r="AB46" s="856" t="s">
        <v>2401</v>
      </c>
      <c r="AC46" s="856" t="s">
        <v>2401</v>
      </c>
      <c r="AD46" s="856"/>
    </row>
    <row customHeight="1" ht="54">
      <c r="A47" s="855"/>
      <c r="B47" s="909">
        <v>30</v>
      </c>
      <c r="C47" s="853" t="s">
        <v>2402</v>
      </c>
      <c r="D47" s="977"/>
      <c r="E47" s="853"/>
      <c r="F47" s="853"/>
      <c r="G47" s="853"/>
      <c r="H47" s="901"/>
      <c r="I47" s="1015" t="str">
        <f>INDEX(TEMPLATE_NUMBER_POINT_FHD,B47,MATCH(TEMPLATE_SPHERE,TEMPLATE_SPHERE_LIST_FOR_NOTE,0))</f>
        <v>2.12.1</v>
      </c>
      <c r="J47" s="1015"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5">
        <f>INDEX(TEMPLATE_NOTE_POINT_FHD,B47,MATCH(TEMPLATE_SPHERE,TEMPLATE_SPHERE_LIST_FOR_NOTE,0))</f>
        <v>0</v>
      </c>
      <c r="L47" s="854" t="str">
        <f>IF(I47=0,"",I47)</f>
        <v>2.12.1</v>
      </c>
      <c r="M47" s="854"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4" t="str">
        <f>IF(K47=0,"",K47)</f>
        <v/>
      </c>
      <c r="O47" s="967" t="s">
        <v>2403</v>
      </c>
      <c r="P47" s="967" t="s">
        <v>2380</v>
      </c>
      <c r="Q47" s="967" t="s">
        <v>2403</v>
      </c>
      <c r="R47" s="967" t="s">
        <v>2380</v>
      </c>
      <c r="S47" s="967"/>
      <c r="T47" s="853" t="s">
        <v>2404</v>
      </c>
      <c r="U47" s="853" t="s">
        <v>2404</v>
      </c>
      <c r="V47" s="853" t="s">
        <v>2404</v>
      </c>
      <c r="W47" s="853" t="s">
        <v>2404</v>
      </c>
      <c r="X47" s="853"/>
      <c r="Y47" s="1010"/>
      <c r="Z47" s="856"/>
      <c r="AA47" s="859"/>
      <c r="AB47" s="859"/>
      <c r="AC47" s="859"/>
      <c r="AD47" s="856"/>
    </row>
    <row customHeight="1" ht="54">
      <c r="A48" s="855"/>
      <c r="B48" s="909">
        <v>31</v>
      </c>
      <c r="C48" s="853">
        <v>16</v>
      </c>
      <c r="D48" s="977"/>
      <c r="E48" s="853"/>
      <c r="F48" s="853"/>
      <c r="G48" s="853"/>
      <c r="H48" s="901"/>
      <c r="I48" s="1015">
        <f>INDEX(TEMPLATE_NUMBER_POINT_FHD,B48,MATCH(TEMPLATE_SPHERE,TEMPLATE_SPHERE_LIST_FOR_NOTE,0))</f>
        <v>0</v>
      </c>
      <c r="J48" s="1015">
        <f>INDEX(TEMPLATE_DATA_POINT_FHD,B48,MATCH(TEMPLATE_SPHERE,TEMPLATE_SPHERE_LIST_FOR_NOTE,0))</f>
        <v>0</v>
      </c>
      <c r="K48" s="1015">
        <f>INDEX(TEMPLATE_NOTE_POINT_FHD,B48,MATCH(TEMPLATE_SPHERE,TEMPLATE_SPHERE_LIST_FOR_NOTE,0))</f>
        <v>0</v>
      </c>
      <c r="L48" s="854" t="str">
        <f>IF(I48=0,"",I48)</f>
        <v/>
      </c>
      <c r="M48" s="854" t="str">
        <f>IF(J48=0,"",J48)</f>
        <v/>
      </c>
      <c r="N48" s="854" t="str">
        <f>IF(K48=0,"",K48)</f>
        <v/>
      </c>
      <c r="O48" s="967"/>
      <c r="P48" s="967" t="s">
        <v>2387</v>
      </c>
      <c r="Q48" s="967" t="s">
        <v>2405</v>
      </c>
      <c r="R48" s="967" t="s">
        <v>2387</v>
      </c>
      <c r="S48" s="967"/>
      <c r="T48" s="853"/>
      <c r="U48" s="853" t="s">
        <v>2406</v>
      </c>
      <c r="V48" s="853" t="s">
        <v>2407</v>
      </c>
      <c r="W48" s="853" t="s">
        <v>2407</v>
      </c>
      <c r="X48" s="853"/>
      <c r="Y48" s="1010"/>
      <c r="Z48" s="856"/>
      <c r="AA48" s="859" t="s">
        <v>2401</v>
      </c>
      <c r="AB48" s="859" t="s">
        <v>2401</v>
      </c>
      <c r="AC48" s="859" t="s">
        <v>2401</v>
      </c>
      <c r="AD48" s="856"/>
    </row>
    <row customHeight="1" ht="54">
      <c r="A49" s="855"/>
      <c r="B49" s="909">
        <v>32</v>
      </c>
      <c r="C49" s="853" t="s">
        <v>2408</v>
      </c>
      <c r="D49" s="977"/>
      <c r="E49" s="853"/>
      <c r="F49" s="853"/>
      <c r="G49" s="853"/>
      <c r="H49" s="901"/>
      <c r="I49" s="1015">
        <f>INDEX(TEMPLATE_NUMBER_POINT_FHD,B49,MATCH(TEMPLATE_SPHERE,TEMPLATE_SPHERE_LIST_FOR_NOTE,0))</f>
        <v>0</v>
      </c>
      <c r="J49" s="1015">
        <f>INDEX(TEMPLATE_DATA_POINT_FHD,B49,MATCH(TEMPLATE_SPHERE,TEMPLATE_SPHERE_LIST_FOR_NOTE,0))</f>
        <v>0</v>
      </c>
      <c r="K49" s="1015">
        <f>INDEX(TEMPLATE_NOTE_POINT_FHD,B49,MATCH(TEMPLATE_SPHERE,TEMPLATE_SPHERE_LIST_FOR_NOTE,0))</f>
        <v>0</v>
      </c>
      <c r="L49" s="854" t="str">
        <f>IF(I49=0,"",I49)</f>
        <v/>
      </c>
      <c r="M49" s="854" t="str">
        <f>IF(J49=0,"",J49)</f>
        <v/>
      </c>
      <c r="N49" s="854" t="str">
        <f>IF(K49=0,"",K49)</f>
        <v/>
      </c>
      <c r="O49" s="967"/>
      <c r="P49" s="967" t="s">
        <v>2391</v>
      </c>
      <c r="Q49" s="967" t="s">
        <v>2409</v>
      </c>
      <c r="R49" s="967" t="s">
        <v>2391</v>
      </c>
      <c r="S49" s="967"/>
      <c r="T49" s="853"/>
      <c r="U49" s="853" t="s">
        <v>2404</v>
      </c>
      <c r="V49" s="853" t="s">
        <v>2404</v>
      </c>
      <c r="W49" s="853" t="s">
        <v>2404</v>
      </c>
      <c r="X49" s="853"/>
      <c r="Y49" s="1010"/>
      <c r="Z49" s="856"/>
      <c r="AA49" s="859"/>
      <c r="AB49" s="859"/>
      <c r="AC49" s="859"/>
      <c r="AD49" s="856"/>
    </row>
    <row customHeight="1" ht="126">
      <c r="A50" s="855"/>
      <c r="B50" s="909">
        <v>33</v>
      </c>
      <c r="C50" s="853">
        <v>17</v>
      </c>
      <c r="D50" s="977"/>
      <c r="E50" s="853"/>
      <c r="F50" s="853"/>
      <c r="G50" s="853"/>
      <c r="H50" s="901"/>
      <c r="I50" s="1015" t="str">
        <f>INDEX(TEMPLATE_NUMBER_POINT_FHD,B50,MATCH(TEMPLATE_SPHERE,TEMPLATE_SPHERE_LIST_FOR_NOTE,0))</f>
        <v>2.13</v>
      </c>
      <c r="J50" s="1015"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15"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54" t="str">
        <f>IF(I50=0,"",I50)</f>
        <v>2.13</v>
      </c>
      <c r="M50" s="854"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54"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7" t="s">
        <v>2405</v>
      </c>
      <c r="P50" s="967" t="s">
        <v>2398</v>
      </c>
      <c r="Q50" s="967" t="s">
        <v>2410</v>
      </c>
      <c r="R50" s="967" t="s">
        <v>2398</v>
      </c>
      <c r="S50" s="967"/>
      <c r="T50" s="853" t="s">
        <v>2411</v>
      </c>
      <c r="U50" s="853" t="s">
        <v>2412</v>
      </c>
      <c r="V50" s="853" t="s">
        <v>2413</v>
      </c>
      <c r="W50" s="853" t="s">
        <v>2414</v>
      </c>
      <c r="X50" s="853"/>
      <c r="Y50" s="1010"/>
      <c r="Z50" s="856" t="s">
        <v>2415</v>
      </c>
      <c r="AA50" s="859" t="s">
        <v>2416</v>
      </c>
      <c r="AB50" s="859" t="s">
        <v>2416</v>
      </c>
      <c r="AC50" s="859" t="s">
        <v>2416</v>
      </c>
      <c r="AD50" s="856"/>
    </row>
    <row customHeight="1" ht="27">
      <c r="A51" s="855"/>
      <c r="B51" s="909">
        <v>34</v>
      </c>
      <c r="C51" s="853" t="s">
        <v>2417</v>
      </c>
      <c r="D51" s="977"/>
      <c r="E51" s="853"/>
      <c r="F51" s="853"/>
      <c r="G51" s="853"/>
      <c r="H51" s="901"/>
      <c r="I51" s="1015" t="str">
        <f>INDEX(TEMPLATE_NUMBER_POINT_FHD,B51,MATCH(TEMPLATE_SPHERE,TEMPLATE_SPHERE_LIST_FOR_NOTE,0))</f>
        <v>3</v>
      </c>
      <c r="J51" s="1015"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15">
        <f>INDEX(TEMPLATE_NOTE_POINT_FHD,B51,MATCH(TEMPLATE_SPHERE,TEMPLATE_SPHERE_LIST_FOR_NOTE,0))</f>
        <v>0</v>
      </c>
      <c r="L51" s="854" t="str">
        <f>IF(I51=0,"",I51)</f>
        <v>3</v>
      </c>
      <c r="M51" s="854" t="str">
        <f>IF(J51=0,"",J51)</f>
        <v>Валовая прибыль (убытки) от реализации товаров и оказания услуг по регулируемому виду деятельности</v>
      </c>
      <c r="N51" s="854" t="str">
        <f>IF(K51=0,"",K51)</f>
        <v/>
      </c>
      <c r="O51" s="967" t="s">
        <v>90</v>
      </c>
      <c r="P51" s="967"/>
      <c r="Q51" s="967"/>
      <c r="R51" s="967"/>
      <c r="S51" s="967"/>
      <c r="T51" s="853" t="s">
        <v>2418</v>
      </c>
      <c r="U51" s="853"/>
      <c r="V51" s="853"/>
      <c r="W51" s="853"/>
      <c r="X51" s="853"/>
      <c r="Y51" s="1010"/>
      <c r="Z51" s="856"/>
      <c r="AA51" s="859"/>
      <c r="AB51" s="859"/>
      <c r="AC51" s="859"/>
      <c r="AD51" s="856"/>
    </row>
    <row customHeight="1" ht="36">
      <c r="A52" s="855"/>
      <c r="B52" s="909">
        <v>35</v>
      </c>
      <c r="C52" s="853" t="s">
        <v>2311</v>
      </c>
      <c r="D52" s="977" t="s">
        <v>2311</v>
      </c>
      <c r="E52" s="853" t="s">
        <v>2311</v>
      </c>
      <c r="F52" s="853" t="s">
        <v>2311</v>
      </c>
      <c r="G52" s="853"/>
      <c r="H52" s="901"/>
      <c r="I52" s="1015" t="str">
        <f>INDEX(TEMPLATE_NUMBER_POINT_FHD,B52,MATCH(TEMPLATE_SPHERE,TEMPLATE_SPHERE_LIST_FOR_NOTE,0))</f>
        <v>4</v>
      </c>
      <c r="J52" s="1015" t="str">
        <f>INDEX(TEMPLATE_DATA_POINT_FHD,B52,MATCH(TEMPLATE_SPHERE,TEMPLATE_SPHERE_LIST_FOR_NOTE,0))</f>
        <v>Чистая прибыль, полученная от регулируемого вида деятельности, в том числе:</v>
      </c>
      <c r="K52" s="1015" t="str">
        <f>INDEX(TEMPLATE_NOTE_POINT_FHD,B52,MATCH(TEMPLATE_SPHERE,TEMPLATE_SPHERE_LIST_FOR_NOTE,0))</f>
        <v>Указывается общая сумма чистой прибыли, полученной от регулируемого вида деятельности.</v>
      </c>
      <c r="L52" s="854" t="str">
        <f>IF(I52=0,"",I52)</f>
        <v>4</v>
      </c>
      <c r="M52" s="854" t="str">
        <f>IF(J52=0,"",J52)</f>
        <v>Чистая прибыль, полученная от регулируемого вида деятельности, в том числе:</v>
      </c>
      <c r="N52" s="854" t="str">
        <f>IF(K52=0,"",K52)</f>
        <v>Указывается общая сумма чистой прибыли, полученной от регулируемого вида деятельности.</v>
      </c>
      <c r="O52" s="967" t="s">
        <v>91</v>
      </c>
      <c r="P52" s="967" t="s">
        <v>90</v>
      </c>
      <c r="Q52" s="967" t="s">
        <v>90</v>
      </c>
      <c r="R52" s="967" t="s">
        <v>90</v>
      </c>
      <c r="S52" s="967"/>
      <c r="T52" s="853" t="s">
        <v>2419</v>
      </c>
      <c r="U52" s="853" t="s">
        <v>2420</v>
      </c>
      <c r="V52" s="853" t="s">
        <v>2421</v>
      </c>
      <c r="W52" s="853" t="s">
        <v>2422</v>
      </c>
      <c r="X52" s="853"/>
      <c r="Y52" s="1010"/>
      <c r="Z52" s="856" t="s">
        <v>774</v>
      </c>
      <c r="AA52" s="859" t="s">
        <v>774</v>
      </c>
      <c r="AB52" s="859" t="s">
        <v>774</v>
      </c>
      <c r="AC52" s="859" t="s">
        <v>774</v>
      </c>
      <c r="AD52" s="856"/>
    </row>
    <row customHeight="1" ht="36">
      <c r="A53" s="855"/>
      <c r="B53" s="909">
        <v>36</v>
      </c>
      <c r="C53" s="853">
        <v>1</v>
      </c>
      <c r="D53" s="977"/>
      <c r="E53" s="853"/>
      <c r="F53" s="853"/>
      <c r="G53" s="853"/>
      <c r="H53" s="901"/>
      <c r="I53" s="1015" t="str">
        <f>INDEX(TEMPLATE_NUMBER_POINT_FHD,B53,MATCH(TEMPLATE_SPHERE,TEMPLATE_SPHERE_LIST_FOR_NOTE,0))</f>
        <v>4.1</v>
      </c>
      <c r="J53" s="1015"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5">
        <f>INDEX(TEMPLATE_NOTE_POINT_FHD,B53,MATCH(TEMPLATE_SPHERE,TEMPLATE_SPHERE_LIST_FOR_NOTE,0))</f>
        <v>0</v>
      </c>
      <c r="L53" s="854" t="str">
        <f>IF(I53=0,"",I53)</f>
        <v>4.1</v>
      </c>
      <c r="M53" s="854"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4" t="str">
        <f>IF(K53=0,"",K53)</f>
        <v/>
      </c>
      <c r="O53" s="967" t="s">
        <v>778</v>
      </c>
      <c r="P53" s="967" t="s">
        <v>346</v>
      </c>
      <c r="Q53" s="967" t="s">
        <v>346</v>
      </c>
      <c r="R53" s="967" t="s">
        <v>346</v>
      </c>
      <c r="S53" s="967"/>
      <c r="T53" s="853" t="s">
        <v>2423</v>
      </c>
      <c r="U53" s="853" t="s">
        <v>2423</v>
      </c>
      <c r="V53" s="853" t="s">
        <v>2423</v>
      </c>
      <c r="W53" s="853" t="s">
        <v>2423</v>
      </c>
      <c r="X53" s="853"/>
      <c r="Y53" s="1010"/>
      <c r="Z53" s="856"/>
      <c r="AA53" s="859"/>
      <c r="AB53" s="856"/>
      <c r="AC53" s="856"/>
      <c r="AD53" s="856"/>
    </row>
    <row customHeight="1" ht="18">
      <c r="A54" s="855"/>
      <c r="B54" s="909">
        <v>37</v>
      </c>
      <c r="C54" s="853" t="s">
        <v>2317</v>
      </c>
      <c r="D54" s="977" t="s">
        <v>2317</v>
      </c>
      <c r="E54" s="853" t="s">
        <v>2317</v>
      </c>
      <c r="F54" s="853" t="s">
        <v>2317</v>
      </c>
      <c r="G54" s="853"/>
      <c r="H54" s="901"/>
      <c r="I54" s="1015" t="str">
        <f>INDEX(TEMPLATE_NUMBER_POINT_FHD,B54,MATCH(TEMPLATE_SPHERE,TEMPLATE_SPHERE_LIST_FOR_NOTE,0))</f>
        <v>5</v>
      </c>
      <c r="J54" s="1015" t="str">
        <f>INDEX(TEMPLATE_DATA_POINT_FHD,B54,MATCH(TEMPLATE_SPHERE,TEMPLATE_SPHERE_LIST_FOR_NOTE,0))</f>
        <v>Изменение стоимости основных фондов, в том числе:</v>
      </c>
      <c r="K54" s="1015" t="str">
        <f>INDEX(TEMPLATE_NOTE_POINT_FHD,B54,MATCH(TEMPLATE_SPHERE,TEMPLATE_SPHERE_LIST_FOR_NOTE,0))</f>
        <v>Указывается общее изменение стоимости основных фондов.</v>
      </c>
      <c r="L54" s="854" t="str">
        <f>IF(I54=0,"",I54)</f>
        <v>5</v>
      </c>
      <c r="M54" s="854" t="str">
        <f>IF(J54=0,"",J54)</f>
        <v>Изменение стоимости основных фондов, в том числе:</v>
      </c>
      <c r="N54" s="854" t="str">
        <f>IF(K54=0,"",K54)</f>
        <v>Указывается общее изменение стоимости основных фондов.</v>
      </c>
      <c r="O54" s="967" t="s">
        <v>125</v>
      </c>
      <c r="P54" s="967" t="s">
        <v>91</v>
      </c>
      <c r="Q54" s="967" t="s">
        <v>91</v>
      </c>
      <c r="R54" s="967" t="s">
        <v>91</v>
      </c>
      <c r="S54" s="967"/>
      <c r="T54" s="853" t="s">
        <v>776</v>
      </c>
      <c r="U54" s="853" t="s">
        <v>776</v>
      </c>
      <c r="V54" s="853" t="s">
        <v>776</v>
      </c>
      <c r="W54" s="853" t="s">
        <v>776</v>
      </c>
      <c r="X54" s="853"/>
      <c r="Y54" s="1010"/>
      <c r="Z54" s="856" t="s">
        <v>777</v>
      </c>
      <c r="AA54" s="856" t="s">
        <v>777</v>
      </c>
      <c r="AB54" s="856" t="s">
        <v>777</v>
      </c>
      <c r="AC54" s="856" t="s">
        <v>777</v>
      </c>
      <c r="AD54" s="856"/>
    </row>
    <row customHeight="1" ht="36">
      <c r="A55" s="855"/>
      <c r="B55" s="909">
        <v>38</v>
      </c>
      <c r="C55" s="853">
        <v>1</v>
      </c>
      <c r="D55" s="977"/>
      <c r="E55" s="853"/>
      <c r="F55" s="853"/>
      <c r="G55" s="853"/>
      <c r="H55" s="901"/>
      <c r="I55" s="1015" t="str">
        <f>INDEX(TEMPLATE_NUMBER_POINT_FHD,B55,MATCH(TEMPLATE_SPHERE,TEMPLATE_SPHERE_LIST_FOR_NOTE,0))</f>
        <v>5.1</v>
      </c>
      <c r="J55" s="1015" t="str">
        <f>INDEX(TEMPLATE_DATA_POINT_FHD,B55,MATCH(TEMPLATE_SPHERE,TEMPLATE_SPHERE_LIST_FOR_NOTE,0))</f>
        <v>Изменение стоимости основных фондов за счет:</v>
      </c>
      <c r="K55" s="1015"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4" t="str">
        <f>IF(I55=0,"",I55)</f>
        <v>5.1</v>
      </c>
      <c r="M55" s="854" t="str">
        <f>IF(J55=0,"",J55)</f>
        <v>Изменение стоимости основных фондов за счет:</v>
      </c>
      <c r="N55" s="854" t="str">
        <f>IF(K55=0,"",K55)</f>
        <v>Указываются общее изменение стоимости основных фондов за счет их ввода в эксплуатацию и вывода из эксплуатации.</v>
      </c>
      <c r="O55" s="967" t="s">
        <v>335</v>
      </c>
      <c r="P55" s="967" t="s">
        <v>778</v>
      </c>
      <c r="Q55" s="967" t="s">
        <v>778</v>
      </c>
      <c r="R55" s="967" t="s">
        <v>778</v>
      </c>
      <c r="S55" s="967"/>
      <c r="T55" s="854"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53" t="s">
        <v>2424</v>
      </c>
      <c r="V55" s="853" t="s">
        <v>2424</v>
      </c>
      <c r="W55" s="853" t="s">
        <v>2424</v>
      </c>
      <c r="X55" s="853"/>
      <c r="Y55" s="1010"/>
      <c r="Z55" s="856" t="s">
        <v>2425</v>
      </c>
      <c r="AA55" s="856" t="s">
        <v>2425</v>
      </c>
      <c r="AB55" s="856" t="s">
        <v>2425</v>
      </c>
      <c r="AC55" s="856" t="s">
        <v>2425</v>
      </c>
      <c r="AD55" s="856"/>
    </row>
    <row customHeight="1" ht="27">
      <c r="A56" s="855"/>
      <c r="B56" s="909">
        <v>39</v>
      </c>
      <c r="C56" s="853" t="s">
        <v>1304</v>
      </c>
      <c r="D56" s="977"/>
      <c r="E56" s="853"/>
      <c r="F56" s="853"/>
      <c r="G56" s="853"/>
      <c r="H56" s="901"/>
      <c r="I56" s="1015" t="str">
        <f>INDEX(TEMPLATE_NUMBER_POINT_FHD,B56,MATCH(TEMPLATE_SPHERE,TEMPLATE_SPHERE_LIST_FOR_NOTE,0))</f>
        <v>5.1.1</v>
      </c>
      <c r="J56" s="1015" t="str">
        <f>INDEX(TEMPLATE_DATA_POINT_FHD,B56,MATCH(TEMPLATE_SPHERE,TEMPLATE_SPHERE_LIST_FOR_NOTE,0))</f>
        <v>Изменения стоимости основных фондов за счет их ввода в эксплуатацию</v>
      </c>
      <c r="K56" s="1015" t="str">
        <f>INDEX(TEMPLATE_NOTE_POINT_FHD,B56,MATCH(TEMPLATE_SPHERE,TEMPLATE_SPHERE_LIST_FOR_NOTE,0))</f>
        <v>Указываются изменение стоимости основных фондов за счет их ввода в эксплуатацию.</v>
      </c>
      <c r="L56" s="854" t="str">
        <f>IF(I56=0,"",I56)</f>
        <v>5.1.1</v>
      </c>
      <c r="M56" s="854" t="str">
        <f>IF(J56=0,"",J56)</f>
        <v>Изменения стоимости основных фондов за счет их ввода в эксплуатацию</v>
      </c>
      <c r="N56" s="854" t="str">
        <f>IF(K56=0,"",K56)</f>
        <v>Указываются изменение стоимости основных фондов за счет их ввода в эксплуатацию.</v>
      </c>
      <c r="O56" s="967" t="s">
        <v>1422</v>
      </c>
      <c r="P56" s="967" t="s">
        <v>781</v>
      </c>
      <c r="Q56" s="967" t="s">
        <v>781</v>
      </c>
      <c r="R56" s="967" t="s">
        <v>781</v>
      </c>
      <c r="S56" s="967"/>
      <c r="T56" s="854"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53" t="s">
        <v>2426</v>
      </c>
      <c r="V56" s="853" t="s">
        <v>2426</v>
      </c>
      <c r="W56" s="853" t="s">
        <v>2426</v>
      </c>
      <c r="X56" s="853"/>
      <c r="Y56" s="1010"/>
      <c r="Z56" s="856" t="s">
        <v>783</v>
      </c>
      <c r="AA56" s="856" t="s">
        <v>783</v>
      </c>
      <c r="AB56" s="856" t="s">
        <v>783</v>
      </c>
      <c r="AC56" s="856" t="s">
        <v>783</v>
      </c>
      <c r="AD56" s="856"/>
    </row>
    <row customHeight="1" ht="27">
      <c r="A57" s="855"/>
      <c r="B57" s="909">
        <v>40</v>
      </c>
      <c r="C57" s="853" t="s">
        <v>1306</v>
      </c>
      <c r="D57" s="977"/>
      <c r="E57" s="853"/>
      <c r="F57" s="853"/>
      <c r="G57" s="853"/>
      <c r="H57" s="901"/>
      <c r="I57" s="1015" t="str">
        <f>INDEX(TEMPLATE_NUMBER_POINT_FHD,B57,MATCH(TEMPLATE_SPHERE,TEMPLATE_SPHERE_LIST_FOR_NOTE,0))</f>
        <v>5.1.2</v>
      </c>
      <c r="J57" s="1015" t="str">
        <f>INDEX(TEMPLATE_DATA_POINT_FHD,B57,MATCH(TEMPLATE_SPHERE,TEMPLATE_SPHERE_LIST_FOR_NOTE,0))</f>
        <v>Изменения стоимости основных фондов за счет их вывода в эксплуатацию</v>
      </c>
      <c r="K57" s="1015" t="str">
        <f>INDEX(TEMPLATE_NOTE_POINT_FHD,B57,MATCH(TEMPLATE_SPHERE,TEMPLATE_SPHERE_LIST_FOR_NOTE,0))</f>
        <v>Указываются изменение стоимости основных фондов за счет их вывода из эксплуатации.</v>
      </c>
      <c r="L57" s="854" t="str">
        <f>IF(I57=0,"",I57)</f>
        <v>5.1.2</v>
      </c>
      <c r="M57" s="854" t="str">
        <f>IF(J57=0,"",J57)</f>
        <v>Изменения стоимости основных фондов за счет их вывода в эксплуатацию</v>
      </c>
      <c r="N57" s="854" t="str">
        <f>IF(K57=0,"",K57)</f>
        <v>Указываются изменение стоимости основных фондов за счет их вывода из эксплуатации.</v>
      </c>
      <c r="O57" s="967" t="s">
        <v>2427</v>
      </c>
      <c r="P57" s="967" t="s">
        <v>784</v>
      </c>
      <c r="Q57" s="967" t="s">
        <v>784</v>
      </c>
      <c r="R57" s="967" t="s">
        <v>784</v>
      </c>
      <c r="S57" s="967"/>
      <c r="T57" s="854"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53" t="s">
        <v>2428</v>
      </c>
      <c r="V57" s="853" t="s">
        <v>2428</v>
      </c>
      <c r="W57" s="853" t="s">
        <v>2428</v>
      </c>
      <c r="X57" s="853"/>
      <c r="Y57" s="1010"/>
      <c r="Z57" s="856" t="s">
        <v>786</v>
      </c>
      <c r="AA57" s="856" t="s">
        <v>786</v>
      </c>
      <c r="AB57" s="856" t="s">
        <v>786</v>
      </c>
      <c r="AC57" s="856" t="s">
        <v>786</v>
      </c>
      <c r="AD57" s="856"/>
    </row>
    <row customHeight="1" ht="18">
      <c r="A58" s="855"/>
      <c r="B58" s="909">
        <v>41</v>
      </c>
      <c r="C58" s="853">
        <v>2</v>
      </c>
      <c r="D58" s="977"/>
      <c r="E58" s="853"/>
      <c r="F58" s="853"/>
      <c r="G58" s="853"/>
      <c r="H58" s="901"/>
      <c r="I58" s="1015" t="str">
        <f>INDEX(TEMPLATE_NUMBER_POINT_FHD,B58,MATCH(TEMPLATE_SPHERE,TEMPLATE_SPHERE_LIST_FOR_NOTE,0))</f>
        <v>5.2</v>
      </c>
      <c r="J58" s="1015" t="str">
        <f>INDEX(TEMPLATE_DATA_POINT_FHD,B58,MATCH(TEMPLATE_SPHERE,TEMPLATE_SPHERE_LIST_FOR_NOTE,0))</f>
        <v>Изменение стоимости основных фондов за счет их переоценки</v>
      </c>
      <c r="K58" s="1015">
        <f>INDEX(TEMPLATE_NOTE_POINT_FHD,B58,MATCH(TEMPLATE_SPHERE,TEMPLATE_SPHERE_LIST_FOR_NOTE,0))</f>
        <v>0</v>
      </c>
      <c r="L58" s="854" t="str">
        <f>IF(I58=0,"",I58)</f>
        <v>5.2</v>
      </c>
      <c r="M58" s="854" t="str">
        <f>IF(J58=0,"",J58)</f>
        <v>Изменение стоимости основных фондов за счет их переоценки</v>
      </c>
      <c r="N58" s="854" t="str">
        <f>IF(K58=0,"",K58)</f>
        <v/>
      </c>
      <c r="O58" s="967" t="s">
        <v>906</v>
      </c>
      <c r="P58" s="967" t="s">
        <v>820</v>
      </c>
      <c r="Q58" s="967" t="s">
        <v>820</v>
      </c>
      <c r="R58" s="967" t="s">
        <v>820</v>
      </c>
      <c r="S58" s="967"/>
      <c r="T58" s="854"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53" t="s">
        <v>2429</v>
      </c>
      <c r="V58" s="853" t="s">
        <v>2429</v>
      </c>
      <c r="W58" s="853" t="s">
        <v>2429</v>
      </c>
      <c r="X58" s="853"/>
      <c r="Y58" s="1010"/>
      <c r="Z58" s="856"/>
      <c r="AA58" s="859"/>
      <c r="AB58" s="856"/>
      <c r="AC58" s="856"/>
      <c r="AD58" s="856"/>
    </row>
    <row customHeight="1" ht="36">
      <c r="A59" s="855"/>
      <c r="B59" s="909">
        <v>42</v>
      </c>
      <c r="C59" s="853">
        <v>3</v>
      </c>
      <c r="D59" s="977" t="s">
        <v>2417</v>
      </c>
      <c r="E59" s="853" t="s">
        <v>2417</v>
      </c>
      <c r="F59" s="853" t="s">
        <v>2417</v>
      </c>
      <c r="G59" s="853"/>
      <c r="H59" s="901"/>
      <c r="I59" s="1015">
        <f>INDEX(TEMPLATE_NUMBER_POINT_FHD,B59,MATCH(TEMPLATE_SPHERE,TEMPLATE_SPHERE_LIST_FOR_NOTE,0))</f>
        <v>0</v>
      </c>
      <c r="J59" s="1015">
        <f>INDEX(TEMPLATE_DATA_POINT_FHD,B59,MATCH(TEMPLATE_SPHERE,TEMPLATE_SPHERE_LIST_FOR_NOTE,0))</f>
        <v>0</v>
      </c>
      <c r="K59" s="1015">
        <f>INDEX(TEMPLATE_NOTE_POINT_FHD,B59,MATCH(TEMPLATE_SPHERE,TEMPLATE_SPHERE_LIST_FOR_NOTE,0))</f>
        <v>0</v>
      </c>
      <c r="L59" s="854" t="str">
        <f>IF(I59=0,"",I59)</f>
        <v/>
      </c>
      <c r="M59" s="854" t="str">
        <f>IF(J59=0,"",J59)</f>
        <v/>
      </c>
      <c r="N59" s="854" t="str">
        <f>IF(K59=0,"",K59)</f>
        <v/>
      </c>
      <c r="O59" s="967"/>
      <c r="P59" s="967" t="s">
        <v>125</v>
      </c>
      <c r="Q59" s="967" t="s">
        <v>125</v>
      </c>
      <c r="R59" s="967" t="s">
        <v>125</v>
      </c>
      <c r="S59" s="967"/>
      <c r="T59" s="853"/>
      <c r="U59" s="853" t="s">
        <v>2430</v>
      </c>
      <c r="V59" s="853" t="s">
        <v>2431</v>
      </c>
      <c r="W59" s="853" t="s">
        <v>2432</v>
      </c>
      <c r="X59" s="853"/>
      <c r="Y59" s="1010"/>
      <c r="Z59" s="856"/>
      <c r="AA59" s="859"/>
      <c r="AB59" s="856"/>
      <c r="AC59" s="856"/>
      <c r="AD59" s="856"/>
    </row>
    <row customHeight="1" ht="81">
      <c r="A60" s="855"/>
      <c r="B60" s="909">
        <v>43</v>
      </c>
      <c r="C60" s="853" t="s">
        <v>2433</v>
      </c>
      <c r="D60" s="977" t="s">
        <v>2433</v>
      </c>
      <c r="E60" s="853" t="s">
        <v>2433</v>
      </c>
      <c r="F60" s="853" t="s">
        <v>2433</v>
      </c>
      <c r="G60" s="853"/>
      <c r="H60" s="901"/>
      <c r="I60" s="1015" t="str">
        <f>INDEX(TEMPLATE_NUMBER_POINT_FHD,B60,MATCH(TEMPLATE_SPHERE,TEMPLATE_SPHERE_LIST_FOR_NOTE,0))</f>
        <v>6</v>
      </c>
      <c r="J60" s="1015"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5"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54" t="str">
        <f>IF(I60=0,"",I60)</f>
        <v>6</v>
      </c>
      <c r="M60" s="854" t="str">
        <f>IF(J60=0,"",J60)</f>
        <v>Годовая бухгалтерская (финансовая) отчетность, включая бухгалтерский баланс и приложения к нему</v>
      </c>
      <c r="N60" s="854"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7" t="s">
        <v>92</v>
      </c>
      <c r="P60" s="967" t="s">
        <v>92</v>
      </c>
      <c r="Q60" s="967" t="s">
        <v>92</v>
      </c>
      <c r="R60" s="967" t="s">
        <v>92</v>
      </c>
      <c r="S60" s="967"/>
      <c r="T60" s="853" t="s">
        <v>654</v>
      </c>
      <c r="U60" s="853" t="s">
        <v>654</v>
      </c>
      <c r="V60" s="853" t="s">
        <v>654</v>
      </c>
      <c r="W60" s="853" t="s">
        <v>654</v>
      </c>
      <c r="X60" s="853"/>
      <c r="Y60" s="1010"/>
      <c r="Z60" s="856" t="s">
        <v>2434</v>
      </c>
      <c r="AA60" s="859" t="s">
        <v>2435</v>
      </c>
      <c r="AB60" s="856" t="s">
        <v>2436</v>
      </c>
      <c r="AC60" s="856" t="s">
        <v>2435</v>
      </c>
      <c r="AD60" s="856"/>
    </row>
    <row customHeight="1" ht="9">
      <c r="A61" s="855"/>
      <c r="B61" s="909">
        <v>44</v>
      </c>
      <c r="C61" s="853"/>
      <c r="D61" s="977" t="s">
        <v>2437</v>
      </c>
      <c r="E61" s="853"/>
      <c r="F61" s="853"/>
      <c r="G61" s="853"/>
      <c r="H61" s="901"/>
      <c r="I61" s="1015">
        <f>INDEX(TEMPLATE_NUMBER_POINT_FHD,B61,MATCH(TEMPLATE_SPHERE,TEMPLATE_SPHERE_LIST_FOR_NOTE,0))</f>
        <v>0</v>
      </c>
      <c r="J61" s="1015">
        <f>INDEX(TEMPLATE_DATA_POINT_FHD,B61,MATCH(TEMPLATE_SPHERE,TEMPLATE_SPHERE_LIST_FOR_NOTE,0))</f>
        <v>0</v>
      </c>
      <c r="K61" s="1015">
        <f>INDEX(TEMPLATE_NOTE_POINT_FHD,B61,MATCH(TEMPLATE_SPHERE,TEMPLATE_SPHERE_LIST_FOR_NOTE,0))</f>
        <v>0</v>
      </c>
      <c r="L61" s="854" t="str">
        <f>IF(I61=0,"",I61)</f>
        <v/>
      </c>
      <c r="M61" s="854" t="str">
        <f>IF(J61=0,"",J61)</f>
        <v/>
      </c>
      <c r="N61" s="854" t="str">
        <f>IF(K61=0,"",K61)</f>
        <v/>
      </c>
      <c r="O61" s="967"/>
      <c r="P61" s="967" t="s">
        <v>93</v>
      </c>
      <c r="Q61" s="967"/>
      <c r="R61" s="967"/>
      <c r="S61" s="967"/>
      <c r="T61" s="853"/>
      <c r="U61" s="853" t="s">
        <v>2438</v>
      </c>
      <c r="V61" s="853"/>
      <c r="W61" s="853"/>
      <c r="X61" s="853"/>
      <c r="Y61" s="1010"/>
      <c r="Z61" s="856"/>
      <c r="AA61" s="859"/>
      <c r="AB61" s="856"/>
      <c r="AC61" s="856"/>
      <c r="AD61" s="856"/>
    </row>
    <row customHeight="1" ht="9">
      <c r="A62" s="855"/>
      <c r="B62" s="909">
        <v>45</v>
      </c>
      <c r="C62" s="853"/>
      <c r="D62" s="977" t="s">
        <v>2439</v>
      </c>
      <c r="E62" s="853"/>
      <c r="F62" s="853"/>
      <c r="G62" s="853"/>
      <c r="H62" s="901"/>
      <c r="I62" s="1015">
        <f>INDEX(TEMPLATE_NUMBER_POINT_FHD,B62,MATCH(TEMPLATE_SPHERE,TEMPLATE_SPHERE_LIST_FOR_NOTE,0))</f>
        <v>0</v>
      </c>
      <c r="J62" s="1015">
        <f>INDEX(TEMPLATE_DATA_POINT_FHD,B62,MATCH(TEMPLATE_SPHERE,TEMPLATE_SPHERE_LIST_FOR_NOTE,0))</f>
        <v>0</v>
      </c>
      <c r="K62" s="1015">
        <f>INDEX(TEMPLATE_NOTE_POINT_FHD,B62,MATCH(TEMPLATE_SPHERE,TEMPLATE_SPHERE_LIST_FOR_NOTE,0))</f>
        <v>0</v>
      </c>
      <c r="L62" s="854" t="str">
        <f>IF(I62=0,"",I62)</f>
        <v/>
      </c>
      <c r="M62" s="854" t="str">
        <f>IF(J62=0,"",J62)</f>
        <v/>
      </c>
      <c r="N62" s="854" t="str">
        <f>IF(K62=0,"",K62)</f>
        <v/>
      </c>
      <c r="O62" s="967"/>
      <c r="P62" s="967" t="s">
        <v>126</v>
      </c>
      <c r="Q62" s="967"/>
      <c r="R62" s="967"/>
      <c r="S62" s="967"/>
      <c r="T62" s="853"/>
      <c r="U62" s="853" t="s">
        <v>2440</v>
      </c>
      <c r="V62" s="853"/>
      <c r="W62" s="853"/>
      <c r="X62" s="853"/>
      <c r="Y62" s="1010"/>
      <c r="Z62" s="856"/>
      <c r="AA62" s="859"/>
      <c r="AB62" s="856"/>
      <c r="AC62" s="856"/>
      <c r="AD62" s="856"/>
    </row>
    <row customHeight="1" ht="18">
      <c r="A63" s="855"/>
      <c r="B63" s="909">
        <v>46</v>
      </c>
      <c r="C63" s="853"/>
      <c r="D63" s="977" t="s">
        <v>2441</v>
      </c>
      <c r="E63" s="853"/>
      <c r="F63" s="853"/>
      <c r="G63" s="853"/>
      <c r="H63" s="901"/>
      <c r="I63" s="1015">
        <f>INDEX(TEMPLATE_NUMBER_POINT_FHD,B63,MATCH(TEMPLATE_SPHERE,TEMPLATE_SPHERE_LIST_FOR_NOTE,0))</f>
        <v>0</v>
      </c>
      <c r="J63" s="1015">
        <f>INDEX(TEMPLATE_DATA_POINT_FHD,B63,MATCH(TEMPLATE_SPHERE,TEMPLATE_SPHERE_LIST_FOR_NOTE,0))</f>
        <v>0</v>
      </c>
      <c r="K63" s="1015">
        <f>INDEX(TEMPLATE_NOTE_POINT_FHD,B63,MATCH(TEMPLATE_SPHERE,TEMPLATE_SPHERE_LIST_FOR_NOTE,0))</f>
        <v>0</v>
      </c>
      <c r="L63" s="854" t="str">
        <f>IF(I63=0,"",I63)</f>
        <v/>
      </c>
      <c r="M63" s="854" t="str">
        <f>IF(J63=0,"",J63)</f>
        <v/>
      </c>
      <c r="N63" s="854" t="str">
        <f>IF(K63=0,"",K63)</f>
        <v/>
      </c>
      <c r="O63" s="967"/>
      <c r="P63" s="967" t="s">
        <v>172</v>
      </c>
      <c r="Q63" s="967"/>
      <c r="R63" s="967"/>
      <c r="S63" s="967"/>
      <c r="T63" s="853"/>
      <c r="U63" s="853" t="s">
        <v>2442</v>
      </c>
      <c r="V63" s="853"/>
      <c r="W63" s="853"/>
      <c r="X63" s="853"/>
      <c r="Y63" s="1010"/>
      <c r="Z63" s="856"/>
      <c r="AA63" s="859"/>
      <c r="AB63" s="856"/>
      <c r="AC63" s="856"/>
      <c r="AD63" s="856"/>
    </row>
    <row customHeight="1" ht="18">
      <c r="A64" s="855"/>
      <c r="B64" s="909">
        <v>47</v>
      </c>
      <c r="C64" s="853"/>
      <c r="D64" s="977" t="s">
        <v>2443</v>
      </c>
      <c r="E64" s="853"/>
      <c r="F64" s="853"/>
      <c r="G64" s="853"/>
      <c r="H64" s="901"/>
      <c r="I64" s="1015">
        <f>INDEX(TEMPLATE_NUMBER_POINT_FHD,B64,MATCH(TEMPLATE_SPHERE,TEMPLATE_SPHERE_LIST_FOR_NOTE,0))</f>
        <v>0</v>
      </c>
      <c r="J64" s="1015">
        <f>INDEX(TEMPLATE_DATA_POINT_FHD,B64,MATCH(TEMPLATE_SPHERE,TEMPLATE_SPHERE_LIST_FOR_NOTE,0))</f>
        <v>0</v>
      </c>
      <c r="K64" s="1015">
        <f>INDEX(TEMPLATE_NOTE_POINT_FHD,B64,MATCH(TEMPLATE_SPHERE,TEMPLATE_SPHERE_LIST_FOR_NOTE,0))</f>
        <v>0</v>
      </c>
      <c r="L64" s="854" t="str">
        <f>IF(I64=0,"",I64)</f>
        <v/>
      </c>
      <c r="M64" s="854" t="str">
        <f>IF(J64=0,"",J64)</f>
        <v/>
      </c>
      <c r="N64" s="854" t="str">
        <f>IF(K64=0,"",K64)</f>
        <v/>
      </c>
      <c r="O64" s="967"/>
      <c r="P64" s="967" t="s">
        <v>173</v>
      </c>
      <c r="Q64" s="967"/>
      <c r="R64" s="967"/>
      <c r="S64" s="967"/>
      <c r="T64" s="853"/>
      <c r="U64" s="853" t="s">
        <v>2444</v>
      </c>
      <c r="V64" s="853"/>
      <c r="W64" s="853"/>
      <c r="X64" s="853"/>
      <c r="Y64" s="1010"/>
      <c r="Z64" s="856"/>
      <c r="AA64" s="859" t="s">
        <v>2445</v>
      </c>
      <c r="AB64" s="856"/>
      <c r="AC64" s="856"/>
      <c r="AD64" s="856"/>
    </row>
    <row customHeight="1" ht="18">
      <c r="A65" s="855"/>
      <c r="B65" s="909">
        <v>48</v>
      </c>
      <c r="C65" s="853"/>
      <c r="D65" s="977"/>
      <c r="E65" s="853"/>
      <c r="F65" s="853"/>
      <c r="G65" s="853"/>
      <c r="H65" s="901"/>
      <c r="I65" s="1015">
        <f>INDEX(TEMPLATE_NUMBER_POINT_FHD,B65,MATCH(TEMPLATE_SPHERE,TEMPLATE_SPHERE_LIST_FOR_NOTE,0))</f>
        <v>0</v>
      </c>
      <c r="J65" s="1015">
        <f>INDEX(TEMPLATE_DATA_POINT_FHD,B65,MATCH(TEMPLATE_SPHERE,TEMPLATE_SPHERE_LIST_FOR_NOTE,0))</f>
        <v>0</v>
      </c>
      <c r="K65" s="1015">
        <f>INDEX(TEMPLATE_NOTE_POINT_FHD,B65,MATCH(TEMPLATE_SPHERE,TEMPLATE_SPHERE_LIST_FOR_NOTE,0))</f>
        <v>0</v>
      </c>
      <c r="L65" s="854" t="str">
        <f>IF(I65=0,"",I65)</f>
        <v/>
      </c>
      <c r="M65" s="854" t="str">
        <f>IF(J65=0,"",J65)</f>
        <v/>
      </c>
      <c r="N65" s="854" t="str">
        <f>IF(K65=0,"",K65)</f>
        <v/>
      </c>
      <c r="O65" s="967"/>
      <c r="P65" s="967" t="s">
        <v>2358</v>
      </c>
      <c r="Q65" s="967"/>
      <c r="R65" s="967"/>
      <c r="S65" s="967"/>
      <c r="T65" s="853"/>
      <c r="U65" s="853" t="s">
        <v>2446</v>
      </c>
      <c r="V65" s="853"/>
      <c r="W65" s="853"/>
      <c r="X65" s="853"/>
      <c r="Y65" s="1010"/>
      <c r="Z65" s="856"/>
      <c r="AA65" s="859"/>
      <c r="AB65" s="856"/>
      <c r="AC65" s="856"/>
      <c r="AD65" s="856"/>
    </row>
    <row customHeight="1" ht="18">
      <c r="A66" s="855"/>
      <c r="B66" s="909">
        <v>49</v>
      </c>
      <c r="C66" s="853"/>
      <c r="D66" s="977"/>
      <c r="E66" s="853"/>
      <c r="F66" s="853"/>
      <c r="G66" s="853"/>
      <c r="H66" s="901"/>
      <c r="I66" s="1015">
        <f>INDEX(TEMPLATE_NUMBER_POINT_FHD,B66,MATCH(TEMPLATE_SPHERE,TEMPLATE_SPHERE_LIST_FOR_NOTE,0))</f>
        <v>0</v>
      </c>
      <c r="J66" s="1015">
        <f>INDEX(TEMPLATE_DATA_POINT_FHD,B66,MATCH(TEMPLATE_SPHERE,TEMPLATE_SPHERE_LIST_FOR_NOTE,0))</f>
        <v>0</v>
      </c>
      <c r="K66" s="1015">
        <f>INDEX(TEMPLATE_NOTE_POINT_FHD,B66,MATCH(TEMPLATE_SPHERE,TEMPLATE_SPHERE_LIST_FOR_NOTE,0))</f>
        <v>0</v>
      </c>
      <c r="L66" s="854" t="str">
        <f>IF(I66=0,"",I66)</f>
        <v/>
      </c>
      <c r="M66" s="854" t="str">
        <f>IF(J66=0,"",J66)</f>
        <v/>
      </c>
      <c r="N66" s="854" t="str">
        <f>IF(K66=0,"",K66)</f>
        <v/>
      </c>
      <c r="O66" s="967"/>
      <c r="P66" s="967" t="s">
        <v>2362</v>
      </c>
      <c r="Q66" s="967"/>
      <c r="R66" s="967"/>
      <c r="S66" s="967"/>
      <c r="T66" s="853"/>
      <c r="U66" s="853" t="s">
        <v>2447</v>
      </c>
      <c r="V66" s="853"/>
      <c r="W66" s="853"/>
      <c r="X66" s="853"/>
      <c r="Y66" s="1010"/>
      <c r="Z66" s="856"/>
      <c r="AA66" s="859"/>
      <c r="AB66" s="856"/>
      <c r="AC66" s="856"/>
      <c r="AD66" s="856"/>
    </row>
    <row customHeight="1" ht="27">
      <c r="A67" s="855"/>
      <c r="B67" s="909">
        <v>50</v>
      </c>
      <c r="C67" s="853"/>
      <c r="D67" s="977"/>
      <c r="E67" s="853"/>
      <c r="F67" s="853"/>
      <c r="G67" s="853"/>
      <c r="H67" s="901"/>
      <c r="I67" s="1015">
        <f>INDEX(TEMPLATE_NUMBER_POINT_FHD,B67,MATCH(TEMPLATE_SPHERE,TEMPLATE_SPHERE_LIST_FOR_NOTE,0))</f>
        <v>0</v>
      </c>
      <c r="J67" s="1015">
        <f>INDEX(TEMPLATE_DATA_POINT_FHD,B67,MATCH(TEMPLATE_SPHERE,TEMPLATE_SPHERE_LIST_FOR_NOTE,0))</f>
        <v>0</v>
      </c>
      <c r="K67" s="1015">
        <f>INDEX(TEMPLATE_NOTE_POINT_FHD,B67,MATCH(TEMPLATE_SPHERE,TEMPLATE_SPHERE_LIST_FOR_NOTE,0))</f>
        <v>0</v>
      </c>
      <c r="L67" s="854" t="str">
        <f>IF(I67=0,"",I67)</f>
        <v/>
      </c>
      <c r="M67" s="854" t="str">
        <f>IF(J67=0,"",J67)</f>
        <v/>
      </c>
      <c r="N67" s="854" t="str">
        <f>IF(K67=0,"",K67)</f>
        <v/>
      </c>
      <c r="O67" s="967"/>
      <c r="P67" s="967" t="s">
        <v>2448</v>
      </c>
      <c r="Q67" s="967"/>
      <c r="R67" s="967"/>
      <c r="S67" s="967"/>
      <c r="T67" s="853"/>
      <c r="U67" s="853" t="s">
        <v>2449</v>
      </c>
      <c r="V67" s="853"/>
      <c r="W67" s="853"/>
      <c r="X67" s="853"/>
      <c r="Y67" s="1010"/>
      <c r="Z67" s="856"/>
      <c r="AA67" s="859"/>
      <c r="AB67" s="856"/>
      <c r="AC67" s="856"/>
      <c r="AD67" s="856"/>
    </row>
    <row customHeight="1" ht="27">
      <c r="A68" s="855"/>
      <c r="B68" s="909">
        <v>51</v>
      </c>
      <c r="C68" s="853"/>
      <c r="D68" s="977"/>
      <c r="E68" s="853"/>
      <c r="F68" s="853"/>
      <c r="G68" s="853"/>
      <c r="H68" s="901"/>
      <c r="I68" s="1015">
        <f>INDEX(TEMPLATE_NUMBER_POINT_FHD,B68,MATCH(TEMPLATE_SPHERE,TEMPLATE_SPHERE_LIST_FOR_NOTE,0))</f>
        <v>0</v>
      </c>
      <c r="J68" s="1015">
        <f>INDEX(TEMPLATE_DATA_POINT_FHD,B68,MATCH(TEMPLATE_SPHERE,TEMPLATE_SPHERE_LIST_FOR_NOTE,0))</f>
        <v>0</v>
      </c>
      <c r="K68" s="1015">
        <f>INDEX(TEMPLATE_NOTE_POINT_FHD,B68,MATCH(TEMPLATE_SPHERE,TEMPLATE_SPHERE_LIST_FOR_NOTE,0))</f>
        <v>0</v>
      </c>
      <c r="L68" s="854" t="str">
        <f>IF(I68=0,"",I68)</f>
        <v/>
      </c>
      <c r="M68" s="854" t="str">
        <f>IF(J68=0,"",J68)</f>
        <v/>
      </c>
      <c r="N68" s="854" t="str">
        <f>IF(K68=0,"",K68)</f>
        <v/>
      </c>
      <c r="O68" s="967"/>
      <c r="P68" s="967" t="s">
        <v>2450</v>
      </c>
      <c r="Q68" s="967"/>
      <c r="R68" s="967"/>
      <c r="S68" s="967"/>
      <c r="T68" s="853"/>
      <c r="U68" s="853" t="s">
        <v>2451</v>
      </c>
      <c r="V68" s="853"/>
      <c r="W68" s="853"/>
      <c r="X68" s="853"/>
      <c r="Y68" s="1010"/>
      <c r="Z68" s="856"/>
      <c r="AA68" s="859"/>
      <c r="AB68" s="856"/>
      <c r="AC68" s="856"/>
      <c r="AD68" s="856"/>
    </row>
    <row customHeight="1" ht="9">
      <c r="A69" s="855"/>
      <c r="B69" s="909">
        <v>52</v>
      </c>
      <c r="C69" s="853"/>
      <c r="D69" s="977" t="s">
        <v>2452</v>
      </c>
      <c r="E69" s="853"/>
      <c r="F69" s="853"/>
      <c r="G69" s="853"/>
      <c r="H69" s="901"/>
      <c r="I69" s="1015">
        <f>INDEX(TEMPLATE_NUMBER_POINT_FHD,B69,MATCH(TEMPLATE_SPHERE,TEMPLATE_SPHERE_LIST_FOR_NOTE,0))</f>
        <v>0</v>
      </c>
      <c r="J69" s="1015">
        <f>INDEX(TEMPLATE_DATA_POINT_FHD,B69,MATCH(TEMPLATE_SPHERE,TEMPLATE_SPHERE_LIST_FOR_NOTE,0))</f>
        <v>0</v>
      </c>
      <c r="K69" s="1015">
        <f>INDEX(TEMPLATE_NOTE_POINT_FHD,B69,MATCH(TEMPLATE_SPHERE,TEMPLATE_SPHERE_LIST_FOR_NOTE,0))</f>
        <v>0</v>
      </c>
      <c r="L69" s="854" t="str">
        <f>IF(I69=0,"",I69)</f>
        <v/>
      </c>
      <c r="M69" s="854" t="str">
        <f>IF(J69=0,"",J69)</f>
        <v/>
      </c>
      <c r="N69" s="854" t="str">
        <f>IF(K69=0,"",K69)</f>
        <v/>
      </c>
      <c r="O69" s="967"/>
      <c r="P69" s="967" t="s">
        <v>174</v>
      </c>
      <c r="Q69" s="967"/>
      <c r="R69" s="967"/>
      <c r="S69" s="967"/>
      <c r="T69" s="853"/>
      <c r="U69" s="853" t="s">
        <v>2453</v>
      </c>
      <c r="V69" s="853"/>
      <c r="W69" s="853"/>
      <c r="X69" s="853"/>
      <c r="Y69" s="1010"/>
      <c r="Z69" s="856"/>
      <c r="AA69" s="859"/>
      <c r="AB69" s="856"/>
      <c r="AC69" s="856"/>
      <c r="AD69" s="856"/>
    </row>
    <row customHeight="1" ht="27">
      <c r="A70" s="855"/>
      <c r="B70" s="909">
        <v>53</v>
      </c>
      <c r="C70" s="853"/>
      <c r="D70" s="977"/>
      <c r="E70" s="853" t="s">
        <v>2437</v>
      </c>
      <c r="F70" s="853"/>
      <c r="G70" s="853"/>
      <c r="H70" s="901"/>
      <c r="I70" s="1015">
        <f>INDEX(TEMPLATE_NUMBER_POINT_FHD,B70,MATCH(TEMPLATE_SPHERE,TEMPLATE_SPHERE_LIST_FOR_NOTE,0))</f>
        <v>0</v>
      </c>
      <c r="J70" s="1015">
        <f>INDEX(TEMPLATE_DATA_POINT_FHD,B70,MATCH(TEMPLATE_SPHERE,TEMPLATE_SPHERE_LIST_FOR_NOTE,0))</f>
        <v>0</v>
      </c>
      <c r="K70" s="1015">
        <f>INDEX(TEMPLATE_NOTE_POINT_FHD,B70,MATCH(TEMPLATE_SPHERE,TEMPLATE_SPHERE_LIST_FOR_NOTE,0))</f>
        <v>0</v>
      </c>
      <c r="L70" s="854" t="str">
        <f>IF(I70=0,"",I70)</f>
        <v/>
      </c>
      <c r="M70" s="854" t="str">
        <f>IF(J70=0,"",J70)</f>
        <v/>
      </c>
      <c r="N70" s="854" t="str">
        <f>IF(K70=0,"",K70)</f>
        <v/>
      </c>
      <c r="O70" s="967"/>
      <c r="P70" s="967"/>
      <c r="Q70" s="967" t="s">
        <v>93</v>
      </c>
      <c r="R70" s="967"/>
      <c r="S70" s="967"/>
      <c r="T70" s="853"/>
      <c r="U70" s="853"/>
      <c r="V70" s="853" t="s">
        <v>2454</v>
      </c>
      <c r="W70" s="853"/>
      <c r="X70" s="853"/>
      <c r="Y70" s="1010"/>
      <c r="Z70" s="856"/>
      <c r="AA70" s="859"/>
      <c r="AB70" s="856"/>
      <c r="AC70" s="856"/>
      <c r="AD70" s="856"/>
    </row>
    <row customHeight="1" ht="36">
      <c r="A71" s="855"/>
      <c r="B71" s="909">
        <v>54</v>
      </c>
      <c r="C71" s="853"/>
      <c r="D71" s="977"/>
      <c r="E71" s="853" t="s">
        <v>2439</v>
      </c>
      <c r="F71" s="853"/>
      <c r="G71" s="853"/>
      <c r="H71" s="901"/>
      <c r="I71" s="1015">
        <f>INDEX(TEMPLATE_NUMBER_POINT_FHD,B71,MATCH(TEMPLATE_SPHERE,TEMPLATE_SPHERE_LIST_FOR_NOTE,0))</f>
        <v>0</v>
      </c>
      <c r="J71" s="1015">
        <f>INDEX(TEMPLATE_DATA_POINT_FHD,B71,MATCH(TEMPLATE_SPHERE,TEMPLATE_SPHERE_LIST_FOR_NOTE,0))</f>
        <v>0</v>
      </c>
      <c r="K71" s="1015">
        <f>INDEX(TEMPLATE_NOTE_POINT_FHD,B71,MATCH(TEMPLATE_SPHERE,TEMPLATE_SPHERE_LIST_FOR_NOTE,0))</f>
        <v>0</v>
      </c>
      <c r="L71" s="854" t="str">
        <f>IF(I71=0,"",I71)</f>
        <v/>
      </c>
      <c r="M71" s="854" t="str">
        <f>IF(J71=0,"",J71)</f>
        <v/>
      </c>
      <c r="N71" s="854" t="str">
        <f>IF(K71=0,"",K71)</f>
        <v/>
      </c>
      <c r="O71" s="967"/>
      <c r="P71" s="967"/>
      <c r="Q71" s="967" t="s">
        <v>126</v>
      </c>
      <c r="R71" s="967"/>
      <c r="S71" s="967"/>
      <c r="T71" s="853"/>
      <c r="U71" s="853"/>
      <c r="V71" s="853" t="s">
        <v>2455</v>
      </c>
      <c r="W71" s="853"/>
      <c r="X71" s="853"/>
      <c r="Y71" s="1010"/>
      <c r="Z71" s="856"/>
      <c r="AA71" s="859"/>
      <c r="AB71" s="856"/>
      <c r="AC71" s="856"/>
      <c r="AD71" s="856"/>
    </row>
    <row customHeight="1" ht="27">
      <c r="A72" s="855"/>
      <c r="B72" s="909">
        <v>55</v>
      </c>
      <c r="C72" s="853"/>
      <c r="D72" s="977"/>
      <c r="E72" s="853" t="s">
        <v>2441</v>
      </c>
      <c r="F72" s="853"/>
      <c r="G72" s="853"/>
      <c r="H72" s="901"/>
      <c r="I72" s="1015">
        <f>INDEX(TEMPLATE_NUMBER_POINT_FHD,B72,MATCH(TEMPLATE_SPHERE,TEMPLATE_SPHERE_LIST_FOR_NOTE,0))</f>
        <v>0</v>
      </c>
      <c r="J72" s="1015">
        <f>INDEX(TEMPLATE_DATA_POINT_FHD,B72,MATCH(TEMPLATE_SPHERE,TEMPLATE_SPHERE_LIST_FOR_NOTE,0))</f>
        <v>0</v>
      </c>
      <c r="K72" s="1015">
        <f>INDEX(TEMPLATE_NOTE_POINT_FHD,B72,MATCH(TEMPLATE_SPHERE,TEMPLATE_SPHERE_LIST_FOR_NOTE,0))</f>
        <v>0</v>
      </c>
      <c r="L72" s="854" t="str">
        <f>IF(I72=0,"",I72)</f>
        <v/>
      </c>
      <c r="M72" s="854" t="str">
        <f>IF(J72=0,"",J72)</f>
        <v/>
      </c>
      <c r="N72" s="854" t="str">
        <f>IF(K72=0,"",K72)</f>
        <v/>
      </c>
      <c r="O72" s="967"/>
      <c r="P72" s="967"/>
      <c r="Q72" s="967" t="s">
        <v>172</v>
      </c>
      <c r="R72" s="967"/>
      <c r="S72" s="967"/>
      <c r="T72" s="853"/>
      <c r="U72" s="853"/>
      <c r="V72" s="853" t="s">
        <v>2456</v>
      </c>
      <c r="W72" s="853"/>
      <c r="X72" s="853"/>
      <c r="Y72" s="1010"/>
      <c r="Z72" s="856"/>
      <c r="AA72" s="859"/>
      <c r="AB72" s="856"/>
      <c r="AC72" s="856"/>
      <c r="AD72" s="856"/>
    </row>
    <row customHeight="1" ht="36">
      <c r="A73" s="855"/>
      <c r="B73" s="909">
        <v>56</v>
      </c>
      <c r="C73" s="853"/>
      <c r="D73" s="977"/>
      <c r="E73" s="853" t="s">
        <v>2443</v>
      </c>
      <c r="F73" s="853"/>
      <c r="G73" s="853"/>
      <c r="H73" s="901"/>
      <c r="I73" s="1015">
        <f>INDEX(TEMPLATE_NUMBER_POINT_FHD,B73,MATCH(TEMPLATE_SPHERE,TEMPLATE_SPHERE_LIST_FOR_NOTE,0))</f>
        <v>0</v>
      </c>
      <c r="J73" s="1015">
        <f>INDEX(TEMPLATE_DATA_POINT_FHD,B73,MATCH(TEMPLATE_SPHERE,TEMPLATE_SPHERE_LIST_FOR_NOTE,0))</f>
        <v>0</v>
      </c>
      <c r="K73" s="1015">
        <f>INDEX(TEMPLATE_NOTE_POINT_FHD,B73,MATCH(TEMPLATE_SPHERE,TEMPLATE_SPHERE_LIST_FOR_NOTE,0))</f>
        <v>0</v>
      </c>
      <c r="L73" s="854" t="str">
        <f>IF(I73=0,"",I73)</f>
        <v/>
      </c>
      <c r="M73" s="854" t="str">
        <f>IF(J73=0,"",J73)</f>
        <v/>
      </c>
      <c r="N73" s="854" t="str">
        <f>IF(K73=0,"",K73)</f>
        <v/>
      </c>
      <c r="O73" s="967"/>
      <c r="P73" s="967"/>
      <c r="Q73" s="967" t="s">
        <v>173</v>
      </c>
      <c r="R73" s="967"/>
      <c r="S73" s="967"/>
      <c r="T73" s="853"/>
      <c r="U73" s="853"/>
      <c r="V73" s="853" t="s">
        <v>2457</v>
      </c>
      <c r="W73" s="853"/>
      <c r="X73" s="853"/>
      <c r="Y73" s="1010"/>
      <c r="Z73" s="856"/>
      <c r="AA73" s="859"/>
      <c r="AB73" s="856"/>
      <c r="AC73" s="856"/>
      <c r="AD73" s="856"/>
    </row>
    <row customHeight="1" ht="18">
      <c r="A74" s="855"/>
      <c r="B74" s="909">
        <v>57</v>
      </c>
      <c r="C74" s="853"/>
      <c r="D74" s="977"/>
      <c r="E74" s="853" t="s">
        <v>2452</v>
      </c>
      <c r="F74" s="853"/>
      <c r="G74" s="853"/>
      <c r="H74" s="901"/>
      <c r="I74" s="1015">
        <f>INDEX(TEMPLATE_NUMBER_POINT_FHD,B74,MATCH(TEMPLATE_SPHERE,TEMPLATE_SPHERE_LIST_FOR_NOTE,0))</f>
        <v>0</v>
      </c>
      <c r="J74" s="1015">
        <f>INDEX(TEMPLATE_DATA_POINT_FHD,B74,MATCH(TEMPLATE_SPHERE,TEMPLATE_SPHERE_LIST_FOR_NOTE,0))</f>
        <v>0</v>
      </c>
      <c r="K74" s="1015">
        <f>INDEX(TEMPLATE_NOTE_POINT_FHD,B74,MATCH(TEMPLATE_SPHERE,TEMPLATE_SPHERE_LIST_FOR_NOTE,0))</f>
        <v>0</v>
      </c>
      <c r="L74" s="854" t="str">
        <f>IF(I74=0,"",I74)</f>
        <v/>
      </c>
      <c r="M74" s="854" t="str">
        <f>IF(J74=0,"",J74)</f>
        <v/>
      </c>
      <c r="N74" s="854" t="str">
        <f>IF(K74=0,"",K74)</f>
        <v/>
      </c>
      <c r="O74" s="967"/>
      <c r="P74" s="967"/>
      <c r="Q74" s="967" t="s">
        <v>174</v>
      </c>
      <c r="R74" s="967"/>
      <c r="S74" s="967"/>
      <c r="T74" s="853"/>
      <c r="U74" s="853"/>
      <c r="V74" s="853" t="s">
        <v>2458</v>
      </c>
      <c r="W74" s="853"/>
      <c r="X74" s="853"/>
      <c r="Y74" s="1010"/>
      <c r="Z74" s="856"/>
      <c r="AA74" s="859"/>
      <c r="AB74" s="856"/>
      <c r="AC74" s="856"/>
      <c r="AD74" s="856"/>
    </row>
    <row customHeight="1" ht="18">
      <c r="A75" s="855"/>
      <c r="B75" s="909">
        <v>58</v>
      </c>
      <c r="C75" s="853"/>
      <c r="D75" s="977"/>
      <c r="E75" s="853"/>
      <c r="F75" s="853" t="s">
        <v>2437</v>
      </c>
      <c r="G75" s="853"/>
      <c r="H75" s="901"/>
      <c r="I75" s="1015">
        <f>INDEX(TEMPLATE_NUMBER_POINT_FHD,B75,MATCH(TEMPLATE_SPHERE,TEMPLATE_SPHERE_LIST_FOR_NOTE,0))</f>
        <v>0</v>
      </c>
      <c r="J75" s="1015">
        <f>INDEX(TEMPLATE_DATA_POINT_FHD,B75,MATCH(TEMPLATE_SPHERE,TEMPLATE_SPHERE_LIST_FOR_NOTE,0))</f>
        <v>0</v>
      </c>
      <c r="K75" s="1015">
        <f>INDEX(TEMPLATE_NOTE_POINT_FHD,B75,MATCH(TEMPLATE_SPHERE,TEMPLATE_SPHERE_LIST_FOR_NOTE,0))</f>
        <v>0</v>
      </c>
      <c r="L75" s="854" t="str">
        <f>IF(I75=0,"",I75)</f>
        <v/>
      </c>
      <c r="M75" s="854" t="str">
        <f>IF(J75=0,"",J75)</f>
        <v/>
      </c>
      <c r="N75" s="854" t="str">
        <f>IF(K75=0,"",K75)</f>
        <v/>
      </c>
      <c r="O75" s="967"/>
      <c r="P75" s="967"/>
      <c r="Q75" s="967"/>
      <c r="R75" s="967" t="s">
        <v>93</v>
      </c>
      <c r="S75" s="967"/>
      <c r="T75" s="853"/>
      <c r="U75" s="853"/>
      <c r="V75" s="853"/>
      <c r="W75" s="853" t="s">
        <v>2459</v>
      </c>
      <c r="X75" s="853"/>
      <c r="Y75" s="1010"/>
      <c r="Z75" s="856"/>
      <c r="AA75" s="859"/>
      <c r="AB75" s="856"/>
      <c r="AC75" s="856"/>
      <c r="AD75" s="856"/>
    </row>
    <row customHeight="1" ht="36">
      <c r="A76" s="855"/>
      <c r="B76" s="909">
        <v>59</v>
      </c>
      <c r="C76" s="853"/>
      <c r="D76" s="977"/>
      <c r="E76" s="853"/>
      <c r="F76" s="853" t="s">
        <v>2439</v>
      </c>
      <c r="G76" s="853"/>
      <c r="H76" s="901"/>
      <c r="I76" s="1015">
        <f>INDEX(TEMPLATE_NUMBER_POINT_FHD,B76,MATCH(TEMPLATE_SPHERE,TEMPLATE_SPHERE_LIST_FOR_NOTE,0))</f>
        <v>0</v>
      </c>
      <c r="J76" s="1015">
        <f>INDEX(TEMPLATE_DATA_POINT_FHD,B76,MATCH(TEMPLATE_SPHERE,TEMPLATE_SPHERE_LIST_FOR_NOTE,0))</f>
        <v>0</v>
      </c>
      <c r="K76" s="1015">
        <f>INDEX(TEMPLATE_NOTE_POINT_FHD,B76,MATCH(TEMPLATE_SPHERE,TEMPLATE_SPHERE_LIST_FOR_NOTE,0))</f>
        <v>0</v>
      </c>
      <c r="L76" s="854" t="str">
        <f>IF(I76=0,"",I76)</f>
        <v/>
      </c>
      <c r="M76" s="854" t="str">
        <f>IF(J76=0,"",J76)</f>
        <v/>
      </c>
      <c r="N76" s="854" t="str">
        <f>IF(K76=0,"",K76)</f>
        <v/>
      </c>
      <c r="O76" s="967"/>
      <c r="P76" s="967"/>
      <c r="Q76" s="967"/>
      <c r="R76" s="967" t="s">
        <v>126</v>
      </c>
      <c r="S76" s="967"/>
      <c r="T76" s="853"/>
      <c r="U76" s="853"/>
      <c r="V76" s="853"/>
      <c r="W76" s="853" t="s">
        <v>2460</v>
      </c>
      <c r="X76" s="853"/>
      <c r="Y76" s="1010"/>
      <c r="Z76" s="856"/>
      <c r="AA76" s="859"/>
      <c r="AB76" s="856"/>
      <c r="AC76" s="856"/>
      <c r="AD76" s="856"/>
    </row>
    <row customHeight="1" ht="18">
      <c r="A77" s="855"/>
      <c r="B77" s="909">
        <v>60</v>
      </c>
      <c r="C77" s="853"/>
      <c r="D77" s="977"/>
      <c r="E77" s="853"/>
      <c r="F77" s="853" t="s">
        <v>2441</v>
      </c>
      <c r="G77" s="853"/>
      <c r="H77" s="901"/>
      <c r="I77" s="1015">
        <f>INDEX(TEMPLATE_NUMBER_POINT_FHD,B77,MATCH(TEMPLATE_SPHERE,TEMPLATE_SPHERE_LIST_FOR_NOTE,0))</f>
        <v>0</v>
      </c>
      <c r="J77" s="1015">
        <f>INDEX(TEMPLATE_DATA_POINT_FHD,B77,MATCH(TEMPLATE_SPHERE,TEMPLATE_SPHERE_LIST_FOR_NOTE,0))</f>
        <v>0</v>
      </c>
      <c r="K77" s="1015">
        <f>INDEX(TEMPLATE_NOTE_POINT_FHD,B77,MATCH(TEMPLATE_SPHERE,TEMPLATE_SPHERE_LIST_FOR_NOTE,0))</f>
        <v>0</v>
      </c>
      <c r="L77" s="854" t="str">
        <f>IF(I77=0,"",I77)</f>
        <v/>
      </c>
      <c r="M77" s="854" t="str">
        <f>IF(J77=0,"",J77)</f>
        <v/>
      </c>
      <c r="N77" s="854" t="str">
        <f>IF(K77=0,"",K77)</f>
        <v/>
      </c>
      <c r="O77" s="967"/>
      <c r="P77" s="967"/>
      <c r="Q77" s="967"/>
      <c r="R77" s="967" t="s">
        <v>172</v>
      </c>
      <c r="S77" s="967"/>
      <c r="T77" s="853"/>
      <c r="U77" s="853"/>
      <c r="V77" s="853"/>
      <c r="W77" s="853" t="s">
        <v>2461</v>
      </c>
      <c r="X77" s="853"/>
      <c r="Y77" s="1010"/>
      <c r="Z77" s="856"/>
      <c r="AA77" s="859"/>
      <c r="AB77" s="856"/>
      <c r="AC77" s="856"/>
      <c r="AD77" s="856"/>
    </row>
    <row customHeight="1" ht="72">
      <c r="A78" s="855"/>
      <c r="B78" s="909">
        <v>61</v>
      </c>
      <c r="C78" s="853" t="s">
        <v>2437</v>
      </c>
      <c r="D78" s="977"/>
      <c r="E78" s="853"/>
      <c r="F78" s="853"/>
      <c r="G78" s="853"/>
      <c r="H78" s="901"/>
      <c r="I78" s="1015" t="str">
        <f>INDEX(TEMPLATE_NUMBER_POINT_FHD,B78,MATCH(TEMPLATE_SPHERE,TEMPLATE_SPHERE_LIST_FOR_NOTE,0))</f>
        <v>7</v>
      </c>
      <c r="J78" s="1015"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15"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54" t="str">
        <f>IF(I78=0,"",I78)</f>
        <v>7</v>
      </c>
      <c r="M78" s="854"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54"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7" t="s">
        <v>93</v>
      </c>
      <c r="P78" s="967"/>
      <c r="Q78" s="967"/>
      <c r="R78" s="967"/>
      <c r="S78" s="967"/>
      <c r="T78" s="853" t="s">
        <v>659</v>
      </c>
      <c r="U78" s="853"/>
      <c r="V78" s="853"/>
      <c r="W78" s="853"/>
      <c r="X78" s="853"/>
      <c r="Y78" s="1010"/>
      <c r="Z78" s="856" t="s">
        <v>2462</v>
      </c>
      <c r="AA78" s="859"/>
      <c r="AB78" s="856"/>
      <c r="AC78" s="856"/>
      <c r="AD78" s="856"/>
    </row>
    <row customHeight="1" ht="36">
      <c r="A79" s="855"/>
      <c r="B79" s="909">
        <v>62</v>
      </c>
      <c r="C79" s="853" t="s">
        <v>2439</v>
      </c>
      <c r="D79" s="977"/>
      <c r="E79" s="853"/>
      <c r="F79" s="853"/>
      <c r="G79" s="853"/>
      <c r="H79" s="901"/>
      <c r="I79" s="1015" t="str">
        <f>INDEX(TEMPLATE_NUMBER_POINT_FHD,B79,MATCH(TEMPLATE_SPHERE,TEMPLATE_SPHERE_LIST_FOR_NOTE,0))</f>
        <v>8</v>
      </c>
      <c r="J79" s="1015"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15"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54" t="str">
        <f>IF(I79=0,"",I79)</f>
        <v>8</v>
      </c>
      <c r="M79" s="854" t="str">
        <f>IF(J79=0,"",J79)</f>
        <v>Тепловая нагрузка по договорам, заключенным в рамках осуществления регулируемых видов деятельности</v>
      </c>
      <c r="N79" s="854"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7" t="s">
        <v>126</v>
      </c>
      <c r="P79" s="967"/>
      <c r="Q79" s="967"/>
      <c r="R79" s="967"/>
      <c r="S79" s="967"/>
      <c r="T79" s="853" t="s">
        <v>2463</v>
      </c>
      <c r="U79" s="853"/>
      <c r="V79" s="853"/>
      <c r="W79" s="853"/>
      <c r="X79" s="853"/>
      <c r="Y79" s="1010"/>
      <c r="Z79" s="856" t="s">
        <v>2464</v>
      </c>
      <c r="AA79" s="859"/>
      <c r="AB79" s="856"/>
      <c r="AC79" s="856"/>
      <c r="AD79" s="856"/>
    </row>
    <row customHeight="1" ht="45">
      <c r="A80" s="855"/>
      <c r="B80" s="909">
        <v>63</v>
      </c>
      <c r="C80" s="853" t="s">
        <v>2441</v>
      </c>
      <c r="D80" s="977"/>
      <c r="E80" s="853"/>
      <c r="F80" s="853"/>
      <c r="G80" s="853"/>
      <c r="H80" s="901"/>
      <c r="I80" s="1015" t="str">
        <f>INDEX(TEMPLATE_NUMBER_POINT_FHD,B80,MATCH(TEMPLATE_SPHERE,TEMPLATE_SPHERE_LIST_FOR_NOTE,0))</f>
        <v>9</v>
      </c>
      <c r="J80" s="1015"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15"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54" t="str">
        <f>IF(I80=0,"",I80)</f>
        <v>9</v>
      </c>
      <c r="M80" s="854" t="str">
        <f>IF(J80=0,"",J80)</f>
        <v>Объем вырабатываемой регулируемой организацией тепловой энергии в рамках осуществления регулируемых видов деятельности</v>
      </c>
      <c r="N80" s="854"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7" t="s">
        <v>172</v>
      </c>
      <c r="P80" s="967"/>
      <c r="Q80" s="967"/>
      <c r="R80" s="967"/>
      <c r="S80" s="967"/>
      <c r="T80" s="853" t="s">
        <v>2465</v>
      </c>
      <c r="U80" s="853"/>
      <c r="V80" s="853"/>
      <c r="W80" s="853"/>
      <c r="X80" s="853"/>
      <c r="Y80" s="1010"/>
      <c r="Z80" s="856" t="s">
        <v>2466</v>
      </c>
      <c r="AA80" s="859"/>
      <c r="AB80" s="856"/>
      <c r="AC80" s="856"/>
      <c r="AD80" s="856"/>
    </row>
    <row customHeight="1" ht="36">
      <c r="A81" s="855"/>
      <c r="B81" s="909">
        <v>64</v>
      </c>
      <c r="C81" s="853" t="s">
        <v>2443</v>
      </c>
      <c r="D81" s="977"/>
      <c r="E81" s="853"/>
      <c r="F81" s="853"/>
      <c r="G81" s="853"/>
      <c r="H81" s="901"/>
      <c r="I81" s="1015" t="str">
        <f>INDEX(TEMPLATE_NUMBER_POINT_FHD,B81,MATCH(TEMPLATE_SPHERE,TEMPLATE_SPHERE_LIST_FOR_NOTE,0))</f>
        <v>9.1</v>
      </c>
      <c r="J81" s="1015"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15" t="str">
        <f>INDEX(TEMPLATE_NOTE_POINT_FHD,B81,MATCH(TEMPLATE_SPHERE,TEMPLATE_SPHERE_LIST_FOR_NOTE,0))</f>
        <v>Информация указывается только едиными теплоснабжающими организациями.</v>
      </c>
      <c r="L81" s="854" t="str">
        <f>IF(I81=0,"",I81)</f>
        <v>9.1</v>
      </c>
      <c r="M81" s="854" t="str">
        <f>IF(J81=0,"",J81)</f>
        <v>Объем приобретаемой регулируемой организацией тепловой энергии в рамках осуществления регулируемых видов деятельности</v>
      </c>
      <c r="N81" s="854" t="str">
        <f>IF(K81=0,"",K81)</f>
        <v>Информация указывается только едиными теплоснабжающими организациями.</v>
      </c>
      <c r="O81" s="967" t="s">
        <v>2349</v>
      </c>
      <c r="P81" s="967"/>
      <c r="Q81" s="967"/>
      <c r="R81" s="967"/>
      <c r="S81" s="967"/>
      <c r="T81" s="853" t="s">
        <v>2467</v>
      </c>
      <c r="U81" s="853"/>
      <c r="V81" s="853"/>
      <c r="W81" s="853"/>
      <c r="X81" s="853"/>
      <c r="Y81" s="1010"/>
      <c r="Z81" s="856" t="s">
        <v>2468</v>
      </c>
      <c r="AA81" s="859"/>
      <c r="AB81" s="856"/>
      <c r="AC81" s="856"/>
      <c r="AD81" s="856"/>
    </row>
    <row customHeight="1" ht="90">
      <c r="A82" s="855"/>
      <c r="B82" s="909">
        <v>65</v>
      </c>
      <c r="C82" s="853" t="s">
        <v>2452</v>
      </c>
      <c r="D82" s="977"/>
      <c r="E82" s="853"/>
      <c r="F82" s="853"/>
      <c r="G82" s="853"/>
      <c r="H82" s="901"/>
      <c r="I82" s="1015" t="str">
        <f>INDEX(TEMPLATE_NUMBER_POINT_FHD,B82,MATCH(TEMPLATE_SPHERE,TEMPLATE_SPHERE_LIST_FOR_NOTE,0))</f>
        <v>10</v>
      </c>
      <c r="J82" s="1015"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15"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54" t="str">
        <f>IF(I82=0,"",I82)</f>
        <v>10</v>
      </c>
      <c r="M82" s="854"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54"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7" t="s">
        <v>173</v>
      </c>
      <c r="P82" s="967"/>
      <c r="Q82" s="967"/>
      <c r="R82" s="967"/>
      <c r="S82" s="967"/>
      <c r="T82" s="853" t="s">
        <v>2469</v>
      </c>
      <c r="U82" s="853"/>
      <c r="V82" s="853"/>
      <c r="W82" s="853"/>
      <c r="X82" s="853"/>
      <c r="Y82" s="1010"/>
      <c r="Z82" s="856" t="s">
        <v>2470</v>
      </c>
      <c r="AA82" s="859"/>
      <c r="AB82" s="856"/>
      <c r="AC82" s="856"/>
      <c r="AD82" s="856"/>
    </row>
    <row customHeight="1" ht="9">
      <c r="A83" s="855"/>
      <c r="B83" s="909">
        <v>66</v>
      </c>
      <c r="C83" s="853"/>
      <c r="D83" s="977"/>
      <c r="E83" s="853"/>
      <c r="F83" s="853"/>
      <c r="G83" s="853"/>
      <c r="H83" s="901"/>
      <c r="I83" s="1015" t="str">
        <f>INDEX(TEMPLATE_NUMBER_POINT_FHD,B83,MATCH(TEMPLATE_SPHERE,TEMPLATE_SPHERE_LIST_FOR_NOTE,0))</f>
        <v>10.1</v>
      </c>
      <c r="J83" s="1015" t="str">
        <f>INDEX(TEMPLATE_DATA_POINT_FHD,B83,MATCH(TEMPLATE_SPHERE,TEMPLATE_SPHERE_LIST_FOR_NOTE,0))</f>
        <v>По приборам учёта </v>
      </c>
      <c r="K83" s="1015">
        <f>INDEX(TEMPLATE_NOTE_POINT_FHD,B83,MATCH(TEMPLATE_SPHERE,TEMPLATE_SPHERE_LIST_FOR_NOTE,0))</f>
        <v>0</v>
      </c>
      <c r="L83" s="854" t="str">
        <f>IF(I83=0,"",I83)</f>
        <v>10.1</v>
      </c>
      <c r="M83" s="854" t="str">
        <f>IF(J83=0,"",J83)</f>
        <v>По приборам учёта </v>
      </c>
      <c r="N83" s="854" t="str">
        <f>IF(K83=0,"",K83)</f>
        <v/>
      </c>
      <c r="O83" s="967" t="s">
        <v>2358</v>
      </c>
      <c r="P83" s="967"/>
      <c r="Q83" s="967"/>
      <c r="R83" s="967"/>
      <c r="S83" s="967"/>
      <c r="T83" s="853" t="s">
        <v>2471</v>
      </c>
      <c r="U83" s="853"/>
      <c r="V83" s="853"/>
      <c r="W83" s="853"/>
      <c r="X83" s="853"/>
      <c r="Y83" s="1010"/>
      <c r="Z83" s="856"/>
      <c r="AA83" s="859"/>
      <c r="AB83" s="856"/>
      <c r="AC83" s="856"/>
      <c r="AD83" s="856"/>
    </row>
    <row customHeight="1" ht="54">
      <c r="A84" s="855"/>
      <c r="B84" s="909">
        <v>67</v>
      </c>
      <c r="C84" s="853"/>
      <c r="D84" s="977"/>
      <c r="E84" s="853"/>
      <c r="F84" s="853"/>
      <c r="G84" s="853"/>
      <c r="H84" s="901"/>
      <c r="I84" s="1015" t="str">
        <f>INDEX(TEMPLATE_NUMBER_POINT_FHD,B84,MATCH(TEMPLATE_SPHERE,TEMPLATE_SPHERE_LIST_FOR_NOTE,0))</f>
        <v>10.1.1</v>
      </c>
      <c r="J84" s="1015"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15">
        <f>INDEX(TEMPLATE_NOTE_POINT_FHD,B84,MATCH(TEMPLATE_SPHERE,TEMPLATE_SPHERE_LIST_FOR_NOTE,0))</f>
        <v>0</v>
      </c>
      <c r="L84" s="854" t="str">
        <f>IF(I84=0,"",I84)</f>
        <v>10.1.1</v>
      </c>
      <c r="M84" s="854"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54" t="str">
        <f>IF(K84=0,"",K84)</f>
        <v/>
      </c>
      <c r="O84" s="967" t="s">
        <v>2472</v>
      </c>
      <c r="P84" s="967"/>
      <c r="Q84" s="967"/>
      <c r="R84" s="967"/>
      <c r="S84" s="967"/>
      <c r="T84" s="853" t="s">
        <v>2473</v>
      </c>
      <c r="U84" s="853"/>
      <c r="V84" s="853"/>
      <c r="W84" s="853"/>
      <c r="X84" s="853"/>
      <c r="Y84" s="1010"/>
      <c r="Z84" s="856"/>
      <c r="AA84" s="859"/>
      <c r="AB84" s="856"/>
      <c r="AC84" s="856"/>
      <c r="AD84" s="856"/>
    </row>
    <row customHeight="1" ht="9">
      <c r="A85" s="855"/>
      <c r="B85" s="909">
        <v>68</v>
      </c>
      <c r="C85" s="853"/>
      <c r="D85" s="977"/>
      <c r="E85" s="853"/>
      <c r="F85" s="853"/>
      <c r="G85" s="853"/>
      <c r="H85" s="901"/>
      <c r="I85" s="1015" t="str">
        <f>INDEX(TEMPLATE_NUMBER_POINT_FHD,B85,MATCH(TEMPLATE_SPHERE,TEMPLATE_SPHERE_LIST_FOR_NOTE,0))</f>
        <v>10.2</v>
      </c>
      <c r="J85" s="1015" t="str">
        <f>INDEX(TEMPLATE_DATA_POINT_FHD,B85,MATCH(TEMPLATE_SPHERE,TEMPLATE_SPHERE_LIST_FOR_NOTE,0))</f>
        <v>Расчётным путём</v>
      </c>
      <c r="K85" s="1015">
        <f>INDEX(TEMPLATE_NOTE_POINT_FHD,B85,MATCH(TEMPLATE_SPHERE,TEMPLATE_SPHERE_LIST_FOR_NOTE,0))</f>
        <v>0</v>
      </c>
      <c r="L85" s="854" t="str">
        <f>IF(I85=0,"",I85)</f>
        <v>10.2</v>
      </c>
      <c r="M85" s="854" t="str">
        <f>IF(J85=0,"",J85)</f>
        <v>Расчётным путём</v>
      </c>
      <c r="N85" s="854" t="str">
        <f>IF(K85=0,"",K85)</f>
        <v/>
      </c>
      <c r="O85" s="967" t="s">
        <v>2362</v>
      </c>
      <c r="P85" s="967"/>
      <c r="Q85" s="967"/>
      <c r="R85" s="967"/>
      <c r="S85" s="967"/>
      <c r="T85" s="853" t="s">
        <v>2474</v>
      </c>
      <c r="U85" s="853"/>
      <c r="V85" s="853"/>
      <c r="W85" s="853"/>
      <c r="X85" s="853"/>
      <c r="Y85" s="1010"/>
      <c r="Z85" s="856"/>
      <c r="AA85" s="859"/>
      <c r="AB85" s="856"/>
      <c r="AC85" s="856"/>
      <c r="AD85" s="856"/>
    </row>
    <row customHeight="1" ht="27">
      <c r="A86" s="855"/>
      <c r="B86" s="909">
        <v>69</v>
      </c>
      <c r="C86" s="853"/>
      <c r="D86" s="977"/>
      <c r="E86" s="853"/>
      <c r="F86" s="853"/>
      <c r="G86" s="853"/>
      <c r="H86" s="901"/>
      <c r="I86" s="1015" t="str">
        <f>INDEX(TEMPLATE_NUMBER_POINT_FHD,B86,MATCH(TEMPLATE_SPHERE,TEMPLATE_SPHERE_LIST_FOR_NOTE,0))</f>
        <v>10.3</v>
      </c>
      <c r="J86" s="1015" t="str">
        <f>INDEX(TEMPLATE_DATA_POINT_FHD,B86,MATCH(TEMPLATE_SPHERE,TEMPLATE_SPHERE_LIST_FOR_NOTE,0))</f>
        <v>По нормативам потребления коммунальных услуг и нормативам потребления коммунальных ресурсов</v>
      </c>
      <c r="K86" s="1015">
        <f>INDEX(TEMPLATE_NOTE_POINT_FHD,B86,MATCH(TEMPLATE_SPHERE,TEMPLATE_SPHERE_LIST_FOR_NOTE,0))</f>
        <v>0</v>
      </c>
      <c r="L86" s="854" t="str">
        <f>IF(I86=0,"",I86)</f>
        <v>10.3</v>
      </c>
      <c r="M86" s="854" t="str">
        <f>IF(J86=0,"",J86)</f>
        <v>По нормативам потребления коммунальных услуг и нормативам потребления коммунальных ресурсов</v>
      </c>
      <c r="N86" s="854" t="str">
        <f>IF(K86=0,"",K86)</f>
        <v/>
      </c>
      <c r="O86" s="967" t="s">
        <v>2475</v>
      </c>
      <c r="P86" s="967"/>
      <c r="Q86" s="967"/>
      <c r="R86" s="967"/>
      <c r="S86" s="967"/>
      <c r="T86" s="853" t="s">
        <v>2476</v>
      </c>
      <c r="U86" s="853"/>
      <c r="V86" s="853"/>
      <c r="W86" s="853"/>
      <c r="X86" s="853"/>
      <c r="Y86" s="1010"/>
      <c r="Z86" s="856"/>
      <c r="AA86" s="859"/>
      <c r="AB86" s="856"/>
      <c r="AC86" s="856"/>
      <c r="AD86" s="856"/>
    </row>
    <row customHeight="1" ht="36">
      <c r="A87" s="855"/>
      <c r="B87" s="909">
        <v>70</v>
      </c>
      <c r="C87" s="853" t="s">
        <v>2477</v>
      </c>
      <c r="D87" s="977"/>
      <c r="E87" s="853"/>
      <c r="F87" s="853"/>
      <c r="G87" s="853"/>
      <c r="H87" s="901"/>
      <c r="I87" s="1015" t="str">
        <f>INDEX(TEMPLATE_NUMBER_POINT_FHD,B87,MATCH(TEMPLATE_SPHERE,TEMPLATE_SPHERE_LIST_FOR_NOTE,0))</f>
        <v>11</v>
      </c>
      <c r="J87" s="1015"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15">
        <f>INDEX(TEMPLATE_NOTE_POINT_FHD,B87,MATCH(TEMPLATE_SPHERE,TEMPLATE_SPHERE_LIST_FOR_NOTE,0))</f>
        <v>0</v>
      </c>
      <c r="L87" s="854" t="str">
        <f>IF(I87=0,"",I87)</f>
        <v>11</v>
      </c>
      <c r="M87" s="854" t="str">
        <f>IF(J87=0,"",J87)</f>
        <v>Нормативы технологических потерь при передаче тепловой энергии, теплоносителя по тепловым сетям, утвержденные уполномоченным органом</v>
      </c>
      <c r="N87" s="854" t="str">
        <f>IF(K87=0,"",K87)</f>
        <v/>
      </c>
      <c r="O87" s="967" t="s">
        <v>174</v>
      </c>
      <c r="P87" s="967"/>
      <c r="Q87" s="967"/>
      <c r="R87" s="967"/>
      <c r="S87" s="967"/>
      <c r="T87" s="853" t="s">
        <v>2478</v>
      </c>
      <c r="U87" s="853"/>
      <c r="V87" s="853"/>
      <c r="W87" s="853"/>
      <c r="X87" s="853"/>
      <c r="Y87" s="1010"/>
      <c r="Z87" s="856"/>
      <c r="AA87" s="859"/>
      <c r="AB87" s="856"/>
      <c r="AC87" s="856"/>
      <c r="AD87" s="856"/>
    </row>
    <row customHeight="1" ht="18">
      <c r="A88" s="855"/>
      <c r="B88" s="909">
        <v>71</v>
      </c>
      <c r="C88" s="853" t="s">
        <v>2479</v>
      </c>
      <c r="D88" s="977"/>
      <c r="E88" s="853"/>
      <c r="F88" s="853"/>
      <c r="G88" s="853"/>
      <c r="H88" s="901"/>
      <c r="I88" s="1015" t="str">
        <f>INDEX(TEMPLATE_NUMBER_POINT_FHD,B88,MATCH(TEMPLATE_SPHERE,TEMPLATE_SPHERE_LIST_FOR_NOTE,0))</f>
        <v>12</v>
      </c>
      <c r="J88" s="1015" t="str">
        <f>INDEX(TEMPLATE_DATA_POINT_FHD,B88,MATCH(TEMPLATE_SPHERE,TEMPLATE_SPHERE_LIST_FOR_NOTE,0))</f>
        <v>Фактический объем потерь при передаче тепловой энергии</v>
      </c>
      <c r="K88" s="1015">
        <f>INDEX(TEMPLATE_NOTE_POINT_FHD,B88,MATCH(TEMPLATE_SPHERE,TEMPLATE_SPHERE_LIST_FOR_NOTE,0))</f>
        <v>0</v>
      </c>
      <c r="L88" s="854" t="str">
        <f>IF(I88=0,"",I88)</f>
        <v>12</v>
      </c>
      <c r="M88" s="854" t="str">
        <f>IF(J88=0,"",J88)</f>
        <v>Фактический объем потерь при передаче тепловой энергии</v>
      </c>
      <c r="N88" s="854" t="str">
        <f>IF(K88=0,"",K88)</f>
        <v/>
      </c>
      <c r="O88" s="967" t="s">
        <v>175</v>
      </c>
      <c r="P88" s="967"/>
      <c r="Q88" s="967"/>
      <c r="R88" s="967"/>
      <c r="S88" s="967"/>
      <c r="T88" s="853" t="s">
        <v>691</v>
      </c>
      <c r="U88" s="853"/>
      <c r="V88" s="853"/>
      <c r="W88" s="853"/>
      <c r="X88" s="853"/>
      <c r="Y88" s="1010"/>
      <c r="Z88" s="856"/>
      <c r="AA88" s="859"/>
      <c r="AB88" s="856"/>
      <c r="AC88" s="856"/>
      <c r="AD88" s="856"/>
    </row>
    <row customHeight="1" ht="18">
      <c r="A89" s="855"/>
      <c r="B89" s="909">
        <v>72</v>
      </c>
      <c r="C89" s="853" t="s">
        <v>2480</v>
      </c>
      <c r="D89" s="977" t="s">
        <v>2477</v>
      </c>
      <c r="E89" s="853" t="s">
        <v>2477</v>
      </c>
      <c r="F89" s="853" t="s">
        <v>2443</v>
      </c>
      <c r="G89" s="853"/>
      <c r="H89" s="901"/>
      <c r="I89" s="1015" t="str">
        <f>INDEX(TEMPLATE_NUMBER_POINT_FHD,B89,MATCH(TEMPLATE_SPHERE,TEMPLATE_SPHERE_LIST_FOR_NOTE,0))</f>
        <v>13</v>
      </c>
      <c r="J89" s="1015" t="str">
        <f>INDEX(TEMPLATE_DATA_POINT_FHD,B89,MATCH(TEMPLATE_SPHERE,TEMPLATE_SPHERE_LIST_FOR_NOTE,0))</f>
        <v>Среднесписочная численность основного производственного персонала</v>
      </c>
      <c r="K89" s="1015">
        <f>INDEX(TEMPLATE_NOTE_POINT_FHD,B89,MATCH(TEMPLATE_SPHERE,TEMPLATE_SPHERE_LIST_FOR_NOTE,0))</f>
        <v>0</v>
      </c>
      <c r="L89" s="854" t="str">
        <f>IF(I89=0,"",I89)</f>
        <v>13</v>
      </c>
      <c r="M89" s="854" t="str">
        <f>IF(J89=0,"",J89)</f>
        <v>Среднесписочная численность основного производственного персонала</v>
      </c>
      <c r="N89" s="854" t="str">
        <f>IF(K89=0,"",K89)</f>
        <v/>
      </c>
      <c r="O89" s="967" t="s">
        <v>176</v>
      </c>
      <c r="P89" s="967" t="s">
        <v>175</v>
      </c>
      <c r="Q89" s="967" t="s">
        <v>175</v>
      </c>
      <c r="R89" s="967" t="s">
        <v>173</v>
      </c>
      <c r="S89" s="967"/>
      <c r="T89" s="853" t="s">
        <v>699</v>
      </c>
      <c r="U89" s="853" t="s">
        <v>699</v>
      </c>
      <c r="V89" s="853" t="s">
        <v>699</v>
      </c>
      <c r="W89" s="853" t="s">
        <v>699</v>
      </c>
      <c r="X89" s="853"/>
      <c r="Y89" s="1010"/>
      <c r="Z89" s="856"/>
      <c r="AA89" s="859"/>
      <c r="AB89" s="856"/>
      <c r="AC89" s="856"/>
      <c r="AD89" s="856"/>
    </row>
    <row customHeight="1" ht="27">
      <c r="A90" s="855"/>
      <c r="B90" s="909">
        <v>73</v>
      </c>
      <c r="C90" s="853" t="s">
        <v>2481</v>
      </c>
      <c r="D90" s="977"/>
      <c r="E90" s="853"/>
      <c r="F90" s="853"/>
      <c r="G90" s="853"/>
      <c r="H90" s="901"/>
      <c r="I90" s="1015" t="str">
        <f>INDEX(TEMPLATE_NUMBER_POINT_FHD,B90,MATCH(TEMPLATE_SPHERE,TEMPLATE_SPHERE_LIST_FOR_NOTE,0))</f>
        <v>14</v>
      </c>
      <c r="J90" s="1015" t="str">
        <f>INDEX(TEMPLATE_DATA_POINT_FHD,B90,MATCH(TEMPLATE_SPHERE,TEMPLATE_SPHERE_LIST_FOR_NOTE,0))</f>
        <v>Среднесписочная численность административно-управленческого персонала</v>
      </c>
      <c r="K90" s="1015">
        <f>INDEX(TEMPLATE_NOTE_POINT_FHD,B90,MATCH(TEMPLATE_SPHERE,TEMPLATE_SPHERE_LIST_FOR_NOTE,0))</f>
        <v>0</v>
      </c>
      <c r="L90" s="854" t="str">
        <f>IF(I90=0,"",I90)</f>
        <v>14</v>
      </c>
      <c r="M90" s="854" t="str">
        <f>IF(J90=0,"",J90)</f>
        <v>Среднесписочная численность административно-управленческого персонала</v>
      </c>
      <c r="N90" s="854" t="str">
        <f>IF(K90=0,"",K90)</f>
        <v/>
      </c>
      <c r="O90" s="967" t="s">
        <v>177</v>
      </c>
      <c r="P90" s="967"/>
      <c r="Q90" s="967"/>
      <c r="R90" s="967"/>
      <c r="S90" s="967"/>
      <c r="T90" s="853" t="s">
        <v>701</v>
      </c>
      <c r="U90" s="853"/>
      <c r="V90" s="853"/>
      <c r="W90" s="853"/>
      <c r="X90" s="853"/>
      <c r="Y90" s="1010"/>
      <c r="Z90" s="856"/>
      <c r="AA90" s="859"/>
      <c r="AB90" s="856"/>
      <c r="AC90" s="856"/>
      <c r="AD90" s="856"/>
    </row>
    <row customHeight="1" ht="18">
      <c r="A91" s="855"/>
      <c r="B91" s="909">
        <v>74</v>
      </c>
      <c r="C91" s="853"/>
      <c r="D91" s="977" t="s">
        <v>2479</v>
      </c>
      <c r="E91" s="853" t="s">
        <v>2479</v>
      </c>
      <c r="F91" s="853"/>
      <c r="G91" s="853"/>
      <c r="H91" s="901"/>
      <c r="I91" s="1015">
        <f>INDEX(TEMPLATE_NUMBER_POINT_FHD,B91,MATCH(TEMPLATE_SPHERE,TEMPLATE_SPHERE_LIST_FOR_NOTE,0))</f>
        <v>0</v>
      </c>
      <c r="J91" s="1015">
        <f>INDEX(TEMPLATE_DATA_POINT_FHD,B91,MATCH(TEMPLATE_SPHERE,TEMPLATE_SPHERE_LIST_FOR_NOTE,0))</f>
        <v>0</v>
      </c>
      <c r="K91" s="1015">
        <f>INDEX(TEMPLATE_NOTE_POINT_FHD,B91,MATCH(TEMPLATE_SPHERE,TEMPLATE_SPHERE_LIST_FOR_NOTE,0))</f>
        <v>0</v>
      </c>
      <c r="L91" s="854" t="str">
        <f>IF(I91=0,"",I91)</f>
        <v/>
      </c>
      <c r="M91" s="854" t="str">
        <f>IF(J91=0,"",J91)</f>
        <v/>
      </c>
      <c r="N91" s="854" t="str">
        <f>IF(K91=0,"",K91)</f>
        <v/>
      </c>
      <c r="O91" s="967"/>
      <c r="P91" s="967" t="s">
        <v>176</v>
      </c>
      <c r="Q91" s="967" t="s">
        <v>176</v>
      </c>
      <c r="R91" s="967"/>
      <c r="S91" s="967"/>
      <c r="T91" s="853"/>
      <c r="U91" s="853" t="s">
        <v>2482</v>
      </c>
      <c r="V91" s="853" t="s">
        <v>2482</v>
      </c>
      <c r="W91" s="853"/>
      <c r="X91" s="853"/>
      <c r="Y91" s="1010"/>
      <c r="Z91" s="856"/>
      <c r="AA91" s="859"/>
      <c r="AB91" s="856"/>
      <c r="AC91" s="856"/>
      <c r="AD91" s="856"/>
    </row>
    <row customHeight="1" ht="27">
      <c r="A92" s="855"/>
      <c r="B92" s="909">
        <v>75</v>
      </c>
      <c r="C92" s="853"/>
      <c r="D92" s="977" t="s">
        <v>2480</v>
      </c>
      <c r="E92" s="853"/>
      <c r="F92" s="853"/>
      <c r="G92" s="853"/>
      <c r="H92" s="901"/>
      <c r="I92" s="1015">
        <f>INDEX(TEMPLATE_NUMBER_POINT_FHD,B92,MATCH(TEMPLATE_SPHERE,TEMPLATE_SPHERE_LIST_FOR_NOTE,0))</f>
        <v>0</v>
      </c>
      <c r="J92" s="1015">
        <f>INDEX(TEMPLATE_DATA_POINT_FHD,B92,MATCH(TEMPLATE_SPHERE,TEMPLATE_SPHERE_LIST_FOR_NOTE,0))</f>
        <v>0</v>
      </c>
      <c r="K92" s="1015">
        <f>INDEX(TEMPLATE_NOTE_POINT_FHD,B92,MATCH(TEMPLATE_SPHERE,TEMPLATE_SPHERE_LIST_FOR_NOTE,0))</f>
        <v>0</v>
      </c>
      <c r="L92" s="854" t="str">
        <f>IF(I92=0,"",I92)</f>
        <v/>
      </c>
      <c r="M92" s="854" t="str">
        <f>IF(J92=0,"",J92)</f>
        <v/>
      </c>
      <c r="N92" s="854" t="str">
        <f>IF(K92=0,"",K92)</f>
        <v/>
      </c>
      <c r="O92" s="967"/>
      <c r="P92" s="967" t="s">
        <v>177</v>
      </c>
      <c r="Q92" s="967"/>
      <c r="R92" s="967"/>
      <c r="S92" s="967"/>
      <c r="T92" s="853"/>
      <c r="U92" s="853" t="s">
        <v>2483</v>
      </c>
      <c r="V92" s="853"/>
      <c r="W92" s="853"/>
      <c r="X92" s="853"/>
      <c r="Y92" s="1010"/>
      <c r="Z92" s="856"/>
      <c r="AA92" s="859" t="s">
        <v>2484</v>
      </c>
      <c r="AB92" s="856"/>
      <c r="AC92" s="856"/>
      <c r="AD92" s="856"/>
    </row>
    <row customHeight="1" ht="27">
      <c r="A93" s="855"/>
      <c r="B93" s="909">
        <v>76</v>
      </c>
      <c r="C93" s="853"/>
      <c r="D93" s="977"/>
      <c r="E93" s="853"/>
      <c r="F93" s="853"/>
      <c r="G93" s="853"/>
      <c r="H93" s="901"/>
      <c r="I93" s="1015">
        <f>INDEX(TEMPLATE_NUMBER_POINT_FHD,B93,MATCH(TEMPLATE_SPHERE,TEMPLATE_SPHERE_LIST_FOR_NOTE,0))</f>
        <v>0</v>
      </c>
      <c r="J93" s="1015">
        <f>INDEX(TEMPLATE_DATA_POINT_FHD,B93,MATCH(TEMPLATE_SPHERE,TEMPLATE_SPHERE_LIST_FOR_NOTE,0))</f>
        <v>0</v>
      </c>
      <c r="K93" s="1015">
        <f>INDEX(TEMPLATE_NOTE_POINT_FHD,B93,MATCH(TEMPLATE_SPHERE,TEMPLATE_SPHERE_LIST_FOR_NOTE,0))</f>
        <v>0</v>
      </c>
      <c r="L93" s="854" t="str">
        <f>IF(I93=0,"",I93)</f>
        <v/>
      </c>
      <c r="M93" s="854" t="str">
        <f>IF(J93=0,"",J93)</f>
        <v/>
      </c>
      <c r="N93" s="854" t="str">
        <f>IF(K93=0,"",K93)</f>
        <v/>
      </c>
      <c r="O93" s="967"/>
      <c r="P93" s="967" t="s">
        <v>2390</v>
      </c>
      <c r="Q93" s="967"/>
      <c r="R93" s="967"/>
      <c r="S93" s="967"/>
      <c r="T93" s="853"/>
      <c r="U93" s="853" t="s">
        <v>2485</v>
      </c>
      <c r="V93" s="853"/>
      <c r="W93" s="853"/>
      <c r="X93" s="853"/>
      <c r="Y93" s="1010"/>
      <c r="Z93" s="856"/>
      <c r="AA93" s="859" t="s">
        <v>2486</v>
      </c>
      <c r="AB93" s="856"/>
      <c r="AC93" s="856"/>
      <c r="AD93" s="856"/>
    </row>
    <row customHeight="1" ht="45">
      <c r="A94" s="855"/>
      <c r="B94" s="909">
        <v>77</v>
      </c>
      <c r="C94" s="853"/>
      <c r="D94" s="977" t="s">
        <v>2481</v>
      </c>
      <c r="E94" s="853"/>
      <c r="F94" s="853"/>
      <c r="G94" s="853"/>
      <c r="H94" s="901"/>
      <c r="I94" s="1015">
        <f>INDEX(TEMPLATE_NUMBER_POINT_FHD,B94,MATCH(TEMPLATE_SPHERE,TEMPLATE_SPHERE_LIST_FOR_NOTE,0))</f>
        <v>0</v>
      </c>
      <c r="J94" s="1015">
        <f>INDEX(TEMPLATE_DATA_POINT_FHD,B94,MATCH(TEMPLATE_SPHERE,TEMPLATE_SPHERE_LIST_FOR_NOTE,0))</f>
        <v>0</v>
      </c>
      <c r="K94" s="1015">
        <f>INDEX(TEMPLATE_NOTE_POINT_FHD,B94,MATCH(TEMPLATE_SPHERE,TEMPLATE_SPHERE_LIST_FOR_NOTE,0))</f>
        <v>0</v>
      </c>
      <c r="L94" s="854" t="str">
        <f>IF(I94=0,"",I94)</f>
        <v/>
      </c>
      <c r="M94" s="854" t="str">
        <f>IF(J94=0,"",J94)</f>
        <v/>
      </c>
      <c r="N94" s="854" t="str">
        <f>IF(K94=0,"",K94)</f>
        <v/>
      </c>
      <c r="O94" s="967"/>
      <c r="P94" s="967" t="s">
        <v>1744</v>
      </c>
      <c r="Q94" s="967"/>
      <c r="R94" s="967"/>
      <c r="S94" s="967"/>
      <c r="T94" s="853"/>
      <c r="U94" s="853" t="s">
        <v>2487</v>
      </c>
      <c r="V94" s="853"/>
      <c r="W94" s="853"/>
      <c r="X94" s="853"/>
      <c r="Y94" s="1010"/>
      <c r="Z94" s="856"/>
      <c r="AA94" s="859" t="s">
        <v>2488</v>
      </c>
      <c r="AB94" s="856"/>
      <c r="AC94" s="856"/>
      <c r="AD94" s="856"/>
    </row>
    <row customHeight="1" ht="99">
      <c r="A95" s="855"/>
      <c r="B95" s="909">
        <v>78</v>
      </c>
      <c r="C95" s="853" t="s">
        <v>2489</v>
      </c>
      <c r="D95" s="977"/>
      <c r="E95" s="853"/>
      <c r="F95" s="853"/>
      <c r="G95" s="853"/>
      <c r="H95" s="901"/>
      <c r="I95" s="1015" t="str">
        <f>INDEX(TEMPLATE_NUMBER_POINT_FHD,B95,MATCH(TEMPLATE_SPHERE,TEMPLATE_SPHERE_LIST_FOR_NOTE,0))</f>
        <v>15</v>
      </c>
      <c r="J95" s="1015"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15">
        <f>INDEX(TEMPLATE_NOTE_POINT_FHD,B95,MATCH(TEMPLATE_SPHERE,TEMPLATE_SPHERE_LIST_FOR_NOTE,0))</f>
        <v>0</v>
      </c>
      <c r="L95" s="854" t="str">
        <f>IF(I95=0,"",I95)</f>
        <v>15</v>
      </c>
      <c r="M95" s="854"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54" t="str">
        <f>IF(K95=0,"",K95)</f>
        <v/>
      </c>
      <c r="O95" s="967" t="s">
        <v>1744</v>
      </c>
      <c r="P95" s="967"/>
      <c r="Q95" s="967"/>
      <c r="R95" s="967"/>
      <c r="S95" s="967"/>
      <c r="T95" s="853" t="s">
        <v>2490</v>
      </c>
      <c r="U95" s="853"/>
      <c r="V95" s="853"/>
      <c r="W95" s="853"/>
      <c r="X95" s="853"/>
      <c r="Y95" s="1010"/>
      <c r="Z95" s="856"/>
      <c r="AA95" s="859"/>
      <c r="AB95" s="856"/>
      <c r="AC95" s="856"/>
      <c r="AD95" s="856"/>
    </row>
    <row customHeight="1" ht="99">
      <c r="A96" s="855"/>
      <c r="B96" s="909">
        <v>79</v>
      </c>
      <c r="C96" s="853" t="s">
        <v>1431</v>
      </c>
      <c r="D96" s="977"/>
      <c r="E96" s="853"/>
      <c r="F96" s="853"/>
      <c r="G96" s="853"/>
      <c r="H96" s="901"/>
      <c r="I96" s="1015" t="str">
        <f>INDEX(TEMPLATE_NUMBER_POINT_FHD,B96,MATCH(TEMPLATE_SPHERE,TEMPLATE_SPHERE_LIST_FOR_NOTE,0))</f>
        <v>16</v>
      </c>
      <c r="J96" s="1015"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15"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54" t="str">
        <f>IF(I96=0,"",I96)</f>
        <v>16</v>
      </c>
      <c r="M96" s="854"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54"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7" t="s">
        <v>1750</v>
      </c>
      <c r="P96" s="967"/>
      <c r="Q96" s="967"/>
      <c r="R96" s="967"/>
      <c r="S96" s="967"/>
      <c r="T96" s="853" t="s">
        <v>2491</v>
      </c>
      <c r="U96" s="853"/>
      <c r="V96" s="853"/>
      <c r="W96" s="853"/>
      <c r="X96" s="853"/>
      <c r="Y96" s="1010"/>
      <c r="Z96" s="856" t="s">
        <v>2492</v>
      </c>
      <c r="AA96" s="859"/>
      <c r="AB96" s="856"/>
      <c r="AC96" s="856"/>
      <c r="AD96" s="856"/>
    </row>
    <row customHeight="1" ht="63">
      <c r="A97" s="855"/>
      <c r="B97" s="909">
        <v>80</v>
      </c>
      <c r="C97" s="853" t="s">
        <v>2493</v>
      </c>
      <c r="D97" s="977"/>
      <c r="E97" s="853"/>
      <c r="F97" s="853"/>
      <c r="G97" s="853"/>
      <c r="H97" s="901"/>
      <c r="I97" s="1015" t="str">
        <f>INDEX(TEMPLATE_NUMBER_POINT_FHD,B97,MATCH(TEMPLATE_SPHERE,TEMPLATE_SPHERE_LIST_FOR_NOTE,0))</f>
        <v>17</v>
      </c>
      <c r="J97" s="1015"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15"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54" t="str">
        <f>IF(I97=0,"",I97)</f>
        <v>17</v>
      </c>
      <c r="M97" s="854"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54" t="str">
        <f>IF(K97=0,"",K97)</f>
        <v>Регулируемыми организациями указывается информация с по договорам, заключенным в рамках осуществления регулируемой деятельности.</v>
      </c>
      <c r="O97" s="967" t="s">
        <v>1762</v>
      </c>
      <c r="P97" s="967"/>
      <c r="Q97" s="967"/>
      <c r="R97" s="967"/>
      <c r="S97" s="967"/>
      <c r="T97" s="853" t="s">
        <v>2494</v>
      </c>
      <c r="U97" s="853"/>
      <c r="V97" s="853"/>
      <c r="W97" s="853"/>
      <c r="X97" s="853"/>
      <c r="Y97" s="1010"/>
      <c r="Z97" s="856" t="s">
        <v>2495</v>
      </c>
      <c r="AA97" s="859"/>
      <c r="AB97" s="856"/>
      <c r="AC97" s="856"/>
      <c r="AD97" s="856"/>
    </row>
    <row customHeight="1" ht="63">
      <c r="A98" s="855"/>
      <c r="B98" s="909">
        <v>81</v>
      </c>
      <c r="C98" s="853" t="s">
        <v>2496</v>
      </c>
      <c r="D98" s="977"/>
      <c r="E98" s="853"/>
      <c r="F98" s="853"/>
      <c r="G98" s="853"/>
      <c r="H98" s="901"/>
      <c r="I98" s="1015" t="str">
        <f>INDEX(TEMPLATE_NUMBER_POINT_FHD,B98,MATCH(TEMPLATE_SPHERE,TEMPLATE_SPHERE_LIST_FOR_NOTE,0))</f>
        <v>18</v>
      </c>
      <c r="J98" s="1015"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15"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54" t="str">
        <f>IF(I98=0,"",I98)</f>
        <v>18</v>
      </c>
      <c r="M98" s="854"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54" t="str">
        <f>IF(K98=0,"",K98)</f>
        <v>Регулируемыми организациями указывается информация с по договорам, заключенным в рамках осуществления регулируемой деятельности.</v>
      </c>
      <c r="O98" s="967" t="s">
        <v>1776</v>
      </c>
      <c r="P98" s="967"/>
      <c r="Q98" s="967"/>
      <c r="R98" s="967"/>
      <c r="S98" s="967"/>
      <c r="T98" s="853" t="s">
        <v>2497</v>
      </c>
      <c r="U98" s="853"/>
      <c r="V98" s="853"/>
      <c r="W98" s="853"/>
      <c r="X98" s="853"/>
      <c r="Y98" s="1010"/>
      <c r="Z98" s="856" t="s">
        <v>2495</v>
      </c>
      <c r="AA98" s="859"/>
      <c r="AB98" s="856"/>
      <c r="AC98" s="856"/>
      <c r="AD98" s="856"/>
    </row>
    <row customHeight="1" ht="90">
      <c r="A99" s="855"/>
      <c r="B99" s="909">
        <v>82</v>
      </c>
      <c r="C99" s="853" t="s">
        <v>2498</v>
      </c>
      <c r="D99" s="977"/>
      <c r="E99" s="853"/>
      <c r="F99" s="853"/>
      <c r="G99" s="853"/>
      <c r="H99" s="901"/>
      <c r="I99" s="1015" t="str">
        <f>INDEX(TEMPLATE_NUMBER_POINT_FHD,B99,MATCH(TEMPLATE_SPHERE,TEMPLATE_SPHERE_LIST_FOR_NOTE,0))</f>
        <v>19</v>
      </c>
      <c r="J99" s="1015"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15" t="str">
        <f>INDEX(TEMPLATE_NOTE_POINT_FHD,B99,MATCH(TEMPLATE_SPHERE,TEMPLATE_SPHERE_LIST_FOR_NOTE,0))</f>
        <v>Указывается ссылка на документ, предварительно загруженный в хранилище файлов ФГИС ЕИАС.</v>
      </c>
      <c r="L99" s="854" t="str">
        <f>IF(I99=0,"",I99)</f>
        <v>19</v>
      </c>
      <c r="M99" s="854"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54" t="str">
        <f>IF(K99=0,"",K99)</f>
        <v>Указывается ссылка на документ, предварительно загруженный в хранилище файлов ФГИС ЕИАС.</v>
      </c>
      <c r="O99" s="967" t="s">
        <v>1788</v>
      </c>
      <c r="P99" s="967"/>
      <c r="Q99" s="967"/>
      <c r="R99" s="967"/>
      <c r="S99" s="967"/>
      <c r="T99" s="853" t="s">
        <v>2499</v>
      </c>
      <c r="U99" s="853"/>
      <c r="V99" s="853"/>
      <c r="W99" s="853"/>
      <c r="X99" s="853"/>
      <c r="Y99" s="1010"/>
      <c r="Z99" s="856" t="s">
        <v>656</v>
      </c>
      <c r="AA99" s="859"/>
      <c r="AB99" s="856"/>
      <c r="AC99" s="856"/>
      <c r="AD99" s="856"/>
    </row>
    <row customHeight="1" ht="27">
      <c r="A100" s="855"/>
      <c r="B100" s="909">
        <v>83</v>
      </c>
      <c r="C100" s="853"/>
      <c r="D100" s="977"/>
      <c r="E100" s="853"/>
      <c r="F100" s="853"/>
      <c r="G100" s="853"/>
      <c r="H100" s="901"/>
      <c r="I100" s="1015" t="str">
        <f>INDEX(TEMPLATE_NUMBER_POINT_FHD,B100,MATCH(TEMPLATE_SPHERE,TEMPLATE_SPHERE_LIST_FOR_NOTE,0))</f>
        <v>19.1</v>
      </c>
      <c r="J100" s="1015" t="str">
        <f>INDEX(TEMPLATE_DATA_POINT_FHD,B100,MATCH(TEMPLATE_SPHERE,TEMPLATE_SPHERE_LIST_FOR_NOTE,0))</f>
        <v>Информация о показателях физического износа объектов теплоснабжения</v>
      </c>
      <c r="K100" s="1015" t="str">
        <f>INDEX(TEMPLATE_NOTE_POINT_FHD,B100,MATCH(TEMPLATE_SPHERE,TEMPLATE_SPHERE_LIST_FOR_NOTE,0))</f>
        <v>Указывается ссылка на документ, предварительно загруженный в хранилище файлов ФГИС ЕИАС.</v>
      </c>
      <c r="L100" s="854" t="str">
        <f>IF(I100=0,"",I100)</f>
        <v>19.1</v>
      </c>
      <c r="M100" s="854" t="str">
        <f>IF(J100=0,"",J100)</f>
        <v>Информация о показателях физического износа объектов теплоснабжения</v>
      </c>
      <c r="N100" s="854" t="str">
        <f>IF(K100=0,"",K100)</f>
        <v>Указывается ссылка на документ, предварительно загруженный в хранилище файлов ФГИС ЕИАС.</v>
      </c>
      <c r="O100" s="967" t="s">
        <v>2500</v>
      </c>
      <c r="P100" s="967"/>
      <c r="Q100" s="967"/>
      <c r="R100" s="967"/>
      <c r="S100" s="967"/>
      <c r="T100" s="853" t="s">
        <v>2501</v>
      </c>
      <c r="U100" s="853"/>
      <c r="V100" s="853"/>
      <c r="W100" s="853"/>
      <c r="X100" s="853"/>
      <c r="Y100" s="1010"/>
      <c r="Z100" s="856" t="s">
        <v>656</v>
      </c>
      <c r="AA100" s="859"/>
      <c r="AB100" s="856"/>
      <c r="AC100" s="856"/>
      <c r="AD100" s="856"/>
    </row>
    <row customHeight="1" ht="27">
      <c r="A101" s="855"/>
      <c r="B101" s="909">
        <v>84</v>
      </c>
      <c r="C101" s="853"/>
      <c r="D101" s="977"/>
      <c r="E101" s="853"/>
      <c r="F101" s="853"/>
      <c r="G101" s="853"/>
      <c r="H101" s="901"/>
      <c r="I101" s="1015" t="str">
        <f>INDEX(TEMPLATE_NUMBER_POINT_FHD,B101,MATCH(TEMPLATE_SPHERE,TEMPLATE_SPHERE_LIST_FOR_NOTE,0))</f>
        <v>19.2</v>
      </c>
      <c r="J101" s="1015" t="str">
        <f>INDEX(TEMPLATE_DATA_POINT_FHD,B101,MATCH(TEMPLATE_SPHERE,TEMPLATE_SPHERE_LIST_FOR_NOTE,0))</f>
        <v>Информация о показателях энергетической эффективности объектов теплоснабжения</v>
      </c>
      <c r="K101" s="1015" t="str">
        <f>INDEX(TEMPLATE_NOTE_POINT_FHD,B101,MATCH(TEMPLATE_SPHERE,TEMPLATE_SPHERE_LIST_FOR_NOTE,0))</f>
        <v>Указывается ссылка на документ, предварительно загруженный в хранилище файлов ФГИС ЕИАС.</v>
      </c>
      <c r="L101" s="854" t="str">
        <f>IF(I101=0,"",I101)</f>
        <v>19.2</v>
      </c>
      <c r="M101" s="854" t="str">
        <f>IF(J101=0,"",J101)</f>
        <v>Информация о показателях энергетической эффективности объектов теплоснабжения</v>
      </c>
      <c r="N101" s="854" t="str">
        <f>IF(K101=0,"",K101)</f>
        <v>Указывается ссылка на документ, предварительно загруженный в хранилище файлов ФГИС ЕИАС.</v>
      </c>
      <c r="O101" s="967" t="s">
        <v>2502</v>
      </c>
      <c r="P101" s="967"/>
      <c r="Q101" s="967"/>
      <c r="R101" s="967"/>
      <c r="S101" s="967"/>
      <c r="T101" s="853" t="s">
        <v>2503</v>
      </c>
      <c r="U101" s="853"/>
      <c r="V101" s="853"/>
      <c r="W101" s="853"/>
      <c r="X101" s="853"/>
      <c r="Y101" s="1010"/>
      <c r="Z101" s="856" t="s">
        <v>656</v>
      </c>
      <c r="AA101" s="859"/>
      <c r="AB101" s="856"/>
      <c r="AC101" s="856"/>
      <c r="AD101" s="856"/>
    </row>
    <row customHeight="1" ht="9">
      <c r="A102" s="855"/>
      <c r="B102" s="855"/>
      <c r="C102" s="853"/>
      <c r="D102" s="853"/>
      <c r="E102" s="853"/>
      <c r="F102" s="853"/>
      <c r="G102" s="853"/>
      <c r="H102" s="901"/>
      <c r="I102" s="901"/>
      <c r="J102" s="901"/>
      <c r="K102" s="901"/>
      <c r="L102" s="901"/>
      <c r="M102" s="853"/>
      <c r="N102" s="900"/>
      <c r="O102" s="967"/>
      <c r="P102" s="967"/>
      <c r="Q102" s="967"/>
      <c r="R102" s="967"/>
      <c r="S102" s="853"/>
      <c r="T102" s="853"/>
      <c r="U102" s="853"/>
      <c r="V102" s="853"/>
      <c r="W102" s="853"/>
      <c r="X102" s="853"/>
      <c r="Y102" s="1010"/>
      <c r="Z102" s="856"/>
      <c r="AA102" s="859"/>
      <c r="AB102" s="856"/>
      <c r="AC102" s="856"/>
      <c r="AD102" s="856"/>
    </row>
    <row customHeight="1" ht="9">
      <c r="A103" s="855"/>
      <c r="B103" s="855"/>
      <c r="C103" s="853"/>
      <c r="D103" s="853"/>
      <c r="E103" s="853"/>
      <c r="F103" s="853"/>
      <c r="G103" s="853"/>
      <c r="H103" s="901"/>
      <c r="I103" s="901"/>
      <c r="J103" s="901"/>
      <c r="K103" s="901"/>
      <c r="L103" s="901"/>
      <c r="M103" s="853"/>
      <c r="N103" s="900"/>
      <c r="O103" s="967"/>
      <c r="P103" s="967"/>
      <c r="Q103" s="967"/>
      <c r="R103" s="967"/>
      <c r="S103" s="853"/>
      <c r="T103" s="853"/>
      <c r="U103" s="853"/>
      <c r="V103" s="853"/>
      <c r="W103" s="853"/>
      <c r="X103" s="853"/>
      <c r="Y103" s="1010"/>
      <c r="Z103" s="856"/>
      <c r="AA103" s="859"/>
      <c r="AB103" s="856"/>
      <c r="AC103" s="856"/>
      <c r="AD103" s="856"/>
    </row>
    <row customHeight="1" ht="9">
      <c r="A104" s="855"/>
      <c r="B104" s="855"/>
      <c r="C104" s="853"/>
      <c r="D104" s="853"/>
      <c r="E104" s="853"/>
      <c r="F104" s="853"/>
      <c r="G104" s="853"/>
      <c r="H104" s="901"/>
      <c r="I104" s="901"/>
      <c r="J104" s="901"/>
      <c r="K104" s="901"/>
      <c r="L104" s="901"/>
      <c r="M104" s="853"/>
      <c r="N104" s="900"/>
      <c r="O104" s="967"/>
      <c r="P104" s="967"/>
      <c r="Q104" s="967"/>
      <c r="R104" s="967"/>
      <c r="S104" s="853"/>
      <c r="T104" s="853"/>
      <c r="U104" s="853"/>
      <c r="V104" s="853"/>
      <c r="W104" s="853"/>
      <c r="X104" s="853"/>
      <c r="Y104" s="1010"/>
      <c r="Z104" s="856"/>
      <c r="AA104" s="859"/>
      <c r="AB104" s="856"/>
      <c r="AC104" s="856"/>
      <c r="AD104" s="856"/>
    </row>
    <row customHeight="1" ht="9">
      <c r="A105" s="855"/>
      <c r="B105" s="855"/>
      <c r="C105" s="853"/>
      <c r="D105" s="853"/>
      <c r="E105" s="853"/>
      <c r="F105" s="853"/>
      <c r="G105" s="853"/>
      <c r="H105" s="901"/>
      <c r="I105" s="901"/>
      <c r="J105" s="901"/>
      <c r="K105" s="901"/>
      <c r="L105" s="901"/>
      <c r="M105" s="853"/>
      <c r="N105" s="900"/>
      <c r="O105" s="967"/>
      <c r="P105" s="967"/>
      <c r="Q105" s="967"/>
      <c r="R105" s="967"/>
      <c r="S105" s="853"/>
      <c r="T105" s="853"/>
      <c r="U105" s="853"/>
      <c r="V105" s="853"/>
      <c r="W105" s="853"/>
      <c r="X105" s="853"/>
      <c r="Y105" s="1010"/>
      <c r="Z105" s="856"/>
      <c r="AA105" s="859"/>
      <c r="AB105" s="856"/>
      <c r="AC105" s="856"/>
      <c r="AD105" s="856"/>
    </row>
    <row customHeight="1" ht="9">
      <c r="A106" s="855"/>
      <c r="B106" s="855"/>
      <c r="C106" s="853"/>
      <c r="D106" s="853"/>
      <c r="E106" s="853"/>
      <c r="F106" s="853"/>
      <c r="G106" s="853"/>
      <c r="H106" s="901"/>
      <c r="I106" s="901"/>
      <c r="J106" s="901"/>
      <c r="K106" s="901"/>
      <c r="L106" s="901"/>
      <c r="M106" s="853"/>
      <c r="N106" s="900"/>
      <c r="O106" s="967"/>
      <c r="P106" s="967"/>
      <c r="Q106" s="967"/>
      <c r="R106" s="967"/>
      <c r="S106" s="853"/>
      <c r="T106" s="853"/>
      <c r="U106" s="853"/>
      <c r="V106" s="853"/>
      <c r="W106" s="853"/>
      <c r="X106" s="853"/>
      <c r="Y106" s="1010"/>
      <c r="Z106" s="856"/>
      <c r="AA106" s="859"/>
      <c r="AB106" s="856"/>
      <c r="AC106" s="856"/>
      <c r="AD106" s="856"/>
    </row>
    <row customHeight="1" ht="9">
      <c r="A107" s="855"/>
      <c r="B107" s="855"/>
      <c r="C107" s="853"/>
      <c r="D107" s="853"/>
      <c r="E107" s="853"/>
      <c r="F107" s="853"/>
      <c r="G107" s="853"/>
      <c r="H107" s="901"/>
      <c r="I107" s="901"/>
      <c r="J107" s="901"/>
      <c r="K107" s="901"/>
      <c r="L107" s="901"/>
      <c r="M107" s="853"/>
      <c r="N107" s="900"/>
      <c r="O107" s="967"/>
      <c r="P107" s="967"/>
      <c r="Q107" s="967"/>
      <c r="R107" s="967"/>
      <c r="S107" s="853"/>
      <c r="T107" s="853"/>
      <c r="U107" s="853"/>
      <c r="V107" s="853"/>
      <c r="W107" s="853"/>
      <c r="X107" s="853"/>
      <c r="Y107" s="1010"/>
      <c r="Z107" s="856"/>
      <c r="AA107" s="859"/>
      <c r="AB107" s="856"/>
      <c r="AC107" s="856"/>
      <c r="AD107" s="856"/>
    </row>
    <row customHeight="1" ht="9">
      <c r="A108" s="855"/>
      <c r="B108" s="855"/>
      <c r="C108" s="853"/>
      <c r="D108" s="853"/>
      <c r="E108" s="853"/>
      <c r="F108" s="853"/>
      <c r="G108" s="853"/>
      <c r="H108" s="901"/>
      <c r="I108" s="901"/>
      <c r="J108" s="901"/>
      <c r="K108" s="901"/>
      <c r="L108" s="901"/>
      <c r="M108" s="853"/>
      <c r="N108" s="900"/>
      <c r="O108" s="967"/>
      <c r="P108" s="967"/>
      <c r="Q108" s="967"/>
      <c r="R108" s="967"/>
      <c r="S108" s="853"/>
      <c r="T108" s="853"/>
      <c r="U108" s="853"/>
      <c r="V108" s="853"/>
      <c r="W108" s="853"/>
      <c r="X108" s="853"/>
      <c r="Y108" s="1010"/>
      <c r="Z108" s="856"/>
      <c r="AA108" s="859"/>
      <c r="AB108" s="856"/>
      <c r="AC108" s="856"/>
      <c r="AD108" s="856"/>
    </row>
    <row customHeight="1" ht="9">
      <c r="A109" s="855"/>
      <c r="B109" s="855"/>
      <c r="C109" s="853"/>
      <c r="D109" s="853"/>
      <c r="E109" s="853"/>
      <c r="F109" s="853"/>
      <c r="G109" s="853"/>
      <c r="H109" s="901"/>
      <c r="I109" s="901"/>
      <c r="J109" s="901"/>
      <c r="K109" s="901"/>
      <c r="L109" s="901"/>
      <c r="M109" s="853"/>
      <c r="N109" s="900"/>
      <c r="O109" s="967"/>
      <c r="P109" s="967"/>
      <c r="Q109" s="967"/>
      <c r="R109" s="967"/>
      <c r="S109" s="853"/>
      <c r="T109" s="853"/>
      <c r="U109" s="853"/>
      <c r="V109" s="853"/>
      <c r="W109" s="853"/>
      <c r="X109" s="853"/>
      <c r="Y109" s="1010"/>
      <c r="Z109" s="856"/>
      <c r="AA109" s="859"/>
      <c r="AB109" s="856"/>
      <c r="AC109" s="856"/>
      <c r="AD109" s="856"/>
    </row>
    <row customHeight="1" ht="9">
      <c r="A110" s="855"/>
      <c r="B110" s="855"/>
      <c r="C110" s="853"/>
      <c r="D110" s="853"/>
      <c r="E110" s="853"/>
      <c r="F110" s="853"/>
      <c r="G110" s="853"/>
      <c r="H110" s="901"/>
      <c r="I110" s="901"/>
      <c r="J110" s="901"/>
      <c r="K110" s="901"/>
      <c r="L110" s="901"/>
      <c r="M110" s="853"/>
      <c r="N110" s="900"/>
      <c r="O110" s="967"/>
      <c r="P110" s="967"/>
      <c r="Q110" s="967"/>
      <c r="R110" s="967"/>
      <c r="S110" s="853"/>
      <c r="T110" s="853"/>
      <c r="U110" s="853"/>
      <c r="V110" s="853"/>
      <c r="W110" s="853"/>
      <c r="X110" s="853"/>
      <c r="Y110" s="1010"/>
      <c r="Z110" s="856"/>
      <c r="AA110" s="859"/>
      <c r="AB110" s="856"/>
      <c r="AC110" s="856"/>
      <c r="AD110" s="856"/>
    </row>
    <row customHeight="1" ht="9">
      <c r="A111" s="855"/>
      <c r="B111" s="855"/>
      <c r="C111" s="853"/>
      <c r="D111" s="853"/>
      <c r="E111" s="853"/>
      <c r="F111" s="853"/>
      <c r="G111" s="853"/>
      <c r="H111" s="901"/>
      <c r="I111" s="901"/>
      <c r="J111" s="901"/>
      <c r="K111" s="901"/>
      <c r="L111" s="901"/>
      <c r="M111" s="853"/>
      <c r="N111" s="900"/>
      <c r="O111" s="967"/>
      <c r="P111" s="967"/>
      <c r="Q111" s="967"/>
      <c r="R111" s="967"/>
      <c r="S111" s="853"/>
      <c r="T111" s="853"/>
      <c r="U111" s="853"/>
      <c r="V111" s="853"/>
      <c r="W111" s="853"/>
      <c r="X111" s="853"/>
      <c r="Y111" s="1010"/>
      <c r="Z111" s="856"/>
      <c r="AA111" s="859"/>
      <c r="AB111" s="856"/>
      <c r="AC111" s="856"/>
      <c r="AD111" s="856"/>
    </row>
    <row customHeight="1" ht="9">
      <c r="A112" s="855"/>
      <c r="B112" s="855"/>
      <c r="C112" s="853"/>
      <c r="D112" s="853"/>
      <c r="E112" s="853"/>
      <c r="F112" s="853"/>
      <c r="G112" s="853"/>
      <c r="H112" s="901"/>
      <c r="I112" s="901"/>
      <c r="J112" s="901"/>
      <c r="K112" s="901"/>
      <c r="L112" s="901"/>
      <c r="M112" s="853"/>
      <c r="N112" s="900"/>
      <c r="O112" s="967"/>
      <c r="P112" s="967"/>
      <c r="Q112" s="967"/>
      <c r="R112" s="967"/>
      <c r="S112" s="853"/>
      <c r="T112" s="853"/>
      <c r="U112" s="853"/>
      <c r="V112" s="853"/>
      <c r="W112" s="853"/>
      <c r="X112" s="853"/>
      <c r="Y112" s="1010"/>
      <c r="Z112" s="856"/>
      <c r="AA112" s="859"/>
      <c r="AB112" s="856"/>
      <c r="AC112" s="856"/>
      <c r="AD112" s="856"/>
    </row>
    <row customHeight="1" ht="9">
      <c r="A113" s="855"/>
      <c r="B113" s="855"/>
      <c r="C113" s="853"/>
      <c r="D113" s="853"/>
      <c r="E113" s="853"/>
      <c r="F113" s="853"/>
      <c r="G113" s="853"/>
      <c r="H113" s="901"/>
      <c r="I113" s="901"/>
      <c r="J113" s="901"/>
      <c r="K113" s="901"/>
      <c r="L113" s="901"/>
      <c r="M113" s="853"/>
      <c r="N113" s="900"/>
      <c r="O113" s="967"/>
      <c r="P113" s="967"/>
      <c r="Q113" s="967"/>
      <c r="R113" s="967"/>
      <c r="S113" s="853"/>
      <c r="T113" s="853"/>
      <c r="U113" s="853"/>
      <c r="V113" s="853"/>
      <c r="W113" s="853"/>
      <c r="X113" s="853"/>
      <c r="Y113" s="1010"/>
      <c r="Z113" s="856"/>
      <c r="AA113" s="859"/>
      <c r="AB113" s="856"/>
      <c r="AC113" s="856"/>
      <c r="AD113" s="856"/>
    </row>
    <row customHeight="1" ht="9">
      <c r="A114" s="855"/>
      <c r="B114" s="855"/>
      <c r="C114" s="853"/>
      <c r="D114" s="853"/>
      <c r="E114" s="853"/>
      <c r="F114" s="853"/>
      <c r="G114" s="853"/>
      <c r="H114" s="901"/>
      <c r="I114" s="901"/>
      <c r="J114" s="901"/>
      <c r="K114" s="901"/>
      <c r="L114" s="901"/>
      <c r="M114" s="853"/>
      <c r="N114" s="900"/>
      <c r="O114" s="967"/>
      <c r="P114" s="967"/>
      <c r="Q114" s="967"/>
      <c r="R114" s="967"/>
      <c r="S114" s="853"/>
      <c r="T114" s="853"/>
      <c r="U114" s="853"/>
      <c r="V114" s="853"/>
      <c r="W114" s="853"/>
      <c r="X114" s="853"/>
      <c r="Y114" s="1010"/>
      <c r="Z114" s="856"/>
      <c r="AA114" s="859"/>
      <c r="AB114" s="856"/>
      <c r="AC114" s="856"/>
      <c r="AD114" s="856"/>
    </row>
    <row customHeight="1" ht="9">
      <c r="A115" s="855"/>
      <c r="B115" s="855"/>
      <c r="C115" s="853"/>
      <c r="D115" s="853"/>
      <c r="E115" s="853"/>
      <c r="F115" s="853"/>
      <c r="G115" s="853"/>
      <c r="H115" s="901"/>
      <c r="I115" s="901"/>
      <c r="J115" s="901"/>
      <c r="K115" s="901"/>
      <c r="L115" s="901"/>
      <c r="M115" s="853"/>
      <c r="N115" s="900"/>
      <c r="O115" s="967"/>
      <c r="P115" s="967"/>
      <c r="Q115" s="967"/>
      <c r="R115" s="967"/>
      <c r="S115" s="853"/>
      <c r="T115" s="853"/>
      <c r="U115" s="853"/>
      <c r="V115" s="853"/>
      <c r="W115" s="853"/>
      <c r="X115" s="853"/>
      <c r="Y115" s="1010"/>
      <c r="Z115" s="856"/>
      <c r="AA115" s="859"/>
      <c r="AB115" s="856"/>
      <c r="AC115" s="856"/>
      <c r="AD115" s="856"/>
    </row>
    <row customHeight="1" ht="9">
      <c r="A116" s="855"/>
      <c r="B116" s="855"/>
      <c r="C116" s="853"/>
      <c r="D116" s="853"/>
      <c r="E116" s="853"/>
      <c r="F116" s="853"/>
      <c r="G116" s="853"/>
      <c r="H116" s="901"/>
      <c r="I116" s="901"/>
      <c r="J116" s="901"/>
      <c r="K116" s="901"/>
      <c r="L116" s="901"/>
      <c r="M116" s="853"/>
      <c r="N116" s="900"/>
      <c r="O116" s="967"/>
      <c r="P116" s="967"/>
      <c r="Q116" s="967"/>
      <c r="R116" s="967"/>
      <c r="S116" s="853"/>
      <c r="T116" s="853"/>
      <c r="U116" s="853"/>
      <c r="V116" s="853"/>
      <c r="W116" s="853"/>
      <c r="X116" s="853"/>
      <c r="Y116" s="1010"/>
      <c r="Z116" s="856"/>
      <c r="AA116" s="859"/>
      <c r="AB116" s="856"/>
      <c r="AC116" s="856"/>
      <c r="AD116" s="856"/>
    </row>
    <row customHeight="1" ht="9">
      <c r="A117" s="855"/>
      <c r="B117" s="855"/>
      <c r="C117" s="853"/>
      <c r="D117" s="853"/>
      <c r="E117" s="853"/>
      <c r="F117" s="853"/>
      <c r="G117" s="853"/>
      <c r="H117" s="901"/>
      <c r="I117" s="901"/>
      <c r="J117" s="901"/>
      <c r="K117" s="901"/>
      <c r="L117" s="901"/>
      <c r="M117" s="853"/>
      <c r="N117" s="900"/>
      <c r="O117" s="967"/>
      <c r="P117" s="967"/>
      <c r="Q117" s="967"/>
      <c r="R117" s="967"/>
      <c r="S117" s="853"/>
      <c r="T117" s="853"/>
      <c r="U117" s="853"/>
      <c r="V117" s="853"/>
      <c r="W117" s="853"/>
      <c r="X117" s="853"/>
      <c r="Y117" s="1010"/>
      <c r="Z117" s="856"/>
      <c r="AA117" s="859"/>
      <c r="AB117" s="856"/>
      <c r="AC117" s="856"/>
      <c r="AD117" s="856"/>
    </row>
    <row customHeight="1" ht="9">
      <c r="A118" s="855"/>
      <c r="B118" s="855"/>
      <c r="C118" s="853"/>
      <c r="D118" s="853"/>
      <c r="E118" s="853"/>
      <c r="F118" s="853"/>
      <c r="G118" s="853"/>
      <c r="H118" s="901"/>
      <c r="I118" s="901"/>
      <c r="J118" s="901"/>
      <c r="K118" s="901"/>
      <c r="L118" s="901"/>
      <c r="M118" s="853"/>
      <c r="N118" s="900"/>
      <c r="O118" s="967"/>
      <c r="P118" s="967"/>
      <c r="Q118" s="967"/>
      <c r="R118" s="967"/>
      <c r="S118" s="853"/>
      <c r="T118" s="853"/>
      <c r="U118" s="853"/>
      <c r="V118" s="853"/>
      <c r="W118" s="853"/>
      <c r="X118" s="853"/>
      <c r="Y118" s="1010"/>
      <c r="Z118" s="856"/>
      <c r="AA118" s="859"/>
      <c r="AB118" s="856"/>
      <c r="AC118" s="856"/>
      <c r="AD118" s="856"/>
    </row>
    <row customHeight="1" ht="9">
      <c r="A119" s="855"/>
      <c r="B119" s="855"/>
      <c r="C119" s="853"/>
      <c r="D119" s="853"/>
      <c r="E119" s="853"/>
      <c r="F119" s="853"/>
      <c r="G119" s="853"/>
      <c r="H119" s="901"/>
      <c r="I119" s="901"/>
      <c r="J119" s="901"/>
      <c r="K119" s="901"/>
      <c r="L119" s="901"/>
      <c r="M119" s="853"/>
      <c r="N119" s="900"/>
      <c r="O119" s="967"/>
      <c r="P119" s="967"/>
      <c r="Q119" s="967"/>
      <c r="R119" s="967"/>
      <c r="S119" s="853"/>
      <c r="T119" s="853"/>
      <c r="U119" s="853"/>
      <c r="V119" s="853"/>
      <c r="W119" s="853"/>
      <c r="X119" s="853"/>
      <c r="Y119" s="1010"/>
      <c r="Z119" s="856"/>
      <c r="AA119" s="859"/>
      <c r="AB119" s="856"/>
      <c r="AC119" s="856"/>
      <c r="AD119" s="856"/>
    </row>
    <row customHeight="1" ht="9">
      <c r="A120" s="855"/>
      <c r="B120" s="855"/>
      <c r="C120" s="853"/>
      <c r="D120" s="853"/>
      <c r="E120" s="853"/>
      <c r="F120" s="853"/>
      <c r="G120" s="853"/>
      <c r="H120" s="901"/>
      <c r="I120" s="901"/>
      <c r="J120" s="901"/>
      <c r="K120" s="901"/>
      <c r="L120" s="901"/>
      <c r="M120" s="853"/>
      <c r="N120" s="900"/>
      <c r="O120" s="967"/>
      <c r="P120" s="967"/>
      <c r="Q120" s="967"/>
      <c r="R120" s="967"/>
      <c r="S120" s="853"/>
      <c r="T120" s="853"/>
      <c r="U120" s="853"/>
      <c r="V120" s="853"/>
      <c r="W120" s="853"/>
      <c r="X120" s="853"/>
      <c r="Y120" s="1010"/>
      <c r="Z120" s="856"/>
      <c r="AA120" s="859"/>
      <c r="AB120" s="856"/>
      <c r="AC120" s="856"/>
      <c r="AD120" s="856"/>
    </row>
    <row customHeight="1" ht="9">
      <c r="A121" s="855"/>
      <c r="B121" s="855"/>
      <c r="C121" s="853"/>
      <c r="D121" s="853"/>
      <c r="E121" s="853"/>
      <c r="F121" s="853"/>
      <c r="G121" s="853"/>
      <c r="H121" s="901"/>
      <c r="I121" s="901"/>
      <c r="J121" s="901"/>
      <c r="K121" s="901"/>
      <c r="L121" s="901"/>
      <c r="M121" s="853"/>
      <c r="N121" s="900"/>
      <c r="O121" s="967"/>
      <c r="P121" s="967"/>
      <c r="Q121" s="967"/>
      <c r="R121" s="967"/>
      <c r="S121" s="853"/>
      <c r="T121" s="853"/>
      <c r="U121" s="853"/>
      <c r="V121" s="853"/>
      <c r="W121" s="853"/>
      <c r="X121" s="853"/>
      <c r="Y121" s="1010"/>
      <c r="Z121" s="856"/>
      <c r="AA121" s="859"/>
      <c r="AB121" s="856"/>
      <c r="AC121" s="856"/>
      <c r="AD121" s="856"/>
    </row>
    <row customHeight="1" ht="9">
      <c r="A122" s="855"/>
      <c r="B122" s="855"/>
      <c r="C122" s="853"/>
      <c r="D122" s="853"/>
      <c r="E122" s="853"/>
      <c r="F122" s="853"/>
      <c r="G122" s="853"/>
      <c r="H122" s="901"/>
      <c r="I122" s="901"/>
      <c r="J122" s="901"/>
      <c r="K122" s="901"/>
      <c r="L122" s="901"/>
      <c r="M122" s="853"/>
      <c r="N122" s="900"/>
      <c r="O122" s="967"/>
      <c r="P122" s="967"/>
      <c r="Q122" s="967"/>
      <c r="R122" s="967"/>
      <c r="S122" s="853"/>
      <c r="T122" s="853"/>
      <c r="U122" s="853"/>
      <c r="V122" s="853"/>
      <c r="W122" s="853"/>
      <c r="X122" s="853"/>
      <c r="Y122" s="1010"/>
      <c r="Z122" s="856"/>
      <c r="AA122" s="859"/>
      <c r="AB122" s="856"/>
      <c r="AC122" s="856"/>
      <c r="AD122" s="856"/>
    </row>
    <row customHeight="1" ht="9">
      <c r="A123" s="855"/>
      <c r="B123" s="855"/>
      <c r="C123" s="853"/>
      <c r="D123" s="853"/>
      <c r="E123" s="853"/>
      <c r="F123" s="853"/>
      <c r="G123" s="853"/>
      <c r="H123" s="901"/>
      <c r="I123" s="901"/>
      <c r="J123" s="901"/>
      <c r="K123" s="901"/>
      <c r="L123" s="901"/>
      <c r="M123" s="853"/>
      <c r="N123" s="900"/>
      <c r="O123" s="967"/>
      <c r="P123" s="967"/>
      <c r="Q123" s="967"/>
      <c r="R123" s="967"/>
      <c r="S123" s="853"/>
      <c r="T123" s="853"/>
      <c r="U123" s="853"/>
      <c r="V123" s="853"/>
      <c r="W123" s="853"/>
      <c r="X123" s="853"/>
      <c r="Y123" s="1010"/>
      <c r="Z123" s="856"/>
      <c r="AA123" s="859"/>
      <c r="AB123" s="856"/>
      <c r="AC123" s="856"/>
      <c r="AD123" s="856"/>
    </row>
    <row customHeight="1" ht="9">
      <c r="A124" s="855"/>
      <c r="B124" s="855"/>
      <c r="C124" s="853"/>
      <c r="D124" s="853"/>
      <c r="E124" s="853"/>
      <c r="F124" s="853"/>
      <c r="G124" s="853"/>
      <c r="H124" s="901"/>
      <c r="I124" s="901"/>
      <c r="J124" s="901"/>
      <c r="K124" s="901"/>
      <c r="L124" s="901"/>
      <c r="M124" s="853"/>
      <c r="N124" s="900"/>
      <c r="O124" s="967"/>
      <c r="P124" s="967"/>
      <c r="Q124" s="967"/>
      <c r="R124" s="967"/>
      <c r="S124" s="853"/>
      <c r="T124" s="853"/>
      <c r="U124" s="853"/>
      <c r="V124" s="853"/>
      <c r="W124" s="853"/>
      <c r="X124" s="853"/>
      <c r="Y124" s="1010"/>
      <c r="Z124" s="856"/>
      <c r="AA124" s="859"/>
      <c r="AB124" s="856"/>
      <c r="AC124" s="856"/>
      <c r="AD124" s="856"/>
    </row>
    <row customHeight="1" ht="9">
      <c r="A125" s="855"/>
      <c r="B125" s="855"/>
      <c r="C125" s="853"/>
      <c r="D125" s="853"/>
      <c r="E125" s="853"/>
      <c r="F125" s="853"/>
      <c r="G125" s="853"/>
      <c r="H125" s="901"/>
      <c r="I125" s="901"/>
      <c r="J125" s="901"/>
      <c r="K125" s="901"/>
      <c r="L125" s="901"/>
      <c r="M125" s="853"/>
      <c r="N125" s="900"/>
      <c r="O125" s="967"/>
      <c r="P125" s="967"/>
      <c r="Q125" s="967"/>
      <c r="R125" s="967"/>
      <c r="S125" s="853"/>
      <c r="T125" s="853"/>
      <c r="U125" s="853"/>
      <c r="V125" s="853"/>
      <c r="W125" s="853"/>
      <c r="X125" s="853"/>
      <c r="Y125" s="1010"/>
      <c r="Z125" s="856"/>
      <c r="AA125" s="859"/>
      <c r="AB125" s="856"/>
      <c r="AC125" s="856"/>
      <c r="AD125" s="856"/>
    </row>
    <row customHeight="1" ht="9">
      <c r="A126" s="855"/>
      <c r="B126" s="855"/>
      <c r="C126" s="853"/>
      <c r="D126" s="853"/>
      <c r="E126" s="853"/>
      <c r="F126" s="853"/>
      <c r="G126" s="853"/>
      <c r="H126" s="901"/>
      <c r="I126" s="901"/>
      <c r="J126" s="901"/>
      <c r="K126" s="901"/>
      <c r="L126" s="901"/>
      <c r="M126" s="853"/>
      <c r="N126" s="900"/>
      <c r="O126" s="967"/>
      <c r="P126" s="967"/>
      <c r="Q126" s="967"/>
      <c r="R126" s="967"/>
      <c r="S126" s="853"/>
      <c r="T126" s="853"/>
      <c r="U126" s="853"/>
      <c r="V126" s="853"/>
      <c r="W126" s="853"/>
      <c r="X126" s="853"/>
      <c r="Y126" s="1010"/>
      <c r="Z126" s="856"/>
      <c r="AA126" s="859"/>
      <c r="AB126" s="856"/>
      <c r="AC126" s="856"/>
      <c r="AD126" s="856"/>
    </row>
    <row customHeight="1" ht="9">
      <c r="A127" s="855"/>
      <c r="B127" s="855"/>
      <c r="C127" s="853"/>
      <c r="D127" s="853"/>
      <c r="E127" s="853"/>
      <c r="F127" s="853"/>
      <c r="G127" s="853"/>
      <c r="H127" s="901"/>
      <c r="I127" s="901"/>
      <c r="J127" s="901"/>
      <c r="K127" s="901"/>
      <c r="L127" s="901"/>
      <c r="M127" s="853"/>
      <c r="N127" s="900"/>
      <c r="O127" s="967"/>
      <c r="P127" s="967"/>
      <c r="Q127" s="967"/>
      <c r="R127" s="967"/>
      <c r="S127" s="853"/>
      <c r="T127" s="853"/>
      <c r="U127" s="853"/>
      <c r="V127" s="853"/>
      <c r="W127" s="853"/>
      <c r="X127" s="853"/>
      <c r="Y127" s="1010"/>
      <c r="Z127" s="856"/>
      <c r="AA127" s="859"/>
      <c r="AB127" s="856"/>
      <c r="AC127" s="856"/>
      <c r="AD127" s="856"/>
    </row>
    <row customHeight="1" ht="9">
      <c r="A128" s="855"/>
      <c r="B128" s="855"/>
      <c r="C128" s="853"/>
      <c r="D128" s="853"/>
      <c r="E128" s="853"/>
      <c r="F128" s="853"/>
      <c r="G128" s="853"/>
      <c r="H128" s="901"/>
      <c r="I128" s="901"/>
      <c r="J128" s="901"/>
      <c r="K128" s="901"/>
      <c r="L128" s="901"/>
      <c r="M128" s="853"/>
      <c r="N128" s="900"/>
      <c r="O128" s="967"/>
      <c r="P128" s="967"/>
      <c r="Q128" s="967"/>
      <c r="R128" s="967"/>
      <c r="S128" s="853"/>
      <c r="T128" s="853"/>
      <c r="U128" s="853"/>
      <c r="V128" s="853"/>
      <c r="W128" s="853"/>
      <c r="X128" s="853"/>
      <c r="Y128" s="1010"/>
      <c r="Z128" s="856"/>
      <c r="AA128" s="859"/>
      <c r="AB128" s="856"/>
      <c r="AC128" s="856"/>
      <c r="AD128" s="856"/>
    </row>
    <row customHeight="1" ht="9">
      <c r="A129" s="855"/>
      <c r="B129" s="855"/>
      <c r="C129" s="853"/>
      <c r="D129" s="853"/>
      <c r="E129" s="853"/>
      <c r="F129" s="853"/>
      <c r="G129" s="853"/>
      <c r="H129" s="901"/>
      <c r="I129" s="901"/>
      <c r="J129" s="901"/>
      <c r="K129" s="901"/>
      <c r="L129" s="901"/>
      <c r="M129" s="853"/>
      <c r="N129" s="900"/>
      <c r="O129" s="967"/>
      <c r="P129" s="967"/>
      <c r="Q129" s="967"/>
      <c r="R129" s="967"/>
      <c r="S129" s="853"/>
      <c r="T129" s="853"/>
      <c r="U129" s="853"/>
      <c r="V129" s="853"/>
      <c r="W129" s="853"/>
      <c r="X129" s="853"/>
      <c r="Y129" s="1010"/>
      <c r="Z129" s="856"/>
      <c r="AA129" s="859"/>
      <c r="AB129" s="856"/>
      <c r="AC129" s="856"/>
      <c r="AD129" s="856"/>
    </row>
    <row customHeight="1" ht="9">
      <c r="A130" s="855"/>
      <c r="B130" s="855"/>
      <c r="C130" s="853"/>
      <c r="D130" s="853"/>
      <c r="E130" s="853"/>
      <c r="F130" s="853"/>
      <c r="G130" s="853"/>
      <c r="H130" s="901"/>
      <c r="I130" s="901"/>
      <c r="J130" s="901"/>
      <c r="K130" s="901"/>
      <c r="L130" s="901"/>
      <c r="M130" s="853"/>
      <c r="N130" s="900"/>
      <c r="O130" s="969"/>
      <c r="P130" s="969"/>
      <c r="Q130" s="969"/>
      <c r="R130" s="969"/>
      <c r="S130" s="853"/>
      <c r="T130" s="853"/>
      <c r="U130" s="853"/>
      <c r="V130" s="853"/>
      <c r="W130" s="853"/>
      <c r="X130" s="853"/>
      <c r="Y130" s="1010"/>
      <c r="Z130" s="856"/>
      <c r="AA130" s="859"/>
      <c r="AB130" s="856"/>
      <c r="AC130" s="856"/>
      <c r="AD130" s="856"/>
    </row>
    <row customHeight="1" ht="9">
      <c r="A131" s="855"/>
      <c r="B131" s="855"/>
      <c r="C131" s="853"/>
      <c r="D131" s="853"/>
      <c r="E131" s="853"/>
      <c r="F131" s="853"/>
      <c r="G131" s="853"/>
      <c r="H131" s="901"/>
      <c r="I131" s="901"/>
      <c r="J131" s="901"/>
      <c r="K131" s="901"/>
      <c r="L131" s="901"/>
      <c r="M131" s="853"/>
      <c r="N131" s="900"/>
      <c r="O131" s="970"/>
      <c r="P131" s="970"/>
      <c r="Q131" s="970"/>
      <c r="R131" s="970"/>
      <c r="S131" s="853"/>
      <c r="T131" s="853"/>
      <c r="U131" s="853"/>
      <c r="V131" s="853"/>
      <c r="W131" s="853"/>
      <c r="X131" s="853"/>
      <c r="Y131" s="1010"/>
      <c r="Z131" s="856"/>
      <c r="AA131" s="859"/>
      <c r="AB131" s="856"/>
      <c r="AC131" s="856"/>
      <c r="AD131" s="856"/>
    </row>
    <row customHeight="1" ht="9">
      <c r="A132" s="855"/>
      <c r="B132" s="855"/>
      <c r="C132" s="853"/>
      <c r="D132" s="853"/>
      <c r="E132" s="853"/>
      <c r="F132" s="853"/>
      <c r="G132" s="853"/>
      <c r="H132" s="901"/>
      <c r="I132" s="901"/>
      <c r="J132" s="901"/>
      <c r="K132" s="901"/>
      <c r="L132" s="901"/>
      <c r="M132" s="853"/>
      <c r="N132" s="900"/>
      <c r="O132" s="969"/>
      <c r="P132" s="969"/>
      <c r="Q132" s="969"/>
      <c r="R132" s="969"/>
      <c r="S132" s="853"/>
      <c r="T132" s="853"/>
      <c r="U132" s="853"/>
      <c r="V132" s="853"/>
      <c r="W132" s="853"/>
      <c r="X132" s="853"/>
      <c r="Y132" s="1010"/>
      <c r="Z132" s="856"/>
      <c r="AA132" s="859"/>
      <c r="AB132" s="856"/>
      <c r="AC132" s="856"/>
      <c r="AD132" s="856"/>
    </row>
    <row customHeight="1" ht="9">
      <c r="A133" s="855"/>
      <c r="B133" s="855"/>
      <c r="C133" s="853"/>
      <c r="D133" s="853"/>
      <c r="E133" s="853"/>
      <c r="F133" s="853"/>
      <c r="G133" s="853"/>
      <c r="H133" s="901"/>
      <c r="I133" s="901"/>
      <c r="J133" s="901"/>
      <c r="K133" s="901"/>
      <c r="L133" s="901"/>
      <c r="M133" s="853"/>
      <c r="N133" s="900"/>
      <c r="O133" s="970"/>
      <c r="P133" s="970"/>
      <c r="Q133" s="970"/>
      <c r="R133" s="970"/>
      <c r="S133" s="853"/>
      <c r="T133" s="853"/>
      <c r="U133" s="853"/>
      <c r="V133" s="853"/>
      <c r="W133" s="853"/>
      <c r="X133" s="853"/>
      <c r="Y133" s="1010"/>
      <c r="Z133" s="856"/>
      <c r="AA133" s="859"/>
      <c r="AB133" s="856"/>
      <c r="AC133" s="856"/>
      <c r="AD133" s="856"/>
    </row>
    <row customHeight="1" ht="9">
      <c r="A134" s="855"/>
      <c r="B134" s="855"/>
      <c r="C134" s="853"/>
      <c r="D134" s="853"/>
      <c r="E134" s="853"/>
      <c r="F134" s="853"/>
      <c r="G134" s="853"/>
      <c r="H134" s="901"/>
      <c r="I134" s="901"/>
      <c r="J134" s="901"/>
      <c r="K134" s="901"/>
      <c r="L134" s="901"/>
      <c r="M134" s="853"/>
      <c r="N134" s="900"/>
      <c r="O134" s="967"/>
      <c r="P134" s="967"/>
      <c r="Q134" s="967"/>
      <c r="R134" s="967"/>
      <c r="S134" s="853"/>
      <c r="T134" s="853"/>
      <c r="U134" s="853"/>
      <c r="V134" s="853"/>
      <c r="W134" s="853"/>
      <c r="X134" s="853"/>
      <c r="Y134" s="1010"/>
      <c r="Z134" s="856"/>
      <c r="AA134" s="859"/>
      <c r="AB134" s="856"/>
      <c r="AC134" s="856"/>
      <c r="AD134" s="856"/>
    </row>
    <row customHeight="1" ht="9">
      <c r="A135" s="855"/>
      <c r="B135" s="855"/>
      <c r="C135" s="853"/>
      <c r="D135" s="853"/>
      <c r="E135" s="853"/>
      <c r="F135" s="853"/>
      <c r="G135" s="853"/>
      <c r="H135" s="901"/>
      <c r="I135" s="901"/>
      <c r="J135" s="901"/>
      <c r="K135" s="901"/>
      <c r="L135" s="901"/>
      <c r="M135" s="853"/>
      <c r="N135" s="900"/>
      <c r="O135" s="967"/>
      <c r="P135" s="967"/>
      <c r="Q135" s="967"/>
      <c r="R135" s="967"/>
      <c r="S135" s="853"/>
      <c r="T135" s="853"/>
      <c r="U135" s="853"/>
      <c r="V135" s="853"/>
      <c r="W135" s="853"/>
      <c r="X135" s="853"/>
      <c r="Y135" s="1010"/>
      <c r="Z135" s="856"/>
      <c r="AA135" s="859"/>
      <c r="AB135" s="856"/>
      <c r="AC135" s="856"/>
      <c r="AD135" s="856"/>
    </row>
    <row customHeight="1" ht="9">
      <c r="A136" s="855"/>
      <c r="B136" s="855"/>
      <c r="C136" s="853"/>
      <c r="D136" s="853"/>
      <c r="E136" s="853"/>
      <c r="F136" s="853"/>
      <c r="G136" s="853"/>
      <c r="H136" s="901"/>
      <c r="I136" s="901"/>
      <c r="J136" s="901"/>
      <c r="K136" s="901"/>
      <c r="L136" s="901"/>
      <c r="M136" s="853"/>
      <c r="N136" s="900"/>
      <c r="O136" s="967"/>
      <c r="P136" s="967"/>
      <c r="Q136" s="967"/>
      <c r="R136" s="967"/>
      <c r="S136" s="853"/>
      <c r="T136" s="853"/>
      <c r="U136" s="853"/>
      <c r="V136" s="853"/>
      <c r="W136" s="853"/>
      <c r="X136" s="853"/>
      <c r="Y136" s="1010"/>
      <c r="Z136" s="856"/>
      <c r="AA136" s="859"/>
      <c r="AB136" s="856"/>
      <c r="AC136" s="856"/>
      <c r="AD136" s="856"/>
    </row>
    <row customHeight="1" ht="9">
      <c r="A137" s="855"/>
      <c r="B137" s="855"/>
      <c r="C137" s="853"/>
      <c r="D137" s="853"/>
      <c r="E137" s="853"/>
      <c r="F137" s="853"/>
      <c r="G137" s="853"/>
      <c r="H137" s="901"/>
      <c r="I137" s="901"/>
      <c r="J137" s="901"/>
      <c r="K137" s="901"/>
      <c r="L137" s="901"/>
      <c r="M137" s="853"/>
      <c r="N137" s="900"/>
      <c r="O137" s="971"/>
      <c r="P137" s="971"/>
      <c r="Q137" s="971"/>
      <c r="R137" s="971"/>
      <c r="S137" s="853"/>
      <c r="T137" s="853"/>
      <c r="U137" s="853"/>
      <c r="V137" s="853"/>
      <c r="W137" s="853"/>
      <c r="X137" s="853"/>
      <c r="Y137" s="1010"/>
      <c r="Z137" s="856"/>
      <c r="AA137" s="859"/>
      <c r="AB137" s="856"/>
      <c r="AC137" s="856"/>
      <c r="AD137" s="856"/>
    </row>
    <row customHeight="1" ht="9">
      <c r="A138" s="855"/>
      <c r="B138" s="855"/>
      <c r="C138" s="853"/>
      <c r="D138" s="853"/>
      <c r="E138" s="853"/>
      <c r="F138" s="853"/>
      <c r="G138" s="853"/>
      <c r="H138" s="901"/>
      <c r="I138" s="901"/>
      <c r="J138" s="901"/>
      <c r="K138" s="901"/>
      <c r="L138" s="901"/>
      <c r="M138" s="853"/>
      <c r="N138" s="900"/>
      <c r="O138" s="968"/>
      <c r="P138" s="968"/>
      <c r="Q138" s="968"/>
      <c r="R138" s="968"/>
      <c r="S138" s="853"/>
      <c r="T138" s="853"/>
      <c r="U138" s="853"/>
      <c r="V138" s="853"/>
      <c r="W138" s="853"/>
      <c r="X138" s="853"/>
      <c r="Y138" s="1010"/>
      <c r="Z138" s="856"/>
      <c r="AA138" s="859"/>
      <c r="AB138" s="856"/>
      <c r="AC138" s="856"/>
      <c r="AD138" s="856"/>
    </row>
    <row customHeight="1" ht="9">
      <c r="A139" s="855"/>
      <c r="B139" s="855"/>
      <c r="C139" s="853"/>
      <c r="D139" s="853"/>
      <c r="E139" s="853"/>
      <c r="F139" s="853"/>
      <c r="G139" s="853"/>
      <c r="H139" s="901"/>
      <c r="I139" s="901"/>
      <c r="J139" s="901"/>
      <c r="K139" s="901"/>
      <c r="L139" s="901"/>
      <c r="M139" s="853"/>
      <c r="N139" s="900"/>
      <c r="O139" s="853"/>
      <c r="P139" s="853"/>
      <c r="Q139" s="853"/>
      <c r="R139" s="853"/>
      <c r="S139" s="853"/>
      <c r="T139" s="853"/>
      <c r="U139" s="853"/>
      <c r="V139" s="853"/>
      <c r="W139" s="853"/>
      <c r="X139" s="853"/>
      <c r="Y139" s="1010"/>
      <c r="Z139" s="856"/>
      <c r="AA139" s="859"/>
      <c r="AB139" s="856"/>
      <c r="AC139" s="856"/>
      <c r="AD139" s="856"/>
    </row>
    <row customHeight="1" ht="9">
      <c r="A140" s="855"/>
      <c r="B140" s="855"/>
      <c r="C140" s="853"/>
      <c r="D140" s="853"/>
      <c r="E140" s="853"/>
      <c r="F140" s="853"/>
      <c r="G140" s="853"/>
      <c r="H140" s="901"/>
      <c r="I140" s="901"/>
      <c r="J140" s="901"/>
      <c r="K140" s="901"/>
      <c r="L140" s="901"/>
      <c r="M140" s="853"/>
      <c r="N140" s="900"/>
      <c r="O140" s="853"/>
      <c r="P140" s="853"/>
      <c r="Q140" s="853"/>
      <c r="R140" s="853"/>
      <c r="S140" s="853"/>
      <c r="T140" s="853"/>
      <c r="U140" s="853"/>
      <c r="V140" s="853"/>
      <c r="W140" s="853"/>
      <c r="X140" s="853"/>
      <c r="Y140" s="1010"/>
      <c r="Z140" s="856"/>
      <c r="AA140" s="859"/>
      <c r="AB140" s="856"/>
      <c r="AC140" s="856"/>
      <c r="AD140" s="856"/>
    </row>
    <row customHeight="1" ht="9">
      <c r="A141" s="855"/>
      <c r="B141" s="855"/>
      <c r="C141" s="853"/>
      <c r="D141" s="853"/>
      <c r="E141" s="853"/>
      <c r="F141" s="853"/>
      <c r="G141" s="853"/>
      <c r="H141" s="901"/>
      <c r="I141" s="901"/>
      <c r="J141" s="901"/>
      <c r="K141" s="901"/>
      <c r="L141" s="901"/>
      <c r="M141" s="853"/>
      <c r="N141" s="900"/>
      <c r="O141" s="853"/>
      <c r="P141" s="853"/>
      <c r="Q141" s="853"/>
      <c r="R141" s="853"/>
      <c r="S141" s="853"/>
      <c r="T141" s="853"/>
      <c r="U141" s="853"/>
      <c r="V141" s="853"/>
      <c r="W141" s="853"/>
      <c r="X141" s="853"/>
      <c r="Y141" s="1010"/>
      <c r="Z141" s="856"/>
      <c r="AA141" s="859"/>
      <c r="AB141" s="856"/>
      <c r="AC141" s="856"/>
      <c r="AD141" s="856"/>
    </row>
    <row customHeight="1" ht="9">
      <c r="A142" s="855"/>
      <c r="B142" s="855"/>
      <c r="C142" s="853"/>
      <c r="D142" s="853"/>
      <c r="E142" s="853"/>
      <c r="F142" s="853"/>
      <c r="G142" s="853"/>
      <c r="H142" s="901"/>
      <c r="I142" s="901"/>
      <c r="J142" s="901"/>
      <c r="K142" s="901"/>
      <c r="L142" s="901"/>
      <c r="M142" s="853"/>
      <c r="N142" s="900"/>
      <c r="O142" s="853"/>
      <c r="P142" s="853"/>
      <c r="Q142" s="853"/>
      <c r="R142" s="853"/>
      <c r="S142" s="853"/>
      <c r="T142" s="853"/>
      <c r="U142" s="853"/>
      <c r="V142" s="853"/>
      <c r="W142" s="853"/>
      <c r="X142" s="853"/>
      <c r="Y142" s="1010"/>
      <c r="Z142" s="856"/>
      <c r="AA142" s="859"/>
      <c r="AB142" s="856"/>
      <c r="AC142" s="856"/>
      <c r="AD142" s="856"/>
    </row>
    <row customHeight="1" ht="9">
      <c r="A143" s="855"/>
      <c r="B143" s="855"/>
      <c r="C143" s="853"/>
      <c r="D143" s="853"/>
      <c r="E143" s="853"/>
      <c r="F143" s="853"/>
      <c r="G143" s="853"/>
      <c r="H143" s="901"/>
      <c r="I143" s="901"/>
      <c r="J143" s="901"/>
      <c r="K143" s="901"/>
      <c r="L143" s="901"/>
      <c r="M143" s="853"/>
      <c r="N143" s="900"/>
      <c r="O143" s="853"/>
      <c r="P143" s="853"/>
      <c r="Q143" s="853"/>
      <c r="R143" s="853"/>
      <c r="S143" s="853"/>
      <c r="T143" s="853"/>
      <c r="U143" s="853"/>
      <c r="V143" s="853"/>
      <c r="W143" s="853"/>
      <c r="X143" s="853"/>
      <c r="Y143" s="1010"/>
      <c r="Z143" s="856"/>
      <c r="AA143" s="859"/>
      <c r="AB143" s="856"/>
      <c r="AC143" s="856"/>
      <c r="AD143" s="856"/>
    </row>
    <row customHeight="1" ht="9">
      <c r="A144" s="855"/>
      <c r="B144" s="855"/>
      <c r="C144" s="853"/>
      <c r="D144" s="853"/>
      <c r="E144" s="853"/>
      <c r="F144" s="853"/>
      <c r="G144" s="853"/>
      <c r="H144" s="901"/>
      <c r="I144" s="901"/>
      <c r="J144" s="901"/>
      <c r="K144" s="901"/>
      <c r="L144" s="901"/>
      <c r="M144" s="853"/>
      <c r="N144" s="900"/>
      <c r="O144" s="853"/>
      <c r="P144" s="853"/>
      <c r="Q144" s="853"/>
      <c r="R144" s="853"/>
      <c r="S144" s="853"/>
      <c r="T144" s="853"/>
      <c r="U144" s="853"/>
      <c r="V144" s="853"/>
      <c r="W144" s="853"/>
      <c r="X144" s="853"/>
      <c r="Y144" s="1010"/>
      <c r="Z144" s="856"/>
      <c r="AA144" s="859"/>
      <c r="AB144" s="856"/>
      <c r="AC144" s="856"/>
      <c r="AD144" s="856"/>
    </row>
    <row customHeight="1" ht="9">
      <c r="A145" s="855"/>
      <c r="B145" s="855"/>
      <c r="C145" s="853"/>
      <c r="D145" s="853"/>
      <c r="E145" s="853"/>
      <c r="F145" s="853"/>
      <c r="G145" s="853"/>
      <c r="H145" s="901"/>
      <c r="I145" s="901"/>
      <c r="J145" s="901"/>
      <c r="K145" s="901"/>
      <c r="L145" s="901"/>
      <c r="M145" s="853"/>
      <c r="N145" s="900"/>
      <c r="O145" s="853"/>
      <c r="P145" s="853"/>
      <c r="Q145" s="853"/>
      <c r="R145" s="853"/>
      <c r="S145" s="853"/>
      <c r="T145" s="853"/>
      <c r="U145" s="853"/>
      <c r="V145" s="853"/>
      <c r="W145" s="853"/>
      <c r="X145" s="853"/>
      <c r="Y145" s="1010"/>
      <c r="Z145" s="856"/>
      <c r="AA145" s="859"/>
      <c r="AB145" s="856"/>
      <c r="AC145" s="856"/>
      <c r="AD145" s="856"/>
    </row>
    <row customHeight="1" ht="9">
      <c r="A146" s="855"/>
      <c r="B146" s="855"/>
      <c r="C146" s="853"/>
      <c r="D146" s="853"/>
      <c r="E146" s="853"/>
      <c r="F146" s="853"/>
      <c r="G146" s="853"/>
      <c r="H146" s="901"/>
      <c r="I146" s="901"/>
      <c r="J146" s="901"/>
      <c r="K146" s="901"/>
      <c r="L146" s="901"/>
      <c r="M146" s="853"/>
      <c r="N146" s="900"/>
      <c r="O146" s="853"/>
      <c r="P146" s="853"/>
      <c r="Q146" s="853"/>
      <c r="R146" s="853"/>
      <c r="S146" s="853"/>
      <c r="T146" s="853"/>
      <c r="U146" s="853"/>
      <c r="V146" s="853"/>
      <c r="W146" s="853"/>
      <c r="X146" s="853"/>
      <c r="Y146" s="1010"/>
      <c r="Z146" s="856"/>
      <c r="AA146" s="859"/>
      <c r="AB146" s="856"/>
      <c r="AC146" s="856"/>
      <c r="AD146" s="856"/>
    </row>
    <row customHeight="1" ht="9">
      <c r="A147" s="855"/>
      <c r="B147" s="855"/>
      <c r="C147" s="855"/>
      <c r="D147" s="855"/>
      <c r="E147" s="855"/>
      <c r="F147" s="855"/>
      <c r="G147" s="855"/>
      <c r="H147" s="855"/>
      <c r="I147" s="855"/>
      <c r="J147" s="855"/>
      <c r="K147" s="855"/>
      <c r="L147" s="855"/>
      <c r="M147" s="855"/>
      <c r="N147" s="855"/>
      <c r="O147" s="855"/>
      <c r="P147" s="855"/>
      <c r="Q147" s="855"/>
      <c r="R147" s="855"/>
      <c r="S147" s="855"/>
      <c r="T147" s="855"/>
      <c r="U147" s="855"/>
      <c r="V147" s="855"/>
      <c r="W147" s="855"/>
      <c r="X147" s="855"/>
      <c r="Y147" s="855"/>
      <c r="Z147" s="855"/>
      <c r="AA147" s="855"/>
      <c r="AB147" s="855"/>
      <c r="AC147" s="855"/>
      <c r="AD147" s="855"/>
    </row>
    <row customHeight="1" ht="90">
      <c r="A148" s="855" t="s">
        <v>1942</v>
      </c>
      <c r="B148" s="855"/>
      <c r="C148" s="853" t="s">
        <v>2504</v>
      </c>
      <c r="D148" s="853" t="s">
        <v>1844</v>
      </c>
      <c r="E148" s="853" t="s">
        <v>1944</v>
      </c>
      <c r="F148" s="853" t="s">
        <v>2505</v>
      </c>
      <c r="G148" s="853"/>
      <c r="H148" s="853"/>
      <c r="I148" s="973"/>
      <c r="J148" s="973"/>
      <c r="K148" s="973"/>
      <c r="L148" s="973"/>
      <c r="M148" s="90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8"/>
      <c r="O148" s="853"/>
      <c r="P148" s="854"/>
      <c r="Q148" s="854"/>
      <c r="R148" s="854"/>
      <c r="S148" s="853"/>
      <c r="T148" s="853" t="s">
        <v>2506</v>
      </c>
      <c r="U148" s="85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54"/>
      <c r="W148" s="854"/>
      <c r="X148" s="853" t="s">
        <v>2507</v>
      </c>
      <c r="Y148" s="1010"/>
      <c r="Z148" s="856"/>
      <c r="AA148" s="859"/>
      <c r="AB148" s="856"/>
      <c r="AC148" s="856"/>
      <c r="AD148" s="856"/>
    </row>
    <row customHeight="1" ht="9">
      <c r="A149" s="855"/>
      <c r="B149" s="855"/>
      <c r="C149" s="855"/>
      <c r="D149" s="855"/>
      <c r="E149" s="855"/>
      <c r="F149" s="855"/>
      <c r="G149" s="855"/>
      <c r="H149" s="855"/>
      <c r="I149" s="855"/>
      <c r="J149" s="855"/>
      <c r="K149" s="855"/>
      <c r="L149" s="855"/>
      <c r="M149" s="855"/>
      <c r="N149" s="855"/>
      <c r="O149" s="855"/>
      <c r="P149" s="855"/>
      <c r="Q149" s="855"/>
      <c r="R149" s="855"/>
      <c r="S149" s="855"/>
      <c r="T149" s="855"/>
      <c r="U149" s="855"/>
      <c r="V149" s="855"/>
      <c r="W149" s="855"/>
      <c r="X149" s="855"/>
      <c r="Y149" s="855"/>
      <c r="Z149" s="855"/>
      <c r="AA149" s="855"/>
      <c r="AB149" s="855"/>
      <c r="AC149" s="855"/>
      <c r="AD149" s="855"/>
    </row>
    <row customHeight="1" ht="9">
      <c r="A150" s="855" t="s">
        <v>1946</v>
      </c>
      <c r="B150" s="855"/>
      <c r="C150" s="853"/>
      <c r="D150" s="853"/>
      <c r="E150" s="853"/>
      <c r="F150" s="853"/>
      <c r="G150" s="853"/>
      <c r="H150" s="853"/>
      <c r="I150" s="853"/>
      <c r="J150" s="853"/>
      <c r="K150" s="853"/>
      <c r="L150" s="853"/>
      <c r="M150" s="853"/>
      <c r="N150" s="853"/>
      <c r="O150" s="853"/>
      <c r="P150" s="853"/>
      <c r="Q150" s="853"/>
      <c r="R150" s="853"/>
      <c r="S150" s="853"/>
      <c r="T150" s="853"/>
      <c r="U150" s="853"/>
      <c r="V150" s="853"/>
      <c r="W150" s="853"/>
      <c r="X150" s="853"/>
      <c r="Y150" s="1010"/>
      <c r="Z150" s="856"/>
      <c r="AA150" s="859"/>
      <c r="AB150" s="856"/>
      <c r="AC150" s="856"/>
      <c r="AD150" s="856"/>
    </row>
    <row customHeight="1" ht="9">
      <c r="A151" s="855"/>
      <c r="B151" s="855"/>
      <c r="C151" s="855"/>
      <c r="D151" s="855"/>
      <c r="E151" s="855"/>
      <c r="F151" s="855"/>
      <c r="G151" s="855"/>
      <c r="H151" s="855"/>
      <c r="I151" s="855"/>
      <c r="J151" s="855"/>
      <c r="K151" s="855"/>
      <c r="L151" s="855"/>
      <c r="M151" s="855"/>
      <c r="N151" s="855"/>
      <c r="O151" s="855"/>
      <c r="P151" s="855"/>
      <c r="Q151" s="855"/>
      <c r="R151" s="855"/>
      <c r="S151" s="855"/>
      <c r="T151" s="855"/>
      <c r="U151" s="855"/>
      <c r="V151" s="855"/>
      <c r="W151" s="855"/>
      <c r="X151" s="855"/>
      <c r="Y151" s="855"/>
      <c r="Z151" s="855"/>
      <c r="AA151" s="855"/>
      <c r="AB151" s="855"/>
      <c r="AC151" s="855"/>
      <c r="AD151" s="855"/>
    </row>
    <row customHeight="1" ht="9">
      <c r="A152" s="855" t="s">
        <v>1949</v>
      </c>
      <c r="B152" s="855"/>
      <c r="C152" s="853"/>
      <c r="D152" s="853"/>
      <c r="E152" s="853"/>
      <c r="F152" s="853"/>
      <c r="G152" s="853"/>
      <c r="H152" s="853"/>
      <c r="I152" s="853"/>
      <c r="J152" s="853"/>
      <c r="K152" s="853"/>
      <c r="L152" s="853"/>
      <c r="M152" s="853"/>
      <c r="N152" s="853"/>
      <c r="O152" s="853"/>
      <c r="P152" s="853"/>
      <c r="Q152" s="853"/>
      <c r="R152" s="853"/>
      <c r="S152" s="853"/>
      <c r="T152" s="853"/>
      <c r="U152" s="853"/>
      <c r="V152" s="853"/>
      <c r="W152" s="853"/>
      <c r="X152" s="853"/>
      <c r="Y152" s="1010"/>
      <c r="Z152" s="856"/>
      <c r="AA152" s="859"/>
      <c r="AB152" s="856"/>
      <c r="AC152" s="856"/>
      <c r="AD152" s="856"/>
    </row>
    <row customHeight="1" ht="9">
      <c r="A153" s="855"/>
      <c r="B153" s="855"/>
      <c r="C153" s="855"/>
      <c r="D153" s="855"/>
      <c r="E153" s="855"/>
      <c r="F153" s="855"/>
      <c r="G153" s="855"/>
      <c r="H153" s="855"/>
      <c r="I153" s="855"/>
      <c r="J153" s="855"/>
      <c r="K153" s="855"/>
      <c r="L153" s="855"/>
      <c r="M153" s="855"/>
      <c r="N153" s="855"/>
      <c r="O153" s="855"/>
      <c r="P153" s="855"/>
      <c r="Q153" s="855"/>
      <c r="R153" s="855"/>
      <c r="S153" s="855"/>
      <c r="T153" s="855"/>
      <c r="U153" s="855"/>
      <c r="V153" s="855"/>
      <c r="W153" s="855"/>
      <c r="X153" s="855"/>
      <c r="Y153" s="855"/>
      <c r="Z153" s="855"/>
      <c r="AA153" s="855"/>
      <c r="AB153" s="855"/>
      <c r="AC153" s="855"/>
      <c r="AD153" s="855"/>
    </row>
    <row customHeight="1" ht="9">
      <c r="A154" s="855" t="s">
        <v>1954</v>
      </c>
      <c r="B154" s="855"/>
      <c r="C154" s="853"/>
      <c r="D154" s="853"/>
      <c r="E154" s="853"/>
      <c r="F154" s="853"/>
      <c r="G154" s="853"/>
      <c r="H154" s="853"/>
      <c r="I154" s="853"/>
      <c r="J154" s="853"/>
      <c r="K154" s="853"/>
      <c r="L154" s="853"/>
      <c r="M154" s="853"/>
      <c r="N154" s="853"/>
      <c r="O154" s="853"/>
      <c r="P154" s="853"/>
      <c r="Q154" s="853"/>
      <c r="R154" s="853"/>
      <c r="S154" s="853"/>
      <c r="T154" s="853"/>
      <c r="U154" s="853"/>
      <c r="V154" s="853"/>
      <c r="W154" s="853"/>
      <c r="X154" s="853"/>
      <c r="Y154" s="1010"/>
      <c r="Z154" s="856"/>
      <c r="AA154" s="859"/>
      <c r="AB154" s="856"/>
      <c r="AC154" s="856"/>
      <c r="AD154" s="856"/>
    </row>
  </sheetData>
  <sheetProtection sheet="1" sort="1" autoFilter="0" insertRows="1" insertColumns="1" deleteRows="1" deleteColumns="1"/>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A0EFD9-6AD5-16FB-4A64-0.1AA5644F}"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2.28125" hidden="1" customWidth="1"/>
    <col min="6" max="8" style="1786" width="12.28125" hidden="1" customWidth="1"/>
    <col min="9" max="9" style="2407" width="3.00390625" customWidth="1"/>
    <col min="10" max="11" style="354" width="3.00390625" customWidth="1"/>
    <col min="12" max="12" style="2417" width="12.00390625" customWidth="1"/>
    <col min="13" max="13" style="1645" width="31.00390625" customWidth="1"/>
    <col min="14" max="14" style="1645" width="1.00390625" customWidth="1"/>
    <col min="15" max="18" style="1645" width="24.00390625" customWidth="1"/>
    <col min="19" max="19" style="1645" width="11.00390625" customWidth="1"/>
    <col min="20" max="20" style="1645" width="3.7109375" customWidth="1"/>
    <col min="21" max="21" style="1645" width="11.00390625" customWidth="1"/>
    <col min="22" max="22" style="1645" width="8.57421875" customWidth="1"/>
    <col min="23" max="23" style="1645" width="4.00390625" customWidth="1"/>
    <col min="24" max="24" style="1645" width="115.00390625" customWidth="1"/>
    <col min="25" max="29" style="1652" width="10.00390625" customWidth="1"/>
    <col min="30" max="30" style="1645" width="10.57421875" hidden="1"/>
  </cols>
  <sheetData>
    <row customHeight="1" ht="22.5" hidden="1">
      <c r="R1" s="337"/>
      <c r="S1" s="337"/>
      <c r="AD1" s="1165" t="s">
        <v>14</v>
      </c>
    </row>
    <row customHeight="1" ht="14.25" hidden="1">
      <c r="V2" s="337"/>
      <c r="AD2" s="1165">
        <v>0</v>
      </c>
    </row>
    <row customHeight="1" ht="14.25" hidden="1">
      <c r="AD3" s="1165">
        <v>0</v>
      </c>
    </row>
    <row customHeight="1" ht="14.699999999999998">
      <c r="J4" s="386"/>
      <c r="K4" s="386"/>
      <c r="L4" s="1285"/>
      <c r="M4" s="373"/>
      <c r="N4" s="373"/>
      <c r="O4" s="519"/>
      <c r="P4" s="519"/>
      <c r="Q4" s="519"/>
      <c r="R4" s="519"/>
      <c r="S4" s="519"/>
      <c r="T4" s="519"/>
      <c r="U4" s="519"/>
      <c r="V4" s="519"/>
      <c r="AD4" s="1165">
        <v>14</v>
      </c>
    </row>
    <row customHeight="1" ht="67.2">
      <c r="J5" s="386"/>
      <c r="K5" s="386"/>
      <c r="L5" s="2613" t="s">
        <v>2508</v>
      </c>
      <c r="M5" s="2613"/>
      <c r="N5" s="2613"/>
      <c r="O5" s="2613"/>
      <c r="P5" s="2613"/>
      <c r="Q5" s="2613"/>
      <c r="R5" s="2613"/>
      <c r="S5" s="2613"/>
      <c r="T5" s="2613"/>
      <c r="U5" s="2613"/>
      <c r="V5" s="1253"/>
      <c r="AD5" s="1165">
        <v>64</v>
      </c>
    </row>
    <row customHeight="1" ht="14.699999999999998">
      <c r="J6" s="386"/>
      <c r="K6" s="386"/>
      <c r="L6" s="2614" t="str">
        <f>IF(org=0,"Не определено",org)</f>
        <v>АО «ДГК» СП «Нерюнгринская ГРЭС»</v>
      </c>
      <c r="M6" s="2614"/>
      <c r="N6" s="2614"/>
      <c r="O6" s="2614"/>
      <c r="P6" s="2614"/>
      <c r="Q6" s="2614"/>
      <c r="R6" s="2614"/>
      <c r="S6" s="2614"/>
      <c r="T6" s="2614"/>
      <c r="U6" s="2614"/>
      <c r="V6" s="1253"/>
      <c r="AD6" s="1165">
        <v>14</v>
      </c>
    </row>
    <row customHeight="1" ht="14.699999999999998">
      <c r="J7" s="386"/>
      <c r="K7" s="386"/>
      <c r="L7" s="1285"/>
      <c r="M7" s="373"/>
      <c r="N7" s="373"/>
      <c r="O7" s="332"/>
      <c r="P7" s="332"/>
      <c r="Q7" s="332"/>
      <c r="R7" s="332"/>
      <c r="S7" s="332"/>
      <c r="T7" s="332"/>
      <c r="U7" s="332"/>
      <c r="V7" s="332"/>
      <c r="W7" s="519"/>
      <c r="AD7" s="1165">
        <v>14</v>
      </c>
    </row>
    <row s="1863" customFormat="1" customHeight="1" ht="48.29999999999999">
      <c r="A8" s="1378"/>
      <c r="B8" s="1378"/>
      <c r="C8" s="1378"/>
      <c r="D8" s="1378"/>
      <c r="E8" s="1378"/>
      <c r="F8" s="1378"/>
      <c r="G8" s="1378"/>
      <c r="H8" s="1378"/>
      <c r="L8" s="1286"/>
      <c r="M8" s="305" t="s">
        <v>42</v>
      </c>
      <c r="N8" s="314"/>
      <c r="O8" s="2261" t="str">
        <f>IF(TITLE_NAME_OR_PR_CHANGE="",IF(TITLE_NAME_OR_PR="","",TITLE_NAME_OR_PR),TITLE_NAME_OR_PR_CHANGE)</f>
        <v/>
      </c>
      <c r="P8" s="2261"/>
      <c r="Q8" s="2261"/>
      <c r="R8" s="2261"/>
      <c r="S8" s="2261"/>
      <c r="T8" s="2261"/>
      <c r="U8" s="2261"/>
      <c r="V8" s="336"/>
      <c r="W8" s="336"/>
      <c r="X8" s="290"/>
      <c r="Y8" s="378"/>
      <c r="Z8" s="378"/>
      <c r="AA8" s="378"/>
      <c r="AB8" s="378"/>
      <c r="AC8" s="378"/>
      <c r="AD8" s="428">
        <v>46</v>
      </c>
    </row>
    <row s="1863" customFormat="1" customHeight="1" ht="24">
      <c r="A9" s="1378"/>
      <c r="B9" s="1378"/>
      <c r="C9" s="1378"/>
      <c r="D9" s="1378"/>
      <c r="E9" s="1378"/>
      <c r="F9" s="1378"/>
      <c r="G9" s="1378"/>
      <c r="H9" s="1378"/>
      <c r="L9" s="1286"/>
      <c r="M9" s="305" t="s">
        <v>445</v>
      </c>
      <c r="N9" s="314"/>
      <c r="O9" s="2261" t="str">
        <f>IF(TITLE_DATE_CHANGE_PERIOD="",IF(TITLE_DATE_PR="","",TITLE_DATE_PR),TITLE_DATE_CHANGE_PERIOD)</f>
        <v/>
      </c>
      <c r="P9" s="2261"/>
      <c r="Q9" s="2261"/>
      <c r="R9" s="2261"/>
      <c r="S9" s="2261"/>
      <c r="T9" s="2261"/>
      <c r="U9" s="2261"/>
      <c r="V9" s="336"/>
      <c r="W9" s="336"/>
      <c r="X9" s="290"/>
      <c r="Y9" s="378"/>
      <c r="Z9" s="378"/>
      <c r="AA9" s="378"/>
      <c r="AB9" s="378"/>
      <c r="AC9" s="378"/>
      <c r="AD9" s="428">
        <v>23</v>
      </c>
    </row>
    <row s="1863" customFormat="1" customHeight="1" ht="24">
      <c r="A10" s="1378"/>
      <c r="B10" s="1378"/>
      <c r="C10" s="1378"/>
      <c r="D10" s="1378"/>
      <c r="E10" s="1378"/>
      <c r="F10" s="1378"/>
      <c r="G10" s="1378"/>
      <c r="H10" s="1378"/>
      <c r="L10" s="1260"/>
      <c r="M10" s="305" t="s">
        <v>446</v>
      </c>
      <c r="N10" s="314"/>
      <c r="O10" s="2261" t="str">
        <f>IF(TITLE_NUMBER_PR_CHANGE="",IF(TITLE_NUMBER_PR="","",TITLE_NUMBER_PR),TITLE_NUMBER_PR_CHANGE)</f>
        <v/>
      </c>
      <c r="P10" s="2261"/>
      <c r="Q10" s="2261"/>
      <c r="R10" s="2261"/>
      <c r="S10" s="2261"/>
      <c r="T10" s="2261"/>
      <c r="U10" s="2261"/>
      <c r="V10" s="336"/>
      <c r="W10" s="336"/>
      <c r="X10" s="290"/>
      <c r="Y10" s="378"/>
      <c r="Z10" s="378"/>
      <c r="AA10" s="378"/>
      <c r="AB10" s="378"/>
      <c r="AC10" s="378"/>
      <c r="AD10" s="428">
        <v>23</v>
      </c>
    </row>
    <row s="1863" customFormat="1" customHeight="1" ht="24">
      <c r="A11" s="1378"/>
      <c r="B11" s="1378"/>
      <c r="C11" s="1378"/>
      <c r="D11" s="1378"/>
      <c r="E11" s="1378"/>
      <c r="F11" s="1378"/>
      <c r="G11" s="1378"/>
      <c r="H11" s="1378"/>
      <c r="L11" s="1260"/>
      <c r="M11" s="305" t="s">
        <v>43</v>
      </c>
      <c r="N11" s="314"/>
      <c r="O11" s="2261" t="str">
        <f>IF(TITLE_IST_PUB_CHANGE="",IF(TITLE_IST_PUB="","",TITLE_IST_PUB),TITLE_IST_PUB_CHANGE)</f>
        <v/>
      </c>
      <c r="P11" s="2261"/>
      <c r="Q11" s="2261"/>
      <c r="R11" s="2261"/>
      <c r="S11" s="2261"/>
      <c r="T11" s="2261"/>
      <c r="U11" s="2261"/>
      <c r="V11" s="336"/>
      <c r="W11" s="336"/>
      <c r="X11" s="290"/>
      <c r="Y11" s="378"/>
      <c r="Z11" s="378"/>
      <c r="AA11" s="378"/>
      <c r="AB11" s="378"/>
      <c r="AC11" s="378"/>
      <c r="AD11" s="428">
        <v>23</v>
      </c>
    </row>
    <row s="1863" customFormat="1" customHeight="1" ht="11.25" hidden="1">
      <c r="A12" s="1378"/>
      <c r="B12" s="1378"/>
      <c r="C12" s="1378"/>
      <c r="D12" s="1378"/>
      <c r="E12" s="1378"/>
      <c r="F12" s="1378"/>
      <c r="G12" s="1378"/>
      <c r="H12" s="1378"/>
      <c r="L12" s="2615"/>
      <c r="M12" s="2615"/>
      <c r="N12" s="1297"/>
      <c r="O12" s="336"/>
      <c r="P12" s="336"/>
      <c r="Q12" s="336"/>
      <c r="R12" s="336"/>
      <c r="S12" s="336"/>
      <c r="T12" s="336"/>
      <c r="U12" s="336"/>
      <c r="V12" s="288" t="s">
        <v>449</v>
      </c>
      <c r="Y12" s="378"/>
      <c r="Z12" s="378"/>
      <c r="AA12" s="378"/>
      <c r="AB12" s="378"/>
      <c r="AC12" s="378"/>
      <c r="AD12" s="428">
        <v>0</v>
      </c>
    </row>
    <row customHeight="1" ht="14.699999999999998">
      <c r="J13" s="386"/>
      <c r="K13" s="386"/>
      <c r="L13" s="1285"/>
      <c r="M13" s="373"/>
      <c r="N13" s="1254"/>
      <c r="O13" s="2262"/>
      <c r="P13" s="2262"/>
      <c r="Q13" s="2262"/>
      <c r="R13" s="2262"/>
      <c r="S13" s="2262"/>
      <c r="T13" s="2262"/>
      <c r="U13" s="2262"/>
      <c r="V13" s="2262"/>
      <c r="AD13" s="1165">
        <v>14</v>
      </c>
    </row>
    <row customHeight="1" ht="14.699999999999998">
      <c r="J14" s="386"/>
      <c r="K14" s="386"/>
      <c r="L14" s="2137" t="s">
        <v>322</v>
      </c>
      <c r="M14" s="2137"/>
      <c r="N14" s="2137"/>
      <c r="O14" s="2137"/>
      <c r="P14" s="2137"/>
      <c r="Q14" s="2137"/>
      <c r="R14" s="2137"/>
      <c r="S14" s="2137"/>
      <c r="T14" s="2137"/>
      <c r="U14" s="2137"/>
      <c r="V14" s="2137"/>
      <c r="W14" s="2137"/>
      <c r="X14" s="2137" t="s">
        <v>323</v>
      </c>
      <c r="AD14" s="1165">
        <v>14</v>
      </c>
    </row>
    <row customHeight="1" ht="14.699999999999998">
      <c r="J15" s="386"/>
      <c r="K15" s="386"/>
      <c r="L15" s="2283" t="s">
        <v>88</v>
      </c>
      <c r="M15" s="2219" t="s">
        <v>450</v>
      </c>
      <c r="N15" s="311"/>
      <c r="O15" s="2284" t="s">
        <v>2509</v>
      </c>
      <c r="P15" s="2285"/>
      <c r="Q15" s="2285"/>
      <c r="R15" s="2285"/>
      <c r="S15" s="2285"/>
      <c r="T15" s="2285"/>
      <c r="U15" s="2286"/>
      <c r="V15" s="2287" t="s">
        <v>452</v>
      </c>
      <c r="W15" s="2290" t="s">
        <v>1428</v>
      </c>
      <c r="X15" s="2137"/>
      <c r="AD15" s="1165">
        <v>14</v>
      </c>
    </row>
    <row customHeight="1" ht="35.699999999999996">
      <c r="J16" s="386"/>
      <c r="K16" s="386"/>
      <c r="L16" s="2283"/>
      <c r="M16" s="2219"/>
      <c r="N16" s="1041"/>
      <c r="O16" s="2270" t="s">
        <v>455</v>
      </c>
      <c r="P16" s="2270" t="s">
        <v>456</v>
      </c>
      <c r="Q16" s="2272" t="s">
        <v>457</v>
      </c>
      <c r="R16" s="2273"/>
      <c r="S16" s="2272" t="s">
        <v>471</v>
      </c>
      <c r="T16" s="2279"/>
      <c r="U16" s="2273"/>
      <c r="V16" s="2288"/>
      <c r="W16" s="2291"/>
      <c r="X16" s="2137"/>
      <c r="AD16" s="1165">
        <v>34</v>
      </c>
    </row>
    <row customHeight="1" ht="35.699999999999996">
      <c r="A17" s="1380" t="s">
        <v>158</v>
      </c>
      <c r="B17" s="1380" t="s">
        <v>159</v>
      </c>
      <c r="C17" s="1380" t="s">
        <v>160</v>
      </c>
      <c r="D17" s="1380" t="s">
        <v>161</v>
      </c>
      <c r="E17" s="1380"/>
      <c r="J17" s="386"/>
      <c r="K17" s="386"/>
      <c r="L17" s="2283"/>
      <c r="M17" s="2219"/>
      <c r="N17" s="312"/>
      <c r="O17" s="2271"/>
      <c r="P17" s="2271"/>
      <c r="Q17" s="1232" t="s">
        <v>466</v>
      </c>
      <c r="R17" s="1232" t="s">
        <v>467</v>
      </c>
      <c r="S17" s="1302" t="s">
        <v>468</v>
      </c>
      <c r="T17" s="2280" t="s">
        <v>469</v>
      </c>
      <c r="U17" s="2281"/>
      <c r="V17" s="2289"/>
      <c r="W17" s="2292"/>
      <c r="X17" s="2137"/>
      <c r="AD17" s="1165">
        <v>34</v>
      </c>
    </row>
    <row s="1651" customFormat="1" customHeight="1" ht="11.549999999999999">
      <c r="A18" s="1380"/>
      <c r="B18" s="1380"/>
      <c r="C18" s="1380"/>
      <c r="D18" s="1380"/>
      <c r="E18" s="1380"/>
      <c r="F18" s="1372"/>
      <c r="G18" s="1372"/>
      <c r="H18" s="1372"/>
      <c r="I18" s="1256"/>
      <c r="J18" s="1257"/>
      <c r="K18" s="1264">
        <v>1</v>
      </c>
      <c r="L18" s="1287" t="s">
        <v>124</v>
      </c>
      <c r="M18" s="1265" t="s">
        <v>104</v>
      </c>
      <c r="N18" s="1255" t="str">
        <f>OFFSET(N18,0,-1)</f>
        <v>2</v>
      </c>
      <c r="O18" s="1299">
        <f>OFFSET(O18,0,-1)+1</f>
        <v>3</v>
      </c>
      <c r="P18" s="1299"/>
      <c r="Q18" s="1299">
        <f>OFFSET(Q18,0,-1)+1</f>
        <v>1</v>
      </c>
      <c r="R18" s="1299">
        <f>OFFSET(R18,0,-1)+1</f>
        <v>2</v>
      </c>
      <c r="S18" s="1299">
        <f>OFFSET(S18,0,-1)+1</f>
        <v>3</v>
      </c>
      <c r="T18" s="2282">
        <f>OFFSET(T18,0,-1)+1</f>
        <v>4</v>
      </c>
      <c r="U18" s="2282"/>
      <c r="V18" s="1299">
        <f>OFFSET(V18,0,-2)+1</f>
        <v>5</v>
      </c>
      <c r="W18" s="1255">
        <f>OFFSET(W18,0,-1)</f>
        <v>5</v>
      </c>
      <c r="X18" s="1299">
        <f>OFFSET(X18,0,-1)+1</f>
        <v>6</v>
      </c>
      <c r="Y18" s="521"/>
      <c r="Z18" s="521"/>
      <c r="AA18" s="521"/>
      <c r="AB18" s="521"/>
      <c r="AC18" s="521"/>
      <c r="AD18" s="506">
        <v>11</v>
      </c>
    </row>
    <row customHeight="1" ht="21">
      <c r="A19" s="1373" t="s">
        <v>192</v>
      </c>
      <c r="B19" s="1373" t="s">
        <v>193</v>
      </c>
      <c r="C19" s="1373" t="s">
        <v>194</v>
      </c>
      <c r="D19" s="1373" t="s">
        <v>195</v>
      </c>
      <c r="E19" s="1373"/>
      <c r="F19" s="1375"/>
      <c r="G19" s="1375"/>
      <c r="H19" s="1375"/>
      <c r="I19" s="371"/>
      <c r="J19" s="370"/>
      <c r="K19" s="365"/>
      <c r="L19" s="1303">
        <f>INDEX(PT_DIFFERENTIATION_NUM_NTAR,MATCH(A19,PT_DIFFERENTIATION_NTAR_ID,0))</f>
        <v>0</v>
      </c>
      <c r="M19" s="308" t="s">
        <v>147</v>
      </c>
      <c r="N19" s="310"/>
      <c r="O19" s="2616" t="str">
        <f>INDEX(PT_DIFFERENTIATION_NTAR,MATCH(A19,PT_DIFFERENTIATION_NTAR_ID,0))</f>
        <v/>
      </c>
      <c r="P19" s="2616"/>
      <c r="Q19" s="2616"/>
      <c r="R19" s="2616"/>
      <c r="S19" s="2616"/>
      <c r="T19" s="2616"/>
      <c r="U19" s="2616"/>
      <c r="V19" s="2616"/>
      <c r="W19" s="2616"/>
      <c r="X19" s="1268" t="s">
        <v>418</v>
      </c>
      <c r="Z19" s="510"/>
      <c r="AA19" s="510" t="str">
        <f>IF(M19="","",M19)</f>
        <v>Наименование тарифа</v>
      </c>
      <c r="AB19" s="510"/>
      <c r="AC19" s="510"/>
      <c r="AD19" s="1165">
        <v>20</v>
      </c>
    </row>
    <row customHeight="1" ht="21">
      <c r="A20" s="1373" t="s">
        <v>192</v>
      </c>
      <c r="B20" s="1373" t="s">
        <v>193</v>
      </c>
      <c r="C20" s="1373" t="s">
        <v>194</v>
      </c>
      <c r="D20" s="1373" t="s">
        <v>195</v>
      </c>
      <c r="E20" s="1373"/>
      <c r="F20" s="1375"/>
      <c r="G20" s="1375"/>
      <c r="H20" s="1375"/>
      <c r="I20" s="1300"/>
      <c r="J20" s="362"/>
      <c r="K20" s="363"/>
      <c r="L20" s="1303" t="str">
        <f>INDEX(PT_DIFFERENTIATION_NUM_TER,MATCH(B19,PT_DIFFERENTIATION_TER_ID,0))</f>
        <v>.</v>
      </c>
      <c r="M20" s="318" t="s">
        <v>419</v>
      </c>
      <c r="N20" s="310"/>
      <c r="O20" s="2616" t="str">
        <f>INDEX(PT_DIFFERENTIATION_TER,MATCH(B19,PT_DIFFERENTIATION_TER_ID,0))</f>
        <v/>
      </c>
      <c r="P20" s="2616"/>
      <c r="Q20" s="2616"/>
      <c r="R20" s="2616"/>
      <c r="S20" s="2616"/>
      <c r="T20" s="2616"/>
      <c r="U20" s="2616"/>
      <c r="V20" s="2616"/>
      <c r="W20" s="2616"/>
      <c r="X20" s="1268" t="s">
        <v>420</v>
      </c>
      <c r="Z20" s="510"/>
      <c r="AA20" s="510" t="str">
        <f>IF(M20="","",M20)</f>
        <v>Территория действия тарифа</v>
      </c>
      <c r="AB20" s="510"/>
      <c r="AC20" s="510"/>
      <c r="AD20" s="1165">
        <v>20</v>
      </c>
    </row>
    <row customHeight="1" ht="24">
      <c r="A21" s="1373" t="s">
        <v>192</v>
      </c>
      <c r="B21" s="1373" t="s">
        <v>193</v>
      </c>
      <c r="C21" s="1373" t="s">
        <v>194</v>
      </c>
      <c r="D21" s="1373" t="s">
        <v>195</v>
      </c>
      <c r="E21" s="1373"/>
      <c r="F21" s="1375"/>
      <c r="G21" s="1375"/>
      <c r="H21" s="1375"/>
      <c r="I21" s="364"/>
      <c r="J21" s="362"/>
      <c r="K21" s="363"/>
      <c r="L21" s="1303" t="str">
        <f>INDEX(PT_DIFFERENTIATION_NUM_CS,MATCH(C19,PT_DIFFERENTIATION_CS_ID,0))</f>
        <v>..</v>
      </c>
      <c r="M21" s="319" t="s">
        <v>421</v>
      </c>
      <c r="N21" s="310"/>
      <c r="O21" s="2616" t="str">
        <f>INDEX(PT_DIFFERENTIATION_CS,MATCH(C19,PT_DIFFERENTIATION_CS_ID,0))</f>
        <v/>
      </c>
      <c r="P21" s="2616"/>
      <c r="Q21" s="2616"/>
      <c r="R21" s="2616"/>
      <c r="S21" s="2616"/>
      <c r="T21" s="2616"/>
      <c r="U21" s="2616"/>
      <c r="V21" s="2616"/>
      <c r="W21" s="2616"/>
      <c r="X21" s="1268" t="s">
        <v>422</v>
      </c>
      <c r="Z21" s="510"/>
      <c r="AA21" s="510" t="str">
        <f>IF(M21="","",M21)</f>
        <v>Наименование системы теплоснабжения </v>
      </c>
      <c r="AB21" s="510"/>
      <c r="AC21" s="510"/>
      <c r="AD21" s="1165">
        <v>23</v>
      </c>
    </row>
    <row customHeight="1" ht="21">
      <c r="A22" s="1373" t="s">
        <v>192</v>
      </c>
      <c r="B22" s="1373" t="s">
        <v>193</v>
      </c>
      <c r="C22" s="1373" t="s">
        <v>194</v>
      </c>
      <c r="D22" s="1373" t="s">
        <v>195</v>
      </c>
      <c r="E22" s="1373"/>
      <c r="F22" s="1375"/>
      <c r="G22" s="1375"/>
      <c r="H22" s="1375"/>
      <c r="I22" s="364"/>
      <c r="J22" s="362"/>
      <c r="K22" s="363"/>
      <c r="L22" s="1303" t="str">
        <f>INDEX(PT_DIFFERENTIATION_NUM_IST_TE,MATCH(D19,PT_DIFFERENTIATION_IST_TE_ID,0))</f>
        <v>...</v>
      </c>
      <c r="M22" s="320" t="s">
        <v>423</v>
      </c>
      <c r="N22" s="310"/>
      <c r="O22" s="2616" t="str">
        <f>INDEX(PT_DIFFERENTIATION_IST_TE,MATCH(D19,PT_DIFFERENTIATION_IST_TE_ID,0))</f>
        <v/>
      </c>
      <c r="P22" s="2616"/>
      <c r="Q22" s="2616"/>
      <c r="R22" s="2616"/>
      <c r="S22" s="2616"/>
      <c r="T22" s="2616"/>
      <c r="U22" s="2616"/>
      <c r="V22" s="2616"/>
      <c r="W22" s="2616"/>
      <c r="X22" s="1268" t="s">
        <v>424</v>
      </c>
      <c r="Z22" s="510"/>
      <c r="AA22" s="510" t="str">
        <f>IF(M22="","",M22)</f>
        <v>Источник тепловой энергии  </v>
      </c>
      <c r="AB22" s="510"/>
      <c r="AC22" s="510"/>
      <c r="AD22" s="1165">
        <v>20</v>
      </c>
    </row>
    <row customHeight="1" ht="96.75">
      <c r="A23" s="1373" t="s">
        <v>192</v>
      </c>
      <c r="B23" s="1373" t="s">
        <v>193</v>
      </c>
      <c r="C23" s="1373" t="s">
        <v>194</v>
      </c>
      <c r="D23" s="1373" t="s">
        <v>195</v>
      </c>
      <c r="E23" s="1373"/>
      <c r="F23" s="2617" t="str">
        <f>L22&amp;".1"</f>
        <v>....1</v>
      </c>
      <c r="I23" s="2267">
        <v>1</v>
      </c>
      <c r="J23" s="1301"/>
      <c r="K23" s="366"/>
      <c r="L23" s="1303" t="str">
        <f>$F$23</f>
        <v>....1</v>
      </c>
      <c r="M23" s="295" t="s">
        <v>426</v>
      </c>
      <c r="N23" s="310"/>
      <c r="O23" s="2315"/>
      <c r="P23" s="2315"/>
      <c r="Q23" s="2315"/>
      <c r="R23" s="2315"/>
      <c r="S23" s="2315"/>
      <c r="T23" s="2315"/>
      <c r="U23" s="2315"/>
      <c r="V23" s="2315"/>
      <c r="W23" s="2315"/>
      <c r="X23" s="1268" t="s">
        <v>427</v>
      </c>
      <c r="Z23" s="510"/>
      <c r="AA23" s="510" t="str">
        <f>IF(M23="","",M23)</f>
        <v>Схема подключения теплопотребляющей установки к коллектору источника тепловой энергии</v>
      </c>
      <c r="AB23" s="510"/>
      <c r="AC23" s="510"/>
      <c r="AD23" s="1165">
        <v>92</v>
      </c>
    </row>
    <row customHeight="1" ht="86.25">
      <c r="A24" s="1373" t="s">
        <v>192</v>
      </c>
      <c r="B24" s="1373" t="s">
        <v>193</v>
      </c>
      <c r="C24" s="1373" t="s">
        <v>194</v>
      </c>
      <c r="D24" s="1373" t="s">
        <v>195</v>
      </c>
      <c r="E24" s="1373"/>
      <c r="F24" s="2617"/>
      <c r="G24" s="2227" t="str">
        <f>F23&amp;".1"</f>
        <v>....1.1</v>
      </c>
      <c r="I24" s="2267"/>
      <c r="J24" s="2267">
        <v>1</v>
      </c>
      <c r="K24" s="367"/>
      <c r="L24" s="1303" t="str">
        <f>$G$24</f>
        <v>....1.1</v>
      </c>
      <c r="M24" s="296" t="s">
        <v>429</v>
      </c>
      <c r="N24" s="310"/>
      <c r="O24" s="2255"/>
      <c r="P24" s="2256"/>
      <c r="Q24" s="2256"/>
      <c r="R24" s="2256"/>
      <c r="S24" s="2256"/>
      <c r="T24" s="2256"/>
      <c r="U24" s="2256"/>
      <c r="V24" s="2256"/>
      <c r="W24" s="2257"/>
      <c r="X24" s="1268" t="s">
        <v>430</v>
      </c>
      <c r="Z24" s="510"/>
      <c r="AA24" s="510" t="str">
        <f>IF(M24="","",M24)</f>
        <v>Группа потребителей</v>
      </c>
      <c r="AB24" s="510"/>
      <c r="AC24" s="510"/>
      <c r="AD24" s="1165">
        <v>82</v>
      </c>
    </row>
    <row customHeight="1" ht="11.549999999999999">
      <c r="A25" s="1373" t="s">
        <v>192</v>
      </c>
      <c r="B25" s="1373" t="s">
        <v>193</v>
      </c>
      <c r="C25" s="1373" t="s">
        <v>194</v>
      </c>
      <c r="D25" s="1373" t="s">
        <v>195</v>
      </c>
      <c r="E25" s="1373"/>
      <c r="F25" s="2617"/>
      <c r="G25" s="2227"/>
      <c r="H25" s="2227" t="str">
        <f>G24&amp;".1"</f>
        <v>....1.1.1</v>
      </c>
      <c r="I25" s="2267"/>
      <c r="J25" s="2267"/>
      <c r="K25" s="367">
        <v>1</v>
      </c>
      <c r="L25" s="1303" t="str">
        <f>$H$25</f>
        <v>....1.1.1</v>
      </c>
      <c r="M25" s="1357"/>
      <c r="N25" s="310"/>
      <c r="O25" s="761"/>
      <c r="P25" s="335"/>
      <c r="Q25" s="761"/>
      <c r="R25" s="1267"/>
      <c r="S25" s="2612"/>
      <c r="T25" s="2117" t="s">
        <v>66</v>
      </c>
      <c r="U25" s="2612"/>
      <c r="V25" s="2117" t="s">
        <v>19</v>
      </c>
      <c r="W25" s="335"/>
      <c r="X25" s="2263" t="s">
        <v>432</v>
      </c>
      <c r="Y25" s="521">
        <f>STRCHECKDATE(O26:W26)</f>
      </c>
      <c r="Z25" s="510"/>
      <c r="AA25" s="510" t="str">
        <f>IF(M25="","",M25)</f>
        <v/>
      </c>
      <c r="AB25" s="510"/>
      <c r="AC25" s="510"/>
      <c r="AD25" s="1165">
        <v>11</v>
      </c>
    </row>
    <row customHeight="1" ht="11.549999999999999">
      <c r="A26" s="1373" t="s">
        <v>192</v>
      </c>
      <c r="B26" s="1373" t="s">
        <v>193</v>
      </c>
      <c r="C26" s="1373" t="s">
        <v>194</v>
      </c>
      <c r="D26" s="1373" t="s">
        <v>195</v>
      </c>
      <c r="E26" s="1373"/>
      <c r="F26" s="2617"/>
      <c r="G26" s="2227"/>
      <c r="H26" s="2227"/>
      <c r="I26" s="2267"/>
      <c r="J26" s="2267"/>
      <c r="K26" s="367"/>
      <c r="L26" s="1304"/>
      <c r="M26" s="310"/>
      <c r="N26" s="310"/>
      <c r="O26" s="335"/>
      <c r="P26" s="335"/>
      <c r="Q26" s="335"/>
      <c r="R26" s="338" t="str">
        <f>S25&amp;"-"&amp;U25</f>
        <v>-</v>
      </c>
      <c r="S26" s="2276"/>
      <c r="T26" s="2117"/>
      <c r="U26" s="2276"/>
      <c r="V26" s="2117"/>
      <c r="W26" s="335"/>
      <c r="X26" s="2264"/>
      <c r="Z26" s="510"/>
      <c r="AA26" s="510" t="str">
        <f>IF(M26="","",M26)</f>
        <v/>
      </c>
      <c r="AB26" s="510"/>
      <c r="AC26" s="510"/>
      <c r="AD26" s="1165">
        <v>11</v>
      </c>
    </row>
    <row customHeight="1" ht="15.75">
      <c r="A27" s="1373" t="s">
        <v>192</v>
      </c>
      <c r="B27" s="1373" t="s">
        <v>193</v>
      </c>
      <c r="C27" s="1373" t="s">
        <v>194</v>
      </c>
      <c r="D27" s="1373" t="s">
        <v>195</v>
      </c>
      <c r="E27" s="1373"/>
      <c r="F27" s="2617"/>
      <c r="G27" s="2227"/>
      <c r="I27" s="2267"/>
      <c r="J27" s="2267"/>
      <c r="K27" s="366"/>
      <c r="L27" s="1288"/>
      <c r="M27" s="298" t="s">
        <v>433</v>
      </c>
      <c r="N27" s="377"/>
      <c r="O27" s="377"/>
      <c r="P27" s="377"/>
      <c r="Q27" s="377"/>
      <c r="R27" s="377"/>
      <c r="S27" s="377"/>
      <c r="T27" s="377"/>
      <c r="U27" s="377"/>
      <c r="V27" s="377"/>
      <c r="W27" s="334"/>
      <c r="X27" s="2265"/>
      <c r="Z27" s="510"/>
      <c r="AA27" s="510" t="str">
        <f>IF(M27="","",M27)</f>
        <v>Добавить вид теплоносителя (параметры теплоносителя)</v>
      </c>
      <c r="AB27" s="510"/>
      <c r="AC27" s="510"/>
      <c r="AD27" s="1165">
        <v>15</v>
      </c>
    </row>
    <row customHeight="1" ht="15.75">
      <c r="A28" s="1373" t="s">
        <v>192</v>
      </c>
      <c r="B28" s="1373" t="s">
        <v>193</v>
      </c>
      <c r="C28" s="1373" t="s">
        <v>194</v>
      </c>
      <c r="D28" s="1373" t="s">
        <v>195</v>
      </c>
      <c r="E28" s="1373"/>
      <c r="F28" s="2617"/>
      <c r="I28" s="2267"/>
      <c r="J28" s="1301"/>
      <c r="K28" s="366"/>
      <c r="L28" s="1288"/>
      <c r="M28" s="297" t="s">
        <v>434</v>
      </c>
      <c r="N28" s="377"/>
      <c r="O28" s="377"/>
      <c r="P28" s="377"/>
      <c r="Q28" s="377"/>
      <c r="R28" s="377"/>
      <c r="S28" s="377"/>
      <c r="T28" s="377"/>
      <c r="U28" s="377"/>
      <c r="V28" s="376"/>
      <c r="W28" s="377"/>
      <c r="X28" s="313"/>
      <c r="Z28" s="510"/>
      <c r="AA28" s="510" t="str">
        <f>IF(M28="","",M28)</f>
        <v>Добавить группу потребителей</v>
      </c>
      <c r="AB28" s="510"/>
      <c r="AC28" s="510"/>
      <c r="AD28" s="1165">
        <v>15</v>
      </c>
    </row>
    <row customHeight="1" ht="14.699999999999998">
      <c r="A29" s="1373" t="s">
        <v>192</v>
      </c>
      <c r="B29" s="1373" t="s">
        <v>193</v>
      </c>
      <c r="C29" s="1373" t="s">
        <v>194</v>
      </c>
      <c r="D29" s="1373" t="s">
        <v>195</v>
      </c>
      <c r="E29" s="1373"/>
      <c r="F29" s="1375"/>
      <c r="G29" s="1375"/>
      <c r="H29" s="547"/>
      <c r="I29" s="370"/>
      <c r="J29" s="385"/>
      <c r="K29" s="365"/>
      <c r="L29" s="1288"/>
      <c r="M29" s="375" t="s">
        <v>435</v>
      </c>
      <c r="N29" s="377"/>
      <c r="O29" s="377"/>
      <c r="P29" s="377"/>
      <c r="Q29" s="377"/>
      <c r="R29" s="377"/>
      <c r="S29" s="377"/>
      <c r="T29" s="377"/>
      <c r="U29" s="377"/>
      <c r="V29" s="376"/>
      <c r="W29" s="377"/>
      <c r="X29" s="313"/>
      <c r="Z29" s="510"/>
      <c r="AA29" s="510" t="str">
        <f>IF(M29="","",M29)</f>
        <v>Добавить схему подключения</v>
      </c>
      <c r="AB29" s="510"/>
      <c r="AC29" s="510"/>
      <c r="AD29" s="1165">
        <v>14</v>
      </c>
    </row>
    <row customHeight="1" ht="14.699999999999998">
      <c r="A30" s="1373" t="s">
        <v>192</v>
      </c>
      <c r="B30" s="1373" t="s">
        <v>193</v>
      </c>
      <c r="C30" s="1373" t="s">
        <v>194</v>
      </c>
      <c r="D30" s="1373"/>
      <c r="E30" s="1373" t="s">
        <v>608</v>
      </c>
      <c r="F30" s="1375"/>
      <c r="G30" s="1375"/>
      <c r="H30" s="547"/>
      <c r="I30" s="370"/>
      <c r="J30" s="385"/>
      <c r="K30" s="365"/>
      <c r="L30" s="1289"/>
      <c r="M30" s="1278"/>
      <c r="N30" s="1279"/>
      <c r="O30" s="1279"/>
      <c r="P30" s="1279"/>
      <c r="Q30" s="1279"/>
      <c r="R30" s="1279"/>
      <c r="S30" s="1279"/>
      <c r="T30" s="1279"/>
      <c r="U30" s="1279"/>
      <c r="V30" s="1280"/>
      <c r="W30" s="1279"/>
      <c r="X30" s="1281"/>
      <c r="Z30" s="510"/>
      <c r="AA30" s="510" t="str">
        <f>IF(M30="","",M30)</f>
        <v/>
      </c>
      <c r="AB30" s="510"/>
      <c r="AC30" s="510"/>
      <c r="AD30" s="1165">
        <v>14</v>
      </c>
    </row>
    <row customHeight="1" ht="14.699999999999998">
      <c r="A31" s="1373" t="s">
        <v>192</v>
      </c>
      <c r="B31" s="1373" t="s">
        <v>193</v>
      </c>
      <c r="C31" s="1373"/>
      <c r="D31" s="1373"/>
      <c r="E31" s="1373" t="s">
        <v>2510</v>
      </c>
      <c r="F31" s="1527"/>
      <c r="G31" s="1527"/>
      <c r="H31" s="547"/>
      <c r="I31" s="368"/>
      <c r="J31" s="385"/>
      <c r="K31" s="369"/>
      <c r="L31" s="1289"/>
      <c r="M31" s="1282"/>
      <c r="N31" s="1279"/>
      <c r="O31" s="1279"/>
      <c r="P31" s="1279"/>
      <c r="Q31" s="1279"/>
      <c r="R31" s="1279"/>
      <c r="S31" s="1279"/>
      <c r="T31" s="1279"/>
      <c r="U31" s="1279"/>
      <c r="V31" s="1280"/>
      <c r="W31" s="1279"/>
      <c r="X31" s="1281"/>
      <c r="Z31" s="510"/>
      <c r="AA31" s="510" t="str">
        <f>IF(M31="","",M31)</f>
        <v/>
      </c>
      <c r="AB31" s="510"/>
      <c r="AC31" s="510"/>
      <c r="AD31" s="1165">
        <v>14</v>
      </c>
    </row>
    <row customHeight="1" ht="14.699999999999998">
      <c r="A32" s="1373" t="s">
        <v>2511</v>
      </c>
      <c r="B32" s="1373"/>
      <c r="C32" s="1373"/>
      <c r="D32" s="1373"/>
      <c r="E32" s="1373" t="s">
        <v>119</v>
      </c>
      <c r="F32" s="1527"/>
      <c r="G32" s="1527"/>
      <c r="H32" s="547"/>
      <c r="I32" s="370"/>
      <c r="J32" s="385"/>
      <c r="K32" s="365"/>
      <c r="L32" s="1289"/>
      <c r="M32" s="1283"/>
      <c r="N32" s="1279"/>
      <c r="O32" s="1279"/>
      <c r="P32" s="1279"/>
      <c r="Q32" s="1279"/>
      <c r="R32" s="1279"/>
      <c r="S32" s="1279"/>
      <c r="T32" s="1279"/>
      <c r="U32" s="1279"/>
      <c r="V32" s="1280"/>
      <c r="W32" s="1279"/>
      <c r="X32" s="1281"/>
      <c r="Z32" s="510"/>
      <c r="AA32" s="510" t="str">
        <f>IF(M32="","",M32)</f>
        <v/>
      </c>
      <c r="AB32" s="510"/>
      <c r="AC32" s="510"/>
      <c r="AD32" s="1165">
        <v>14</v>
      </c>
    </row>
    <row s="1860" customFormat="1" customHeight="1" ht="11.549999999999999">
      <c r="A33" s="1373"/>
      <c r="B33" s="1373"/>
      <c r="C33" s="1373"/>
      <c r="D33" s="1373"/>
      <c r="E33" s="1373" t="s">
        <v>470</v>
      </c>
      <c r="F33" s="1528"/>
      <c r="G33" s="1529"/>
      <c r="H33" s="547"/>
      <c r="L33" s="1290"/>
      <c r="M33" s="1284"/>
      <c r="N33" s="1279"/>
      <c r="O33" s="1279"/>
      <c r="P33" s="1279"/>
      <c r="Q33" s="1279"/>
      <c r="R33" s="1279"/>
      <c r="S33" s="1279"/>
      <c r="T33" s="1279"/>
      <c r="U33" s="1279"/>
      <c r="V33" s="1280"/>
      <c r="W33" s="1279"/>
      <c r="X33" s="1281"/>
      <c r="Y33" s="389"/>
      <c r="Z33" s="389"/>
      <c r="AA33" s="389"/>
      <c r="AB33" s="389"/>
      <c r="AC33" s="389"/>
      <c r="AD33" s="383">
        <v>11</v>
      </c>
    </row>
    <row customHeight="1" ht="11.549999999999999">
      <c r="F34" s="1170"/>
      <c r="G34" s="1170"/>
      <c r="H34" s="547"/>
      <c r="I34" s="1165"/>
      <c r="J34" s="1165"/>
      <c r="K34" s="1165"/>
      <c r="Y34" s="1165"/>
      <c r="Z34" s="1165"/>
      <c r="AA34" s="1165"/>
      <c r="AB34" s="1165"/>
      <c r="AC34" s="1165"/>
      <c r="AD34" s="1165">
        <v>11</v>
      </c>
    </row>
    <row customHeight="1" ht="28.5">
      <c r="H35" s="547"/>
      <c r="L35" s="1298" t="s">
        <v>828</v>
      </c>
      <c r="M35" s="2295" t="s">
        <v>2512</v>
      </c>
      <c r="N35" s="2295"/>
      <c r="O35" s="2295"/>
      <c r="P35" s="2295"/>
      <c r="Q35" s="2295"/>
      <c r="R35" s="2295"/>
      <c r="S35" s="2295"/>
      <c r="T35" s="2295"/>
      <c r="U35" s="2295"/>
      <c r="V35" s="2295"/>
      <c r="W35" s="2295"/>
      <c r="X35" s="2295"/>
      <c r="AD35" s="1165">
        <v>27</v>
      </c>
    </row>
    <row customHeight="1" ht="109.19999999999999">
      <c r="H36" s="547"/>
      <c r="I36" s="1313"/>
      <c r="M36" s="2295" t="s">
        <v>2513</v>
      </c>
      <c r="N36" s="2295"/>
      <c r="O36" s="2295"/>
      <c r="P36" s="2295"/>
      <c r="Q36" s="2295"/>
      <c r="R36" s="2295"/>
      <c r="S36" s="2295"/>
      <c r="T36" s="2295"/>
      <c r="U36" s="2295"/>
      <c r="V36" s="2295"/>
      <c r="W36" s="2295"/>
      <c r="X36" s="2295"/>
      <c r="AD36" s="1165">
        <v>104</v>
      </c>
    </row>
    <row customHeight="1" ht="14.699999999999998">
      <c r="H37" s="547"/>
      <c r="AD37" s="1165">
        <v>14</v>
      </c>
    </row>
    <row customHeight="1" ht="14.699999999999998">
      <c r="H38" s="547"/>
      <c r="AD38" s="1165">
        <v>14</v>
      </c>
    </row>
    <row customHeight="1" ht="14.699999999999998">
      <c r="H39" s="547"/>
      <c r="AD39" s="1165">
        <v>14</v>
      </c>
    </row>
    <row customHeight="1" ht="14.699999999999998">
      <c r="H40" s="547"/>
      <c r="AD40" s="1165">
        <v>14</v>
      </c>
    </row>
    <row customHeight="1" ht="22.5" hidden="1">
      <c r="A41" s="1170" t="s">
        <v>82</v>
      </c>
      <c r="B41" s="1170">
        <v>0</v>
      </c>
      <c r="C41" s="1170">
        <v>0</v>
      </c>
      <c r="D41" s="1170">
        <v>0</v>
      </c>
      <c r="E41" s="1170">
        <v>0</v>
      </c>
      <c r="F41" s="1372">
        <v>0</v>
      </c>
      <c r="G41" s="1372">
        <v>0</v>
      </c>
      <c r="H41" s="1372">
        <v>0</v>
      </c>
      <c r="I41" s="1296">
        <v>3</v>
      </c>
      <c r="J41" s="354">
        <v>3</v>
      </c>
      <c r="K41" s="354">
        <v>3</v>
      </c>
      <c r="L41" s="591">
        <v>12</v>
      </c>
      <c r="M41" s="1165">
        <v>31</v>
      </c>
      <c r="N41" s="1165">
        <v>1</v>
      </c>
      <c r="O41" s="1165">
        <v>24</v>
      </c>
      <c r="P41" s="1165">
        <v>24</v>
      </c>
      <c r="Q41" s="1165">
        <v>24</v>
      </c>
      <c r="R41" s="1165">
        <v>24</v>
      </c>
      <c r="S41" s="1165">
        <v>11</v>
      </c>
      <c r="T41" s="1165">
        <v>3</v>
      </c>
      <c r="U41" s="1165">
        <v>11</v>
      </c>
      <c r="V41" s="1165">
        <v>8</v>
      </c>
      <c r="W41" s="1165">
        <v>4</v>
      </c>
      <c r="X41" s="1165">
        <v>115</v>
      </c>
      <c r="Y41" s="521">
        <v>10</v>
      </c>
      <c r="Z41" s="521">
        <v>10</v>
      </c>
      <c r="AA41" s="521">
        <v>10</v>
      </c>
      <c r="AB41" s="521">
        <v>10</v>
      </c>
      <c r="AC41" s="521">
        <v>10</v>
      </c>
      <c r="AD41" s="1165">
        <v>23</v>
      </c>
    </row>
  </sheetData>
  <sheetProtection sheet="1" formatColumns="0" formatRows="0" autoFilter="0" sort="1" insertRows="1" insertColumns="1" deleteRows="1" deleteColumns="1"/>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492C4E-A46E-B0D9-0D86-0.0860BEE4}"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556F84-7698-AD4C-E53C-0.013199F2}"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514C52-377B-61D2-0371-0.41BDA1FB}"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3019BD-F9ED-CC84-6B2E-0.D22B83E5}"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A7090C-70D4-4713-3104-0.C783AA1C}"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512BEE-FE3A-9D99-4DFB-0.78B07AC4}"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96" width="15.00390625" hidden="1" customWidth="1"/>
    <col min="2" max="2" style="511" width="15.00390625" hidden="1" customWidth="1"/>
    <col min="3" max="3" style="465" width="3.00390625" customWidth="1"/>
    <col min="4" max="4" style="466" width="6.00390625" customWidth="1"/>
    <col min="5" max="5" style="465" width="52.00390625" customWidth="1"/>
    <col min="6" max="6" style="465" width="48.00390625" customWidth="1"/>
    <col min="7" max="7" style="465" width="121.00390625" customWidth="1"/>
    <col min="8" max="8" style="465" width="8.00390625" customWidth="1"/>
    <col min="9" max="9" style="465" width="64.00390625" customWidth="1"/>
    <col min="10" max="10" style="465" width="9.140625" hidden="1"/>
  </cols>
  <sheetData>
    <row customHeight="1" ht="11.25" hidden="1">
      <c r="A1" s="1696" t="s">
        <v>321</v>
      </c>
      <c r="J1" s="465" t="s">
        <v>14</v>
      </c>
    </row>
    <row customHeight="1" ht="11.25" hidden="1">
      <c r="J2" s="465">
        <v>0</v>
      </c>
    </row>
    <row s="487" customFormat="1" customHeight="1" ht="11.549999999999999">
      <c r="A3" s="1696"/>
      <c r="B3" s="511"/>
      <c r="D3" s="488"/>
      <c r="J3" s="487">
        <v>11</v>
      </c>
    </row>
    <row customHeight="1" ht="27.299999999999997">
      <c r="D4" s="2167"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8"/>
      <c r="F4" s="2169"/>
      <c r="I4" s="725"/>
      <c r="J4" s="465">
        <v>26</v>
      </c>
    </row>
    <row customHeight="1" ht="18">
      <c r="D5" s="2186" t="str">
        <f>IF(org=0,"Не определено",org)</f>
        <v>АО «ДГК» СП «Нерюнгринская ГРЭС»</v>
      </c>
      <c r="E5" s="2186"/>
      <c r="F5" s="2186"/>
      <c r="I5" s="725"/>
      <c r="J5" s="465">
        <v>17</v>
      </c>
    </row>
    <row s="487" customFormat="1" customHeight="1" ht="11.549999999999999">
      <c r="A6" s="1696"/>
      <c r="B6" s="511"/>
      <c r="D6" s="724"/>
      <c r="E6" s="724"/>
      <c r="F6" s="762"/>
      <c r="G6" s="724"/>
      <c r="J6" s="487">
        <v>11</v>
      </c>
    </row>
    <row customHeight="1" ht="11.25" hidden="1">
      <c r="A7" s="467"/>
      <c r="B7" s="512"/>
      <c r="C7" s="467"/>
      <c r="D7" s="473"/>
      <c r="E7" s="2217"/>
      <c r="F7" s="2217"/>
      <c r="J7" s="465">
        <v>0</v>
      </c>
    </row>
    <row customHeight="1" ht="11.549999999999999">
      <c r="A8" s="467"/>
      <c r="B8" s="512"/>
      <c r="C8" s="467"/>
      <c r="D8" s="2214" t="s">
        <v>322</v>
      </c>
      <c r="E8" s="2215"/>
      <c r="F8" s="2215"/>
      <c r="G8" s="2218" t="s">
        <v>323</v>
      </c>
      <c r="J8" s="465">
        <v>11</v>
      </c>
    </row>
    <row customHeight="1" ht="11.549999999999999">
      <c r="A9" s="467"/>
      <c r="B9" s="512"/>
      <c r="C9" s="467"/>
      <c r="D9" s="482" t="s">
        <v>88</v>
      </c>
      <c r="E9" s="456" t="s">
        <v>324</v>
      </c>
      <c r="F9" s="456" t="s">
        <v>325</v>
      </c>
      <c r="G9" s="2219"/>
      <c r="J9" s="465">
        <v>11</v>
      </c>
    </row>
    <row customHeight="1" ht="12" hidden="1">
      <c r="A10" s="467"/>
      <c r="B10" s="512"/>
      <c r="C10" s="467"/>
      <c r="D10" s="474"/>
      <c r="E10" s="474"/>
      <c r="F10" s="474"/>
      <c r="G10" s="474"/>
      <c r="J10" s="465">
        <v>0</v>
      </c>
    </row>
    <row customHeight="1" ht="22.5" hidden="1">
      <c r="A11" s="467"/>
      <c r="B11" s="512"/>
      <c r="C11" s="467"/>
      <c r="D11" s="1019" t="s">
        <v>124</v>
      </c>
      <c r="E11" s="1022" t="s">
        <v>326</v>
      </c>
      <c r="F11" s="1021" t="str">
        <f>IF(region_name="","",region_name)</f>
        <v>Республика Саха (Якутия)</v>
      </c>
      <c r="G11" s="1022" t="s">
        <v>327</v>
      </c>
      <c r="H11" s="485"/>
      <c r="J11" s="465">
        <v>0</v>
      </c>
    </row>
    <row customHeight="1" ht="22.5" hidden="1">
      <c r="A12" s="467"/>
      <c r="B12" s="512"/>
      <c r="C12" s="467"/>
      <c r="D12" s="455" t="s">
        <v>124</v>
      </c>
      <c r="E12" s="45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53" t="s">
        <v>328</v>
      </c>
      <c r="G12" s="484"/>
      <c r="H12" s="485"/>
      <c r="J12" s="465">
        <v>0</v>
      </c>
    </row>
    <row customHeight="1" ht="23.25">
      <c r="A13" s="467"/>
      <c r="B13" s="512"/>
      <c r="C13" s="467"/>
      <c r="D13" s="455" t="s">
        <v>124</v>
      </c>
      <c r="E13" s="452" t="str">
        <f>"Наименование юридического лица"&amp;IF(TEMPLATE_SPHERE="TKO"," (индивидуального предпринимателя)","")</f>
        <v>Наименование юридического лица</v>
      </c>
      <c r="F13" s="451"/>
      <c r="G13" s="45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85"/>
      <c r="J13" s="465">
        <v>22</v>
      </c>
    </row>
    <row customHeight="1" ht="22.5" hidden="1">
      <c r="A14" s="467"/>
      <c r="B14" s="512"/>
      <c r="C14" s="467"/>
      <c r="D14" s="1019" t="s">
        <v>329</v>
      </c>
      <c r="E14" s="1020" t="s">
        <v>330</v>
      </c>
      <c r="F14" s="1021" t="str">
        <f>IF(inn="","",inn)</f>
        <v>1434031363</v>
      </c>
      <c r="G14" s="1022" t="s">
        <v>331</v>
      </c>
      <c r="H14" s="485"/>
      <c r="J14" s="465">
        <v>0</v>
      </c>
    </row>
    <row customHeight="1" ht="22.5" hidden="1">
      <c r="A15" s="467"/>
      <c r="B15" s="512"/>
      <c r="C15" s="467"/>
      <c r="D15" s="1019" t="s">
        <v>332</v>
      </c>
      <c r="E15" s="1020" t="s">
        <v>333</v>
      </c>
      <c r="F15" s="1021" t="str">
        <f>IF(kpp="","",kpp)</f>
        <v>143445001</v>
      </c>
      <c r="G15" s="1022" t="s">
        <v>334</v>
      </c>
      <c r="H15" s="485"/>
      <c r="J15" s="465">
        <v>0</v>
      </c>
    </row>
    <row customHeight="1" ht="39">
      <c r="A16" s="467"/>
      <c r="B16" s="512"/>
      <c r="C16" s="467"/>
      <c r="D16" s="455" t="s">
        <v>104</v>
      </c>
      <c r="E16" s="45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51"/>
      <c r="G16" s="45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5"/>
      <c r="J16" s="465">
        <v>37</v>
      </c>
    </row>
    <row customHeight="1" ht="23.25">
      <c r="A17" s="467"/>
      <c r="B17" s="512"/>
      <c r="C17" s="467"/>
      <c r="D17" s="455" t="s">
        <v>90</v>
      </c>
      <c r="E17" s="452" t="str">
        <f>"Дата присвоения ОГРН"&amp;IF(TEMPLATE_SPHERE="TKO",""," (ОГРНИП)")</f>
        <v>Дата присвоения ОГРН (ОГРНИП)</v>
      </c>
      <c r="F17" s="1742" t="s">
        <v>22</v>
      </c>
      <c r="G17" s="454" t="str">
        <f>"Дата присвоения ОГРН"&amp;IF(TEMPLATE_SPHERE="TKO",""," (ОГРНИП)")&amp;" указывается в виде «ДД.ММ.ГГГГ»."</f>
        <v>Дата присвоения ОГРН (ОГРНИП) указывается в виде «ДД.ММ.ГГГГ».</v>
      </c>
      <c r="H17" s="485"/>
      <c r="J17" s="465">
        <v>22</v>
      </c>
    </row>
    <row customHeight="1" ht="71.25">
      <c r="A18" s="467"/>
      <c r="B18" s="512"/>
      <c r="C18" s="467"/>
      <c r="D18" s="455" t="s">
        <v>91</v>
      </c>
      <c r="E18" s="45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51"/>
      <c r="G18" s="484"/>
      <c r="H18" s="485"/>
      <c r="J18" s="465">
        <v>68</v>
      </c>
    </row>
    <row customHeight="1" ht="22.5" hidden="1">
      <c r="A19" s="2212" t="s">
        <v>335</v>
      </c>
      <c r="B19" s="512"/>
      <c r="C19" s="2223"/>
      <c r="D19" s="455" t="str">
        <f>A19</f>
        <v>5.1</v>
      </c>
      <c r="E19" s="452" t="s">
        <v>336</v>
      </c>
      <c r="F19" s="453" t="s">
        <v>328</v>
      </c>
      <c r="G19" s="454" t="s">
        <v>337</v>
      </c>
      <c r="H19" s="485"/>
      <c r="I19" s="862"/>
      <c r="J19" s="465">
        <v>0</v>
      </c>
    </row>
    <row customHeight="1" ht="24" hidden="1">
      <c r="A20" s="2212"/>
      <c r="B20" s="512"/>
      <c r="C20" s="2223"/>
      <c r="D20" s="450" t="str">
        <f>D19&amp;".1"</f>
        <v>5.1.1</v>
      </c>
      <c r="E20" s="449" t="s">
        <v>338</v>
      </c>
      <c r="F20" s="891" t="s">
        <v>22</v>
      </c>
      <c r="G20" s="484"/>
      <c r="H20" s="485"/>
      <c r="I20" s="862"/>
      <c r="J20" s="465">
        <v>0</v>
      </c>
    </row>
    <row customHeight="1" ht="22.5" hidden="1">
      <c r="A21" s="2212"/>
      <c r="B21" s="512"/>
      <c r="C21" s="2223"/>
      <c r="D21" s="450" t="str">
        <f>D19&amp;".2"</f>
        <v>5.1.2</v>
      </c>
      <c r="E21" s="449" t="s">
        <v>339</v>
      </c>
      <c r="F21" s="1743" t="s">
        <v>22</v>
      </c>
      <c r="G21" s="454" t="s">
        <v>340</v>
      </c>
      <c r="H21" s="485"/>
      <c r="I21" s="862"/>
      <c r="J21" s="465">
        <v>0</v>
      </c>
    </row>
    <row customHeight="1" ht="22.5" hidden="1">
      <c r="A22" s="2212"/>
      <c r="B22" s="512"/>
      <c r="C22" s="2223"/>
      <c r="D22" s="450" t="str">
        <f>D19&amp;".3"</f>
        <v>5.1.3</v>
      </c>
      <c r="E22" s="449" t="s">
        <v>341</v>
      </c>
      <c r="F22" s="891" t="s">
        <v>22</v>
      </c>
      <c r="G22" s="484"/>
      <c r="H22" s="485"/>
      <c r="I22" s="862"/>
      <c r="J22" s="465">
        <v>0</v>
      </c>
    </row>
    <row customHeight="1" ht="22.5" hidden="1">
      <c r="A23" s="2212"/>
      <c r="B23" s="512"/>
      <c r="C23" s="2223"/>
      <c r="D23" s="450" t="str">
        <f>D19&amp;".4"</f>
        <v>5.1.4</v>
      </c>
      <c r="E23" s="449" t="s">
        <v>342</v>
      </c>
      <c r="F23" s="891" t="s">
        <v>22</v>
      </c>
      <c r="G23" s="454" t="s">
        <v>343</v>
      </c>
      <c r="H23" s="485"/>
      <c r="I23" s="862"/>
      <c r="J23" s="465">
        <v>0</v>
      </c>
    </row>
    <row customHeight="1" ht="22.5" hidden="1">
      <c r="A24" s="1988"/>
      <c r="B24" s="512"/>
      <c r="C24" s="502"/>
      <c r="D24" s="477"/>
      <c r="E24" s="1178" t="s">
        <v>344</v>
      </c>
      <c r="F24" s="478"/>
      <c r="G24" s="479"/>
      <c r="H24" s="485"/>
      <c r="I24" s="862"/>
      <c r="J24" s="465">
        <v>0</v>
      </c>
    </row>
    <row s="511" customFormat="1" customHeight="1" ht="24.75" hidden="1">
      <c r="A25" s="467"/>
      <c r="B25" s="512"/>
      <c r="C25" s="512"/>
      <c r="D25" s="1016" t="s">
        <v>90</v>
      </c>
      <c r="E25" s="1018" t="s">
        <v>345</v>
      </c>
      <c r="F25" s="1023" t="s">
        <v>328</v>
      </c>
      <c r="G25" s="1018"/>
      <c r="J25" s="511">
        <v>0</v>
      </c>
    </row>
    <row s="511" customFormat="1" customHeight="1" ht="11.25" hidden="1">
      <c r="A26" s="467"/>
      <c r="B26" s="512"/>
      <c r="C26" s="512"/>
      <c r="D26" s="1016" t="s">
        <v>346</v>
      </c>
      <c r="E26" s="1017" t="s">
        <v>347</v>
      </c>
      <c r="F26" s="1023" t="s">
        <v>328</v>
      </c>
      <c r="G26" s="1018"/>
      <c r="J26" s="511">
        <v>0</v>
      </c>
    </row>
    <row s="511" customFormat="1" customHeight="1" ht="11.25" hidden="1">
      <c r="A27" s="467"/>
      <c r="B27" s="512"/>
      <c r="C27" s="512"/>
      <c r="D27" s="1016" t="s">
        <v>348</v>
      </c>
      <c r="E27" s="1024" t="s">
        <v>349</v>
      </c>
      <c r="F27" s="1025"/>
      <c r="G27" s="101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11">
        <v>0</v>
      </c>
    </row>
    <row s="511" customFormat="1" customHeight="1" ht="11.25" hidden="1">
      <c r="A28" s="467"/>
      <c r="B28" s="512"/>
      <c r="C28" s="512"/>
      <c r="D28" s="1016" t="s">
        <v>350</v>
      </c>
      <c r="E28" s="1024" t="s">
        <v>351</v>
      </c>
      <c r="F28" s="1025"/>
      <c r="G28" s="101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11">
        <v>0</v>
      </c>
    </row>
    <row s="511" customFormat="1" customHeight="1" ht="11.25" hidden="1">
      <c r="A29" s="467"/>
      <c r="B29" s="512"/>
      <c r="C29" s="512"/>
      <c r="D29" s="1016" t="s">
        <v>352</v>
      </c>
      <c r="E29" s="1024" t="s">
        <v>353</v>
      </c>
      <c r="F29" s="1025"/>
      <c r="G29" s="101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11">
        <v>0</v>
      </c>
    </row>
    <row s="511" customFormat="1" customHeight="1" ht="11.25" hidden="1">
      <c r="A30" s="467"/>
      <c r="B30" s="512"/>
      <c r="C30" s="512"/>
      <c r="D30" s="1016" t="s">
        <v>354</v>
      </c>
      <c r="E30" s="1017" t="s">
        <v>355</v>
      </c>
      <c r="F30" s="1025"/>
      <c r="G30" s="1018"/>
      <c r="J30" s="511">
        <v>0</v>
      </c>
    </row>
    <row s="511" customFormat="1" customHeight="1" ht="11.25" hidden="1">
      <c r="A31" s="467"/>
      <c r="B31" s="512"/>
      <c r="C31" s="512"/>
      <c r="D31" s="1016" t="s">
        <v>356</v>
      </c>
      <c r="E31" s="1017" t="s">
        <v>357</v>
      </c>
      <c r="F31" s="1025"/>
      <c r="G31" s="1018"/>
      <c r="J31" s="511">
        <v>0</v>
      </c>
    </row>
    <row s="511" customFormat="1" customHeight="1" ht="11.25" hidden="1">
      <c r="A32" s="467"/>
      <c r="B32" s="512"/>
      <c r="C32" s="512"/>
      <c r="D32" s="1016" t="s">
        <v>358</v>
      </c>
      <c r="E32" s="1017" t="s">
        <v>359</v>
      </c>
      <c r="F32" s="1026"/>
      <c r="G32" s="1018"/>
      <c r="J32" s="511">
        <v>0</v>
      </c>
    </row>
    <row customHeight="1" ht="24">
      <c r="A33" s="467" t="str">
        <f>IF(TEMPLATE_SPHERE="HEAT","6","5")</f>
        <v>6</v>
      </c>
      <c r="B33" s="512"/>
      <c r="C33" s="467"/>
      <c r="D33" s="450" t="str">
        <f>A33</f>
        <v>6</v>
      </c>
      <c r="E33" s="44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53" t="s">
        <v>328</v>
      </c>
      <c r="G33" s="484"/>
      <c r="H33" s="485"/>
      <c r="J33" s="465">
        <v>23</v>
      </c>
    </row>
    <row customHeight="1" ht="23.25">
      <c r="A34" s="467"/>
      <c r="B34" s="512"/>
      <c r="C34" s="467"/>
      <c r="D34" s="450" t="str">
        <f>D33&amp;".1"</f>
        <v>6.1</v>
      </c>
      <c r="E34" s="452" t="str">
        <f>"фамилия"&amp;IF(TEMPLATE_SPHERE&lt;&gt;"HEAT"," руководителя","")</f>
        <v>фамилия</v>
      </c>
      <c r="F34" s="451"/>
      <c r="G34" s="45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85"/>
      <c r="J34" s="465">
        <v>22</v>
      </c>
    </row>
    <row customHeight="1" ht="23.25">
      <c r="A35" s="467"/>
      <c r="B35" s="512"/>
      <c r="C35" s="467"/>
      <c r="D35" s="450" t="str">
        <f>D33&amp;".2"</f>
        <v>6.2</v>
      </c>
      <c r="E35" s="452" t="str">
        <f>"имя"&amp;IF(TEMPLATE_SPHERE&lt;&gt;"HEAT"," руководителя","")</f>
        <v>имя</v>
      </c>
      <c r="F35" s="451"/>
      <c r="G35" s="45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85"/>
      <c r="J35" s="465">
        <v>22</v>
      </c>
    </row>
    <row customHeight="1" ht="24">
      <c r="A36" s="467"/>
      <c r="B36" s="512"/>
      <c r="C36" s="467"/>
      <c r="D36" s="450" t="str">
        <f>D33&amp;".3"</f>
        <v>6.3</v>
      </c>
      <c r="E36" s="452" t="str">
        <f>"отчество"&amp;IF(TEMPLATE_SPHERE&lt;&gt;"HEAT"," руководителя","")</f>
        <v>отчество</v>
      </c>
      <c r="F36" s="708"/>
      <c r="G36" s="45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85"/>
      <c r="J36" s="465">
        <v>23</v>
      </c>
    </row>
    <row customHeight="1" ht="35.699999999999996">
      <c r="A37" s="467"/>
      <c r="B37" s="512"/>
      <c r="C37" s="467"/>
      <c r="D37" s="450">
        <f>D33+1</f>
        <v>7</v>
      </c>
      <c r="E37" s="44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51"/>
      <c r="G37" s="454" t="s">
        <v>360</v>
      </c>
      <c r="H37" s="485"/>
      <c r="J37" s="465">
        <v>34</v>
      </c>
    </row>
    <row customHeight="1" ht="35.699999999999996">
      <c r="A38" s="467"/>
      <c r="B38" s="512"/>
      <c r="C38" s="467"/>
      <c r="D38" s="450">
        <f>D37+1</f>
        <v>8</v>
      </c>
      <c r="E38" s="44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51"/>
      <c r="G38" s="454" t="s">
        <v>360</v>
      </c>
      <c r="H38" s="485"/>
      <c r="J38" s="465">
        <v>34</v>
      </c>
    </row>
    <row customHeight="1" ht="23.25">
      <c r="A39" s="467"/>
      <c r="B39" s="512"/>
      <c r="C39" s="467"/>
      <c r="D39" s="450">
        <f>D38+1</f>
        <v>9</v>
      </c>
      <c r="E39" s="44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53" t="s">
        <v>328</v>
      </c>
      <c r="G39" s="222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85"/>
      <c r="J39" s="465">
        <v>22</v>
      </c>
    </row>
    <row customHeight="1" ht="22.5" hidden="1">
      <c r="A40" s="467"/>
      <c r="B40" s="512"/>
      <c r="C40" s="467"/>
      <c r="D40" s="450" t="str">
        <f>D39&amp;".0"</f>
        <v>9.0</v>
      </c>
      <c r="E40" s="1615"/>
      <c r="F40" s="891"/>
      <c r="G40" s="2221"/>
      <c r="H40" s="485"/>
      <c r="J40" s="465">
        <v>0</v>
      </c>
    </row>
    <row customHeight="1" ht="23.25">
      <c r="A41" s="467"/>
      <c r="B41" s="467"/>
      <c r="C41" s="1698"/>
      <c r="D41" s="450" t="str">
        <f>D39&amp;".1"</f>
        <v>9.1</v>
      </c>
      <c r="E41" s="870"/>
      <c r="F41" s="871"/>
      <c r="G41" s="2221"/>
      <c r="H41" s="485"/>
      <c r="J41" s="465">
        <v>22</v>
      </c>
    </row>
    <row customHeight="1" ht="15.75">
      <c r="A42" s="467"/>
      <c r="B42" s="512"/>
      <c r="C42" s="467"/>
      <c r="D42" s="477"/>
      <c r="E42" s="425" t="s">
        <v>361</v>
      </c>
      <c r="F42" s="479"/>
      <c r="G42" s="2222"/>
      <c r="H42" s="486"/>
      <c r="J42" s="465">
        <v>15</v>
      </c>
    </row>
    <row customHeight="1" ht="27.299999999999997">
      <c r="A43" s="467"/>
      <c r="B43" s="512"/>
      <c r="C43" s="467"/>
      <c r="D43" s="450">
        <f>D39+1</f>
        <v>10</v>
      </c>
      <c r="E43" s="44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72"/>
      <c r="G43" s="45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85"/>
      <c r="J43" s="465">
        <v>26</v>
      </c>
    </row>
    <row customHeight="1" ht="23.25">
      <c r="A44" s="467"/>
      <c r="B44" s="512"/>
      <c r="C44" s="467"/>
      <c r="D44" s="450">
        <f>D43+1</f>
        <v>11</v>
      </c>
      <c r="E44" s="44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8"/>
      <c r="G44" s="484" t="s">
        <v>362</v>
      </c>
      <c r="H44" s="485"/>
      <c r="J44" s="465">
        <v>22</v>
      </c>
    </row>
    <row customHeight="1" ht="23.25">
      <c r="A45" s="467"/>
      <c r="B45" s="512"/>
      <c r="C45" s="467"/>
      <c r="D45" s="450">
        <f>D44+1</f>
        <v>12</v>
      </c>
      <c r="E45" s="448" t="s">
        <v>363</v>
      </c>
      <c r="F45" s="453" t="s">
        <v>328</v>
      </c>
      <c r="G45" s="447" t="str">
        <f>IF(TEMPLATE_SPHERE="TKO","Указывается режим работы организации.","")</f>
        <v/>
      </c>
      <c r="H45" s="485"/>
      <c r="J45" s="465">
        <v>22</v>
      </c>
    </row>
    <row customHeight="1" ht="24">
      <c r="A46" s="467"/>
      <c r="B46" s="512"/>
      <c r="C46" s="467"/>
      <c r="D46" s="450" t="str">
        <f>D45&amp;".1"</f>
        <v>12.1</v>
      </c>
      <c r="E46" s="452" t="str">
        <f>"режим работы регулируемой организации"&amp;IF(TEMPLATE_SPHERE="HEAT",", ЕТО, ТО","")</f>
        <v>режим работы регулируемой организации, ЕТО, ТО</v>
      </c>
      <c r="F46" s="1694"/>
      <c r="G46" s="447" t="s">
        <v>364</v>
      </c>
      <c r="H46" s="485"/>
      <c r="J46" s="465">
        <v>23</v>
      </c>
    </row>
    <row customHeight="1" ht="24">
      <c r="A47" s="2212"/>
      <c r="B47" s="512"/>
      <c r="C47" s="502"/>
      <c r="D47" s="450" t="str">
        <f>D45&amp;".2"</f>
        <v>12.2</v>
      </c>
      <c r="E47" s="452" t="s">
        <v>365</v>
      </c>
      <c r="F47" s="500"/>
      <c r="G47" s="447" t="s">
        <v>366</v>
      </c>
      <c r="H47" s="485"/>
      <c r="J47" s="465">
        <v>23</v>
      </c>
    </row>
    <row customHeight="1" ht="24">
      <c r="A48" s="2212"/>
      <c r="B48" s="512"/>
      <c r="C48" s="502"/>
      <c r="D48" s="450" t="str">
        <f>D45&amp;".3"</f>
        <v>12.3</v>
      </c>
      <c r="E48" s="452" t="s">
        <v>367</v>
      </c>
      <c r="F48" s="500"/>
      <c r="G48" s="447" t="s">
        <v>368</v>
      </c>
      <c r="H48" s="485"/>
      <c r="J48" s="465">
        <v>23</v>
      </c>
    </row>
    <row customHeight="1" ht="24">
      <c r="A49" s="2212"/>
      <c r="B49" s="512"/>
      <c r="C49" s="502"/>
      <c r="D49" s="450" t="str">
        <f>IF(TEMPLATE_SPHERE="TKO",D45&amp;".0",D45&amp;".4")</f>
        <v>12.4</v>
      </c>
      <c r="E49" s="446" t="s">
        <v>369</v>
      </c>
      <c r="F49" s="1695"/>
      <c r="G49" s="1772" t="s">
        <v>370</v>
      </c>
      <c r="H49" s="485"/>
      <c r="J49" s="465">
        <v>23</v>
      </c>
    </row>
    <row customHeight="1" ht="24">
      <c r="A50" s="467"/>
      <c r="B50" s="512"/>
      <c r="C50" s="467"/>
      <c r="D50" s="477"/>
      <c r="E50" s="425" t="s">
        <v>371</v>
      </c>
      <c r="F50" s="478"/>
      <c r="G50" s="1772" t="s">
        <v>372</v>
      </c>
      <c r="H50" s="486"/>
      <c r="J50" s="465">
        <v>23</v>
      </c>
    </row>
    <row customHeight="1" ht="24">
      <c r="A51" s="868"/>
      <c r="B51" s="512"/>
      <c r="C51" s="502"/>
      <c r="D51" s="450">
        <f>D45+1</f>
        <v>13</v>
      </c>
      <c r="E51" s="538" t="s">
        <v>373</v>
      </c>
      <c r="F51" s="500"/>
      <c r="G51" s="169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85"/>
      <c r="J51" s="465">
        <v>23</v>
      </c>
    </row>
    <row customHeight="1" ht="11.549999999999999">
      <c r="A52" s="467"/>
      <c r="B52" s="512"/>
      <c r="C52" s="467"/>
      <c r="J52" s="465">
        <v>11</v>
      </c>
    </row>
    <row s="470" customFormat="1" customHeight="1" ht="31.5">
      <c r="A53" s="1697"/>
      <c r="B53" s="513"/>
      <c r="C53" s="2213"/>
      <c r="D53" s="221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16"/>
      <c r="F53" s="2216"/>
      <c r="G53" s="2216"/>
      <c r="H53" s="464"/>
      <c r="I53" s="464"/>
      <c r="J53" s="470">
        <v>30</v>
      </c>
    </row>
    <row s="470" customFormat="1" customHeight="1" ht="42">
      <c r="A54" s="467"/>
      <c r="B54" s="512"/>
      <c r="C54" s="2213"/>
      <c r="D54" s="2216"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16"/>
      <c r="F54" s="2216"/>
      <c r="G54" s="2216"/>
      <c r="J54" s="470">
        <v>40</v>
      </c>
    </row>
    <row customHeight="1" ht="11.549999999999999">
      <c r="D55" s="468"/>
      <c r="E55" s="469"/>
      <c r="F55" s="469"/>
      <c r="G55" s="469"/>
      <c r="J55" s="465">
        <v>11</v>
      </c>
    </row>
    <row customHeight="1" ht="28.5">
      <c r="D56" s="471"/>
      <c r="E56" s="468"/>
      <c r="F56" s="480"/>
      <c r="G56" s="480"/>
      <c r="J56" s="465">
        <v>27</v>
      </c>
    </row>
    <row customHeight="1" ht="11.549999999999999">
      <c r="D57" s="468"/>
      <c r="E57" s="468"/>
      <c r="F57" s="469"/>
      <c r="G57" s="469"/>
      <c r="J57" s="465">
        <v>11</v>
      </c>
    </row>
    <row customHeight="1" ht="40.949999999999996">
      <c r="D58" s="472"/>
      <c r="E58" s="481"/>
      <c r="F58" s="481"/>
      <c r="G58" s="481"/>
      <c r="J58" s="465">
        <v>39</v>
      </c>
    </row>
    <row customHeight="1" ht="28.5">
      <c r="D59" s="472"/>
      <c r="E59" s="481"/>
      <c r="F59" s="481"/>
      <c r="G59" s="481"/>
      <c r="J59" s="465">
        <v>27</v>
      </c>
    </row>
    <row customHeight="1" ht="11.25" hidden="1">
      <c r="A60" s="1696" t="s">
        <v>82</v>
      </c>
      <c r="B60" s="511">
        <v>0</v>
      </c>
      <c r="C60" s="465">
        <v>3</v>
      </c>
      <c r="D60" s="466">
        <v>6</v>
      </c>
      <c r="E60" s="465">
        <v>52</v>
      </c>
      <c r="F60" s="465">
        <v>48</v>
      </c>
      <c r="G60" s="465">
        <v>121</v>
      </c>
      <c r="H60" s="465">
        <v>8</v>
      </c>
      <c r="I60" s="465">
        <v>64</v>
      </c>
      <c r="J60" s="465">
        <v>11</v>
      </c>
    </row>
  </sheetData>
  <sheetProtection sheet="1" formatColumns="0" formatRows="0" sort="1" autoFilter="0" insertRows="1" insertColumns="1" deleteRows="1" deleteColumns="1"/>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D1FC68-96B6-476E-C008-0.2C40FEEC}"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DCD29C-9475-DBAA-1D28-0.721285BA}"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362753-BF41-7CB4-49F9-0.E87DE36D}"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6"/>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1738F2-C59D-CC76-EA13-0.FD8EAC56}" mc:Ignorable="x14ac xr xr2 xr3">
  <dimension ref="A1:E8"/>
  <sheetViews>
    <sheetView topLeftCell="A1" showGridLines="0" workbookViewId="0">
      <selection activeCell="A1" sqref="A1"/>
    </sheetView>
  </sheetViews>
  <sheetFormatPr customHeight="1" defaultRowHeight="11.25"/>
  <cols>
    <col min="1" max="1" style="74" width="10.57421875" customWidth="1"/>
    <col min="2" max="2" style="74" width="8.7109375" customWidth="1"/>
    <col min="3" max="3" style="74" width="18.140625" customWidth="1"/>
    <col min="4" max="4" style="74" width="12.57421875" customWidth="1"/>
  </cols>
  <sheetData>
    <row customHeight="1" ht="11.25">
      <c r="A1" s="2625" t="s">
        <v>2514</v>
      </c>
      <c r="B1" s="2626" t="s">
        <v>2515</v>
      </c>
      <c r="C1" s="2627" t="s">
        <v>2516</v>
      </c>
      <c r="D1" s="2628"/>
      <c r="E1" s="846" t="s">
        <v>2517</v>
      </c>
    </row>
    <row customHeight="1" ht="11.25">
      <c r="A2" s="2629"/>
      <c r="B2" s="775" t="s">
        <v>27</v>
      </c>
      <c r="C2" s="763"/>
      <c r="D2" s="774"/>
      <c r="E2" s="846"/>
    </row>
    <row customHeight="1" ht="11.25">
      <c r="A3" s="2630"/>
      <c r="B3" s="2631" t="s">
        <v>33</v>
      </c>
      <c r="C3" s="763"/>
      <c r="D3" s="774"/>
      <c r="E3" s="846"/>
    </row>
    <row customHeight="1" ht="11.25">
      <c r="A4" s="2632"/>
      <c r="B4" s="776" t="s">
        <v>1942</v>
      </c>
      <c r="C4" s="763"/>
      <c r="D4" s="774"/>
      <c r="E4" s="846"/>
    </row>
    <row customHeight="1" ht="11.25">
      <c r="A5" s="2633"/>
      <c r="B5" s="776" t="s">
        <v>1936</v>
      </c>
      <c r="C5" s="2634" t="s">
        <v>2281</v>
      </c>
      <c r="D5" s="2635" t="s">
        <v>2518</v>
      </c>
      <c r="E5" s="846"/>
    </row>
    <row s="1860" customFormat="1" customHeight="1" ht="11.25">
      <c r="A6" s="2636"/>
      <c r="B6" s="776" t="s">
        <v>1946</v>
      </c>
      <c r="C6" s="763"/>
      <c r="D6" s="774"/>
      <c r="E6" s="846"/>
    </row>
    <row customHeight="1" ht="11.25">
      <c r="A7" s="2637"/>
      <c r="B7" s="776" t="s">
        <v>1954</v>
      </c>
      <c r="C7" s="763"/>
      <c r="D7" s="774"/>
      <c r="E7" s="846"/>
    </row>
    <row customHeight="1" ht="11.25">
      <c r="A8" s="766"/>
      <c r="B8" s="776" t="s">
        <v>1949</v>
      </c>
      <c r="C8" s="763"/>
      <c r="D8" s="774"/>
      <c r="E8" s="846"/>
    </row>
  </sheetData>
  <sheetProtection sheet="1" formatColumns="0" formatRows="0" autoFilter="0" sort="1" insertRows="1" insertColumns="1" deleteRows="1" deleteColumns="1"/>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A0CEE1-3062-12FD-3927-0.D327DF14}"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F89D5D-9F5A-7AD8-85DE-0.002444EE}"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38C491-F573-1105-EE41-0.EF197218}" mc:Ignorable="x14ac xr xr2 xr3">
  <sheetPr>
    <tabColor rgb="FFFFCC99"/>
  </sheetPr>
  <dimension ref="A1:I769"/>
  <sheetViews>
    <sheetView topLeftCell="A1" showGridLines="0" workbookViewId="0">
      <selection activeCell="A1" sqref="A1"/>
    </sheetView>
  </sheetViews>
  <sheetFormatPr defaultColWidth="9.140625" customHeight="1" defaultRowHeight="11.25"/>
  <cols>
    <col min="1" max="2" style="1860" width="9.140625"/>
    <col min="3" max="3" style="1860" width="20.7109375" customWidth="1"/>
    <col min="4" max="4" style="1860" width="25.140625" customWidth="1"/>
    <col min="5" max="9" style="1860" width="9.140625"/>
  </cols>
  <sheetData>
    <row customHeight="1" ht="11.25">
      <c r="A1" s="78" t="s">
        <v>2519</v>
      </c>
      <c r="B1" s="78" t="s">
        <v>2520</v>
      </c>
      <c r="C1" s="78" t="s">
        <v>2521</v>
      </c>
      <c r="D1" s="78" t="s">
        <v>2522</v>
      </c>
      <c r="E1" s="78" t="s">
        <v>2523</v>
      </c>
      <c r="F1" s="78" t="s">
        <v>2524</v>
      </c>
      <c r="G1" s="78" t="s">
        <v>2525</v>
      </c>
      <c r="H1" s="78" t="s">
        <v>2526</v>
      </c>
      <c r="I1" s="78" t="s">
        <v>2527</v>
      </c>
    </row>
    <row customHeight="1" ht="11.25">
      <c r="A2" s="1860" t="s">
        <v>2528</v>
      </c>
      <c r="B2" s="1860" t="s">
        <v>16</v>
      </c>
      <c r="C2" s="1860" t="s">
        <v>2529</v>
      </c>
      <c r="D2" s="1860" t="s">
        <v>2530</v>
      </c>
      <c r="E2" s="1860" t="s">
        <v>2531</v>
      </c>
      <c r="F2" s="1860" t="s">
        <v>2532</v>
      </c>
      <c r="G2" s="1860" t="s">
        <v>2533</v>
      </c>
      <c r="H2" s="1860" t="s">
        <v>22</v>
      </c>
      <c r="I2" s="1860" t="s">
        <v>832</v>
      </c>
    </row>
    <row customHeight="1" ht="11.25">
      <c r="A3" s="1860" t="s">
        <v>2528</v>
      </c>
      <c r="B3" s="1860" t="s">
        <v>16</v>
      </c>
      <c r="C3" s="1860" t="s">
        <v>2534</v>
      </c>
      <c r="D3" s="1860" t="s">
        <v>2535</v>
      </c>
      <c r="E3" s="1860" t="s">
        <v>2531</v>
      </c>
      <c r="F3" s="1860" t="s">
        <v>2536</v>
      </c>
      <c r="G3" s="1860" t="s">
        <v>2533</v>
      </c>
      <c r="H3" s="1860" t="s">
        <v>22</v>
      </c>
      <c r="I3" s="1860" t="s">
        <v>832</v>
      </c>
    </row>
    <row customHeight="1" ht="11.25">
      <c r="A4" s="1860" t="s">
        <v>2528</v>
      </c>
      <c r="B4" s="1860" t="s">
        <v>16</v>
      </c>
      <c r="C4" s="1860" t="s">
        <v>2537</v>
      </c>
      <c r="D4" s="1860" t="s">
        <v>2538</v>
      </c>
      <c r="E4" s="1860" t="s">
        <v>2539</v>
      </c>
      <c r="F4" s="1860" t="s">
        <v>2540</v>
      </c>
      <c r="G4" s="1860" t="s">
        <v>2541</v>
      </c>
      <c r="H4" s="1860" t="s">
        <v>22</v>
      </c>
      <c r="I4" s="1860" t="s">
        <v>832</v>
      </c>
    </row>
    <row customHeight="1" ht="11.25">
      <c r="A5" s="1860" t="s">
        <v>2528</v>
      </c>
      <c r="B5" s="1860" t="s">
        <v>16</v>
      </c>
      <c r="C5" s="1860" t="s">
        <v>2542</v>
      </c>
      <c r="D5" s="1860" t="s">
        <v>2543</v>
      </c>
      <c r="E5" s="1860" t="s">
        <v>2544</v>
      </c>
      <c r="F5" s="1860" t="s">
        <v>2545</v>
      </c>
      <c r="G5" s="1860" t="s">
        <v>22</v>
      </c>
      <c r="H5" s="1860" t="s">
        <v>22</v>
      </c>
      <c r="I5" s="1860" t="s">
        <v>832</v>
      </c>
    </row>
    <row customHeight="1" ht="11.25">
      <c r="A6" s="1860" t="s">
        <v>2528</v>
      </c>
      <c r="B6" s="1860" t="s">
        <v>16</v>
      </c>
      <c r="C6" s="1860" t="s">
        <v>2546</v>
      </c>
      <c r="D6" s="1860" t="s">
        <v>2543</v>
      </c>
      <c r="E6" s="1860" t="s">
        <v>2544</v>
      </c>
      <c r="F6" s="1860" t="s">
        <v>2547</v>
      </c>
      <c r="G6" s="1860" t="s">
        <v>22</v>
      </c>
      <c r="H6" s="1860" t="s">
        <v>22</v>
      </c>
      <c r="I6" s="1860" t="s">
        <v>832</v>
      </c>
    </row>
    <row customHeight="1" ht="11.25">
      <c r="A7" s="1860" t="s">
        <v>2528</v>
      </c>
      <c r="B7" s="1860" t="s">
        <v>16</v>
      </c>
      <c r="C7" s="1860" t="s">
        <v>2548</v>
      </c>
      <c r="D7" s="1860" t="s">
        <v>2549</v>
      </c>
      <c r="E7" s="1860" t="s">
        <v>2550</v>
      </c>
      <c r="F7" s="1860" t="s">
        <v>2540</v>
      </c>
      <c r="G7" s="1860" t="s">
        <v>2551</v>
      </c>
      <c r="H7" s="1860" t="s">
        <v>22</v>
      </c>
      <c r="I7" s="1860" t="s">
        <v>832</v>
      </c>
    </row>
    <row customHeight="1" ht="11.25">
      <c r="A8" s="1860" t="s">
        <v>2528</v>
      </c>
      <c r="B8" s="1860" t="s">
        <v>16</v>
      </c>
      <c r="C8" s="1860" t="s">
        <v>2552</v>
      </c>
      <c r="D8" s="1860" t="s">
        <v>2553</v>
      </c>
      <c r="E8" s="1860" t="s">
        <v>49</v>
      </c>
      <c r="F8" s="1860" t="s">
        <v>2554</v>
      </c>
      <c r="G8" s="1860" t="s">
        <v>2555</v>
      </c>
      <c r="H8" s="1860" t="s">
        <v>22</v>
      </c>
      <c r="I8" s="1860" t="s">
        <v>832</v>
      </c>
    </row>
    <row customHeight="1" ht="11.25">
      <c r="A9" s="1860" t="s">
        <v>2528</v>
      </c>
      <c r="B9" s="1860" t="s">
        <v>16</v>
      </c>
      <c r="C9" s="1860" t="s">
        <v>2556</v>
      </c>
      <c r="D9" s="1860" t="s">
        <v>2557</v>
      </c>
      <c r="E9" s="1860" t="s">
        <v>2558</v>
      </c>
      <c r="F9" s="1860" t="s">
        <v>2540</v>
      </c>
      <c r="G9" s="1860" t="s">
        <v>2559</v>
      </c>
      <c r="H9" s="1860" t="s">
        <v>22</v>
      </c>
      <c r="I9" s="1860" t="s">
        <v>832</v>
      </c>
    </row>
    <row customHeight="1" ht="11.25">
      <c r="A10" s="1860" t="s">
        <v>2528</v>
      </c>
      <c r="B10" s="1860" t="s">
        <v>16</v>
      </c>
      <c r="C10" s="1860" t="s">
        <v>2560</v>
      </c>
      <c r="D10" s="1860" t="s">
        <v>2561</v>
      </c>
      <c r="E10" s="1860" t="s">
        <v>2562</v>
      </c>
      <c r="F10" s="1860" t="s">
        <v>2563</v>
      </c>
      <c r="G10" s="1860" t="s">
        <v>2564</v>
      </c>
      <c r="H10" s="1860" t="s">
        <v>22</v>
      </c>
      <c r="I10" s="1860" t="s">
        <v>832</v>
      </c>
    </row>
    <row customHeight="1" ht="11.25">
      <c r="A11" s="1860" t="s">
        <v>2528</v>
      </c>
      <c r="B11" s="1860" t="s">
        <v>16</v>
      </c>
      <c r="C11" s="1860" t="s">
        <v>2565</v>
      </c>
      <c r="D11" s="1860" t="s">
        <v>2566</v>
      </c>
      <c r="E11" s="1860" t="s">
        <v>2567</v>
      </c>
      <c r="F11" s="1860" t="s">
        <v>2540</v>
      </c>
      <c r="G11" s="1860" t="s">
        <v>2568</v>
      </c>
      <c r="H11" s="1860" t="s">
        <v>22</v>
      </c>
      <c r="I11" s="1860" t="s">
        <v>832</v>
      </c>
    </row>
    <row customHeight="1" ht="11.25">
      <c r="A12" s="1860" t="s">
        <v>2528</v>
      </c>
      <c r="B12" s="1860" t="s">
        <v>16</v>
      </c>
      <c r="C12" s="1860" t="s">
        <v>2569</v>
      </c>
      <c r="D12" s="1860" t="s">
        <v>2570</v>
      </c>
      <c r="E12" s="1860" t="s">
        <v>2571</v>
      </c>
      <c r="F12" s="1860" t="s">
        <v>2572</v>
      </c>
      <c r="G12" s="1860" t="s">
        <v>2573</v>
      </c>
      <c r="H12" s="1860" t="s">
        <v>22</v>
      </c>
      <c r="I12" s="1860" t="s">
        <v>832</v>
      </c>
    </row>
    <row customHeight="1" ht="11.25">
      <c r="A13" s="1860" t="s">
        <v>2528</v>
      </c>
      <c r="B13" s="1860" t="s">
        <v>16</v>
      </c>
      <c r="C13" s="1860" t="s">
        <v>2574</v>
      </c>
      <c r="D13" s="1860" t="s">
        <v>2575</v>
      </c>
      <c r="E13" s="1860" t="s">
        <v>2576</v>
      </c>
      <c r="F13" s="1860" t="s">
        <v>2577</v>
      </c>
      <c r="G13" s="1860" t="s">
        <v>2578</v>
      </c>
      <c r="H13" s="1860" t="s">
        <v>22</v>
      </c>
      <c r="I13" s="1860" t="s">
        <v>832</v>
      </c>
    </row>
    <row customHeight="1" ht="11.25">
      <c r="A14" s="1860" t="s">
        <v>2528</v>
      </c>
      <c r="B14" s="1860" t="s">
        <v>16</v>
      </c>
      <c r="C14" s="1860" t="s">
        <v>2579</v>
      </c>
      <c r="D14" s="1860" t="s">
        <v>2580</v>
      </c>
      <c r="E14" s="1860" t="s">
        <v>2581</v>
      </c>
      <c r="F14" s="1860" t="s">
        <v>2582</v>
      </c>
      <c r="G14" s="1860" t="s">
        <v>2583</v>
      </c>
      <c r="H14" s="1860" t="s">
        <v>22</v>
      </c>
      <c r="I14" s="1860" t="s">
        <v>832</v>
      </c>
    </row>
    <row customHeight="1" ht="11.25">
      <c r="A15" s="1860" t="s">
        <v>2528</v>
      </c>
      <c r="B15" s="1860" t="s">
        <v>16</v>
      </c>
      <c r="C15" s="1860" t="s">
        <v>2584</v>
      </c>
      <c r="D15" s="1860" t="s">
        <v>2585</v>
      </c>
      <c r="E15" s="1860" t="s">
        <v>2581</v>
      </c>
      <c r="F15" s="1860" t="s">
        <v>2586</v>
      </c>
      <c r="G15" s="1860" t="s">
        <v>2583</v>
      </c>
      <c r="H15" s="1860" t="s">
        <v>22</v>
      </c>
      <c r="I15" s="1860" t="s">
        <v>832</v>
      </c>
    </row>
    <row customHeight="1" ht="11.25">
      <c r="A16" s="1860" t="s">
        <v>2528</v>
      </c>
      <c r="B16" s="1860" t="s">
        <v>16</v>
      </c>
      <c r="C16" s="1860" t="s">
        <v>2587</v>
      </c>
      <c r="D16" s="1860" t="s">
        <v>2588</v>
      </c>
      <c r="E16" s="1860" t="s">
        <v>2581</v>
      </c>
      <c r="F16" s="1860" t="s">
        <v>2589</v>
      </c>
      <c r="G16" s="1860" t="s">
        <v>2583</v>
      </c>
      <c r="H16" s="1860" t="s">
        <v>22</v>
      </c>
      <c r="I16" s="1860" t="s">
        <v>832</v>
      </c>
    </row>
    <row customHeight="1" ht="11.25">
      <c r="A17" s="1860" t="s">
        <v>2528</v>
      </c>
      <c r="B17" s="1860" t="s">
        <v>16</v>
      </c>
      <c r="C17" s="1860" t="s">
        <v>2590</v>
      </c>
      <c r="D17" s="1860" t="s">
        <v>2591</v>
      </c>
      <c r="E17" s="1860" t="s">
        <v>2581</v>
      </c>
      <c r="F17" s="1860" t="s">
        <v>2592</v>
      </c>
      <c r="G17" s="1860" t="s">
        <v>2583</v>
      </c>
      <c r="H17" s="1860" t="s">
        <v>22</v>
      </c>
      <c r="I17" s="1860" t="s">
        <v>832</v>
      </c>
    </row>
    <row customHeight="1" ht="11.25">
      <c r="A18" s="1860" t="s">
        <v>2528</v>
      </c>
      <c r="B18" s="1860" t="s">
        <v>16</v>
      </c>
      <c r="C18" s="1860" t="s">
        <v>2593</v>
      </c>
      <c r="D18" s="1860" t="s">
        <v>2594</v>
      </c>
      <c r="E18" s="1860" t="s">
        <v>2581</v>
      </c>
      <c r="F18" s="1860" t="s">
        <v>2595</v>
      </c>
      <c r="G18" s="1860" t="s">
        <v>2583</v>
      </c>
      <c r="H18" s="1860" t="s">
        <v>22</v>
      </c>
      <c r="I18" s="1860" t="s">
        <v>832</v>
      </c>
    </row>
    <row customHeight="1" ht="11.25">
      <c r="A19" s="1860" t="s">
        <v>2528</v>
      </c>
      <c r="B19" s="1860" t="s">
        <v>16</v>
      </c>
      <c r="C19" s="1860" t="s">
        <v>2596</v>
      </c>
      <c r="D19" s="1860" t="s">
        <v>2597</v>
      </c>
      <c r="E19" s="1860" t="s">
        <v>2581</v>
      </c>
      <c r="F19" s="1860" t="s">
        <v>2598</v>
      </c>
      <c r="G19" s="1860" t="s">
        <v>2583</v>
      </c>
      <c r="H19" s="1860" t="s">
        <v>22</v>
      </c>
      <c r="I19" s="1860" t="s">
        <v>832</v>
      </c>
    </row>
    <row customHeight="1" ht="11.25">
      <c r="A20" s="1860" t="s">
        <v>2528</v>
      </c>
      <c r="B20" s="1860" t="s">
        <v>16</v>
      </c>
      <c r="C20" s="1860" t="s">
        <v>2599</v>
      </c>
      <c r="D20" s="1860" t="s">
        <v>2600</v>
      </c>
      <c r="E20" s="1860" t="s">
        <v>2581</v>
      </c>
      <c r="F20" s="1860" t="s">
        <v>2601</v>
      </c>
      <c r="G20" s="1860" t="s">
        <v>2583</v>
      </c>
      <c r="H20" s="1860" t="s">
        <v>22</v>
      </c>
      <c r="I20" s="1860" t="s">
        <v>832</v>
      </c>
    </row>
    <row customHeight="1" ht="11.25">
      <c r="A21" s="1860" t="s">
        <v>2528</v>
      </c>
      <c r="B21" s="1860" t="s">
        <v>16</v>
      </c>
      <c r="C21" s="1860" t="s">
        <v>2602</v>
      </c>
      <c r="D21" s="1860" t="s">
        <v>2603</v>
      </c>
      <c r="E21" s="1860" t="s">
        <v>2581</v>
      </c>
      <c r="F21" s="1860" t="s">
        <v>2604</v>
      </c>
      <c r="G21" s="1860" t="s">
        <v>2583</v>
      </c>
      <c r="H21" s="1860" t="s">
        <v>22</v>
      </c>
      <c r="I21" s="1860" t="s">
        <v>832</v>
      </c>
    </row>
    <row customHeight="1" ht="11.25">
      <c r="A22" s="1860" t="s">
        <v>2528</v>
      </c>
      <c r="B22" s="1860" t="s">
        <v>16</v>
      </c>
      <c r="C22" s="1860" t="s">
        <v>2605</v>
      </c>
      <c r="D22" s="1860" t="s">
        <v>2606</v>
      </c>
      <c r="E22" s="1860" t="s">
        <v>2607</v>
      </c>
      <c r="F22" s="1860" t="s">
        <v>2582</v>
      </c>
      <c r="G22" s="1860" t="s">
        <v>2608</v>
      </c>
      <c r="H22" s="1860" t="s">
        <v>22</v>
      </c>
      <c r="I22" s="1860" t="s">
        <v>832</v>
      </c>
    </row>
    <row customHeight="1" ht="11.25">
      <c r="A23" s="1860" t="s">
        <v>2528</v>
      </c>
      <c r="B23" s="1860" t="s">
        <v>16</v>
      </c>
      <c r="C23" s="1860" t="s">
        <v>2609</v>
      </c>
      <c r="D23" s="1860" t="s">
        <v>2610</v>
      </c>
      <c r="E23" s="1860" t="s">
        <v>2607</v>
      </c>
      <c r="F23" s="1860" t="s">
        <v>2611</v>
      </c>
      <c r="G23" s="1860" t="s">
        <v>2608</v>
      </c>
      <c r="H23" s="1860" t="s">
        <v>22</v>
      </c>
      <c r="I23" s="1860" t="s">
        <v>832</v>
      </c>
    </row>
    <row customHeight="1" ht="11.25">
      <c r="A24" s="1860" t="s">
        <v>2528</v>
      </c>
      <c r="B24" s="1860" t="s">
        <v>16</v>
      </c>
      <c r="C24" s="1860" t="s">
        <v>2612</v>
      </c>
      <c r="D24" s="1860" t="s">
        <v>2613</v>
      </c>
      <c r="E24" s="1860" t="s">
        <v>2607</v>
      </c>
      <c r="F24" s="1860" t="s">
        <v>2614</v>
      </c>
      <c r="G24" s="1860" t="s">
        <v>2608</v>
      </c>
      <c r="H24" s="1860" t="s">
        <v>22</v>
      </c>
      <c r="I24" s="1860" t="s">
        <v>832</v>
      </c>
    </row>
    <row customHeight="1" ht="11.25">
      <c r="A25" s="1860" t="s">
        <v>2528</v>
      </c>
      <c r="B25" s="1860" t="s">
        <v>16</v>
      </c>
      <c r="C25" s="1860" t="s">
        <v>2615</v>
      </c>
      <c r="D25" s="1860" t="s">
        <v>2616</v>
      </c>
      <c r="E25" s="1860" t="s">
        <v>2607</v>
      </c>
      <c r="F25" s="1860" t="s">
        <v>2617</v>
      </c>
      <c r="G25" s="1860" t="s">
        <v>2608</v>
      </c>
      <c r="H25" s="1860" t="s">
        <v>22</v>
      </c>
      <c r="I25" s="1860" t="s">
        <v>832</v>
      </c>
    </row>
    <row customHeight="1" ht="11.25">
      <c r="A26" s="1860" t="s">
        <v>2528</v>
      </c>
      <c r="B26" s="1860" t="s">
        <v>16</v>
      </c>
      <c r="C26" s="1860" t="s">
        <v>2618</v>
      </c>
      <c r="D26" s="1860" t="s">
        <v>2619</v>
      </c>
      <c r="E26" s="1860" t="s">
        <v>2607</v>
      </c>
      <c r="F26" s="1860" t="s">
        <v>2620</v>
      </c>
      <c r="G26" s="1860" t="s">
        <v>2608</v>
      </c>
      <c r="H26" s="1860" t="s">
        <v>22</v>
      </c>
      <c r="I26" s="1860" t="s">
        <v>832</v>
      </c>
    </row>
    <row customHeight="1" ht="11.25">
      <c r="A27" s="1860" t="s">
        <v>2528</v>
      </c>
      <c r="B27" s="1860" t="s">
        <v>16</v>
      </c>
      <c r="C27" s="1860" t="s">
        <v>2621</v>
      </c>
      <c r="D27" s="1860" t="s">
        <v>2622</v>
      </c>
      <c r="E27" s="1860" t="s">
        <v>2607</v>
      </c>
      <c r="F27" s="1860" t="s">
        <v>2623</v>
      </c>
      <c r="G27" s="1860" t="s">
        <v>2608</v>
      </c>
      <c r="H27" s="1860" t="s">
        <v>22</v>
      </c>
      <c r="I27" s="1860" t="s">
        <v>832</v>
      </c>
    </row>
    <row customHeight="1" ht="11.25">
      <c r="A28" s="1860" t="s">
        <v>2528</v>
      </c>
      <c r="B28" s="1860" t="s">
        <v>16</v>
      </c>
      <c r="C28" s="1860" t="s">
        <v>2624</v>
      </c>
      <c r="D28" s="1860" t="s">
        <v>2625</v>
      </c>
      <c r="E28" s="1860" t="s">
        <v>2607</v>
      </c>
      <c r="F28" s="1860" t="s">
        <v>2626</v>
      </c>
      <c r="G28" s="1860" t="s">
        <v>2608</v>
      </c>
      <c r="H28" s="1860" t="s">
        <v>22</v>
      </c>
      <c r="I28" s="1860" t="s">
        <v>832</v>
      </c>
    </row>
    <row customHeight="1" ht="11.25">
      <c r="A29" s="1860" t="s">
        <v>2528</v>
      </c>
      <c r="B29" s="1860" t="s">
        <v>16</v>
      </c>
      <c r="C29" s="1860" t="s">
        <v>2627</v>
      </c>
      <c r="D29" s="1860" t="s">
        <v>2628</v>
      </c>
      <c r="E29" s="1860" t="s">
        <v>2607</v>
      </c>
      <c r="F29" s="1860" t="s">
        <v>2629</v>
      </c>
      <c r="G29" s="1860" t="s">
        <v>2608</v>
      </c>
      <c r="H29" s="1860" t="s">
        <v>22</v>
      </c>
      <c r="I29" s="1860" t="s">
        <v>832</v>
      </c>
    </row>
    <row customHeight="1" ht="11.25">
      <c r="A30" s="1860" t="s">
        <v>2528</v>
      </c>
      <c r="B30" s="1860" t="s">
        <v>16</v>
      </c>
      <c r="C30" s="1860" t="s">
        <v>2630</v>
      </c>
      <c r="D30" s="1860" t="s">
        <v>2631</v>
      </c>
      <c r="E30" s="1860" t="s">
        <v>2607</v>
      </c>
      <c r="F30" s="1860" t="s">
        <v>2598</v>
      </c>
      <c r="G30" s="1860" t="s">
        <v>2608</v>
      </c>
      <c r="H30" s="1860" t="s">
        <v>22</v>
      </c>
      <c r="I30" s="1860" t="s">
        <v>832</v>
      </c>
    </row>
    <row customHeight="1" ht="11.25">
      <c r="A31" s="1860" t="s">
        <v>2528</v>
      </c>
      <c r="B31" s="1860" t="s">
        <v>16</v>
      </c>
      <c r="C31" s="1860" t="s">
        <v>2632</v>
      </c>
      <c r="D31" s="1860" t="s">
        <v>2633</v>
      </c>
      <c r="E31" s="1860" t="s">
        <v>2634</v>
      </c>
      <c r="F31" s="1860" t="s">
        <v>2635</v>
      </c>
      <c r="G31" s="1860" t="s">
        <v>2636</v>
      </c>
      <c r="H31" s="1860" t="s">
        <v>22</v>
      </c>
      <c r="I31" s="1860" t="s">
        <v>832</v>
      </c>
    </row>
    <row customHeight="1" ht="11.25">
      <c r="A32" s="1860" t="s">
        <v>2528</v>
      </c>
      <c r="B32" s="1860" t="s">
        <v>16</v>
      </c>
      <c r="C32" s="1860" t="s">
        <v>2637</v>
      </c>
      <c r="D32" s="1860" t="s">
        <v>2638</v>
      </c>
      <c r="E32" s="1860" t="s">
        <v>2639</v>
      </c>
      <c r="F32" s="1860" t="s">
        <v>2540</v>
      </c>
      <c r="G32" s="1860" t="s">
        <v>2640</v>
      </c>
      <c r="H32" s="1860" t="s">
        <v>22</v>
      </c>
      <c r="I32" s="1860" t="s">
        <v>832</v>
      </c>
    </row>
    <row customHeight="1" ht="11.25">
      <c r="A33" s="1860" t="s">
        <v>2528</v>
      </c>
      <c r="B33" s="1860" t="s">
        <v>16</v>
      </c>
      <c r="C33" s="1860" t="s">
        <v>2641</v>
      </c>
      <c r="D33" s="1860" t="s">
        <v>2642</v>
      </c>
      <c r="E33" s="1860" t="s">
        <v>2643</v>
      </c>
      <c r="F33" s="1860" t="s">
        <v>2644</v>
      </c>
      <c r="G33" s="1860" t="s">
        <v>2645</v>
      </c>
      <c r="H33" s="1860" t="s">
        <v>22</v>
      </c>
      <c r="I33" s="1860" t="s">
        <v>832</v>
      </c>
    </row>
    <row customHeight="1" ht="11.25">
      <c r="A34" s="1860" t="s">
        <v>2528</v>
      </c>
      <c r="B34" s="1860" t="s">
        <v>16</v>
      </c>
      <c r="C34" s="1860" t="s">
        <v>2646</v>
      </c>
      <c r="D34" s="1860" t="s">
        <v>2647</v>
      </c>
      <c r="E34" s="1860" t="s">
        <v>2648</v>
      </c>
      <c r="F34" s="1860" t="s">
        <v>2540</v>
      </c>
      <c r="G34" s="1860" t="s">
        <v>2649</v>
      </c>
      <c r="H34" s="1860" t="s">
        <v>22</v>
      </c>
      <c r="I34" s="1860" t="s">
        <v>832</v>
      </c>
    </row>
    <row customHeight="1" ht="11.25">
      <c r="A35" s="1860" t="s">
        <v>2528</v>
      </c>
      <c r="B35" s="1860" t="s">
        <v>16</v>
      </c>
      <c r="C35" s="1860" t="s">
        <v>13</v>
      </c>
      <c r="D35" s="1860" t="s">
        <v>46</v>
      </c>
      <c r="E35" s="1860" t="s">
        <v>49</v>
      </c>
      <c r="F35" s="1860" t="s">
        <v>51</v>
      </c>
      <c r="G35" s="1860" t="s">
        <v>2555</v>
      </c>
      <c r="H35" s="1860" t="s">
        <v>22</v>
      </c>
      <c r="I35" s="1860" t="s">
        <v>832</v>
      </c>
    </row>
    <row customHeight="1" ht="11.25">
      <c r="A36" s="1860" t="s">
        <v>2528</v>
      </c>
      <c r="B36" s="1860" t="s">
        <v>16</v>
      </c>
      <c r="C36" s="1860" t="s">
        <v>2650</v>
      </c>
      <c r="D36" s="1860" t="s">
        <v>2651</v>
      </c>
      <c r="E36" s="1860" t="s">
        <v>2652</v>
      </c>
      <c r="F36" s="1860" t="s">
        <v>2653</v>
      </c>
      <c r="G36" s="1860" t="s">
        <v>2654</v>
      </c>
      <c r="H36" s="1860" t="s">
        <v>22</v>
      </c>
      <c r="I36" s="1860" t="s">
        <v>832</v>
      </c>
    </row>
    <row customHeight="1" ht="11.25">
      <c r="A37" s="1860" t="s">
        <v>2528</v>
      </c>
      <c r="B37" s="1860" t="s">
        <v>16</v>
      </c>
      <c r="C37" s="1860" t="s">
        <v>2655</v>
      </c>
      <c r="D37" s="1860" t="s">
        <v>2656</v>
      </c>
      <c r="E37" s="1860" t="s">
        <v>2657</v>
      </c>
      <c r="F37" s="1860" t="s">
        <v>2540</v>
      </c>
      <c r="G37" s="1860" t="s">
        <v>2658</v>
      </c>
      <c r="H37" s="1860" t="s">
        <v>22</v>
      </c>
      <c r="I37" s="1860" t="s">
        <v>832</v>
      </c>
    </row>
    <row customHeight="1" ht="11.25">
      <c r="A38" s="1860" t="s">
        <v>2528</v>
      </c>
      <c r="B38" s="1860" t="s">
        <v>16</v>
      </c>
      <c r="C38" s="1860" t="s">
        <v>2659</v>
      </c>
      <c r="D38" s="1860" t="s">
        <v>2660</v>
      </c>
      <c r="E38" s="1860" t="s">
        <v>2661</v>
      </c>
      <c r="F38" s="1860" t="s">
        <v>2540</v>
      </c>
      <c r="G38" s="1860" t="s">
        <v>2662</v>
      </c>
      <c r="H38" s="1860" t="s">
        <v>22</v>
      </c>
      <c r="I38" s="1860" t="s">
        <v>832</v>
      </c>
    </row>
    <row customHeight="1" ht="11.25">
      <c r="A39" s="1860" t="s">
        <v>2528</v>
      </c>
      <c r="B39" s="1860" t="s">
        <v>16</v>
      </c>
      <c r="C39" s="1860" t="s">
        <v>2663</v>
      </c>
      <c r="D39" s="1860" t="s">
        <v>2664</v>
      </c>
      <c r="E39" s="1860" t="s">
        <v>2665</v>
      </c>
      <c r="F39" s="1860" t="s">
        <v>2644</v>
      </c>
      <c r="G39" s="1860" t="s">
        <v>2666</v>
      </c>
      <c r="H39" s="1860" t="s">
        <v>22</v>
      </c>
      <c r="I39" s="1860" t="s">
        <v>832</v>
      </c>
    </row>
    <row customHeight="1" ht="11.25">
      <c r="A40" s="1860" t="s">
        <v>2528</v>
      </c>
      <c r="B40" s="1860" t="s">
        <v>16</v>
      </c>
      <c r="C40" s="1860" t="s">
        <v>2667</v>
      </c>
      <c r="D40" s="1860" t="s">
        <v>2668</v>
      </c>
      <c r="E40" s="1860" t="s">
        <v>2669</v>
      </c>
      <c r="F40" s="1860" t="s">
        <v>2670</v>
      </c>
      <c r="G40" s="1860" t="s">
        <v>2671</v>
      </c>
      <c r="H40" s="1860" t="s">
        <v>22</v>
      </c>
      <c r="I40" s="1860" t="s">
        <v>832</v>
      </c>
    </row>
    <row customHeight="1" ht="11.25">
      <c r="A41" s="1860" t="s">
        <v>2528</v>
      </c>
      <c r="B41" s="1860" t="s">
        <v>16</v>
      </c>
      <c r="C41" s="1860" t="s">
        <v>2672</v>
      </c>
      <c r="D41" s="1860" t="s">
        <v>2673</v>
      </c>
      <c r="E41" s="1860" t="s">
        <v>2674</v>
      </c>
      <c r="F41" s="1860" t="s">
        <v>2675</v>
      </c>
      <c r="G41" s="1860" t="s">
        <v>2676</v>
      </c>
      <c r="H41" s="1860" t="s">
        <v>22</v>
      </c>
      <c r="I41" s="1860" t="s">
        <v>832</v>
      </c>
    </row>
    <row customHeight="1" ht="11.25">
      <c r="A42" s="1860" t="s">
        <v>2528</v>
      </c>
      <c r="B42" s="1860" t="s">
        <v>16</v>
      </c>
      <c r="C42" s="1860" t="s">
        <v>2677</v>
      </c>
      <c r="D42" s="1860" t="s">
        <v>2678</v>
      </c>
      <c r="E42" s="1860" t="s">
        <v>2669</v>
      </c>
      <c r="F42" s="1860" t="s">
        <v>2679</v>
      </c>
      <c r="G42" s="1860" t="s">
        <v>2680</v>
      </c>
      <c r="H42" s="1860" t="s">
        <v>22</v>
      </c>
      <c r="I42" s="1860" t="s">
        <v>832</v>
      </c>
    </row>
    <row customHeight="1" ht="11.25">
      <c r="A43" s="1860" t="s">
        <v>2528</v>
      </c>
      <c r="B43" s="1860" t="s">
        <v>16</v>
      </c>
      <c r="C43" s="1860" t="s">
        <v>2681</v>
      </c>
      <c r="D43" s="1860" t="s">
        <v>2682</v>
      </c>
      <c r="E43" s="1860" t="s">
        <v>2683</v>
      </c>
      <c r="F43" s="1860" t="s">
        <v>2540</v>
      </c>
      <c r="G43" s="1860" t="s">
        <v>2684</v>
      </c>
      <c r="H43" s="1860" t="s">
        <v>22</v>
      </c>
      <c r="I43" s="1860" t="s">
        <v>832</v>
      </c>
    </row>
    <row customHeight="1" ht="11.25">
      <c r="A44" s="1860" t="s">
        <v>2528</v>
      </c>
      <c r="B44" s="1860" t="s">
        <v>16</v>
      </c>
      <c r="C44" s="1860" t="s">
        <v>2685</v>
      </c>
      <c r="D44" s="1860" t="s">
        <v>2686</v>
      </c>
      <c r="E44" s="1860" t="s">
        <v>2687</v>
      </c>
      <c r="F44" s="1860" t="s">
        <v>2644</v>
      </c>
      <c r="G44" s="1860" t="s">
        <v>2688</v>
      </c>
      <c r="H44" s="1860" t="s">
        <v>22</v>
      </c>
      <c r="I44" s="1860" t="s">
        <v>832</v>
      </c>
    </row>
    <row customHeight="1" ht="11.25">
      <c r="A45" s="1860" t="s">
        <v>2528</v>
      </c>
      <c r="B45" s="1860" t="s">
        <v>16</v>
      </c>
      <c r="C45" s="1860" t="s">
        <v>2689</v>
      </c>
      <c r="D45" s="1860" t="s">
        <v>2690</v>
      </c>
      <c r="E45" s="1860" t="s">
        <v>2691</v>
      </c>
      <c r="F45" s="1860" t="s">
        <v>2540</v>
      </c>
      <c r="G45" s="1860" t="s">
        <v>2692</v>
      </c>
      <c r="H45" s="1860" t="s">
        <v>22</v>
      </c>
      <c r="I45" s="1860" t="s">
        <v>832</v>
      </c>
    </row>
    <row customHeight="1" ht="11.25">
      <c r="A46" s="1860" t="s">
        <v>2528</v>
      </c>
      <c r="B46" s="1860" t="s">
        <v>16</v>
      </c>
      <c r="C46" s="1860" t="s">
        <v>2693</v>
      </c>
      <c r="D46" s="1860" t="s">
        <v>2694</v>
      </c>
      <c r="E46" s="1860" t="s">
        <v>2695</v>
      </c>
      <c r="F46" s="1860" t="s">
        <v>2540</v>
      </c>
      <c r="G46" s="1860" t="s">
        <v>2696</v>
      </c>
      <c r="H46" s="1860" t="s">
        <v>22</v>
      </c>
      <c r="I46" s="1860" t="s">
        <v>832</v>
      </c>
    </row>
    <row customHeight="1" ht="11.25">
      <c r="A47" s="1860" t="s">
        <v>2528</v>
      </c>
      <c r="B47" s="1860" t="s">
        <v>16</v>
      </c>
      <c r="C47" s="1860" t="s">
        <v>22</v>
      </c>
      <c r="D47" s="1860" t="s">
        <v>2697</v>
      </c>
      <c r="E47" s="1860" t="s">
        <v>2698</v>
      </c>
      <c r="F47" s="1860" t="s">
        <v>2540</v>
      </c>
      <c r="G47" s="1860" t="s">
        <v>22</v>
      </c>
      <c r="H47" s="1860" t="s">
        <v>22</v>
      </c>
      <c r="I47" s="1860" t="s">
        <v>832</v>
      </c>
    </row>
    <row customHeight="1" ht="11.25">
      <c r="A48" s="1860" t="s">
        <v>2528</v>
      </c>
      <c r="B48" s="1860" t="s">
        <v>16</v>
      </c>
      <c r="C48" s="1860" t="s">
        <v>2699</v>
      </c>
      <c r="D48" s="1860" t="s">
        <v>2700</v>
      </c>
      <c r="E48" s="1860" t="s">
        <v>2701</v>
      </c>
      <c r="F48" s="1860" t="s">
        <v>2540</v>
      </c>
      <c r="G48" s="1860" t="s">
        <v>2702</v>
      </c>
      <c r="H48" s="1860" t="s">
        <v>22</v>
      </c>
      <c r="I48" s="1860" t="s">
        <v>832</v>
      </c>
    </row>
    <row customHeight="1" ht="11.25">
      <c r="A49" s="1860" t="s">
        <v>2528</v>
      </c>
      <c r="B49" s="1860" t="s">
        <v>16</v>
      </c>
      <c r="C49" s="1860" t="s">
        <v>2703</v>
      </c>
      <c r="D49" s="1860" t="s">
        <v>2704</v>
      </c>
      <c r="E49" s="1860" t="s">
        <v>2701</v>
      </c>
      <c r="F49" s="1860" t="s">
        <v>2582</v>
      </c>
      <c r="G49" s="1860" t="s">
        <v>2702</v>
      </c>
      <c r="H49" s="1860" t="s">
        <v>22</v>
      </c>
      <c r="I49" s="1860" t="s">
        <v>832</v>
      </c>
    </row>
    <row customHeight="1" ht="11.25">
      <c r="A50" s="1860" t="s">
        <v>2528</v>
      </c>
      <c r="B50" s="1860" t="s">
        <v>16</v>
      </c>
      <c r="C50" s="1860" t="s">
        <v>2705</v>
      </c>
      <c r="D50" s="1860" t="s">
        <v>2706</v>
      </c>
      <c r="E50" s="1860" t="s">
        <v>2701</v>
      </c>
      <c r="F50" s="1860" t="s">
        <v>2629</v>
      </c>
      <c r="G50" s="1860" t="s">
        <v>2702</v>
      </c>
      <c r="H50" s="1860" t="s">
        <v>22</v>
      </c>
      <c r="I50" s="1860" t="s">
        <v>832</v>
      </c>
    </row>
    <row customHeight="1" ht="11.25">
      <c r="A51" s="1860" t="s">
        <v>2528</v>
      </c>
      <c r="B51" s="1860" t="s">
        <v>16</v>
      </c>
      <c r="C51" s="1860" t="s">
        <v>2707</v>
      </c>
      <c r="D51" s="1860" t="s">
        <v>2708</v>
      </c>
      <c r="E51" s="1860" t="s">
        <v>2701</v>
      </c>
      <c r="F51" s="1860" t="s">
        <v>2709</v>
      </c>
      <c r="G51" s="1860" t="s">
        <v>2702</v>
      </c>
      <c r="H51" s="1860" t="s">
        <v>22</v>
      </c>
      <c r="I51" s="1860" t="s">
        <v>832</v>
      </c>
    </row>
    <row customHeight="1" ht="11.25">
      <c r="A52" s="1860" t="s">
        <v>2528</v>
      </c>
      <c r="B52" s="1860" t="s">
        <v>16</v>
      </c>
      <c r="C52" s="1860" t="s">
        <v>2710</v>
      </c>
      <c r="D52" s="1860" t="s">
        <v>2711</v>
      </c>
      <c r="E52" s="1860" t="s">
        <v>2701</v>
      </c>
      <c r="F52" s="1860" t="s">
        <v>2712</v>
      </c>
      <c r="G52" s="1860" t="s">
        <v>2702</v>
      </c>
      <c r="H52" s="1860" t="s">
        <v>22</v>
      </c>
      <c r="I52" s="1860" t="s">
        <v>832</v>
      </c>
    </row>
    <row customHeight="1" ht="11.25">
      <c r="A53" s="1860" t="s">
        <v>2528</v>
      </c>
      <c r="B53" s="1860" t="s">
        <v>16</v>
      </c>
      <c r="C53" s="1860" t="s">
        <v>2713</v>
      </c>
      <c r="D53" s="1860" t="s">
        <v>2714</v>
      </c>
      <c r="E53" s="1860" t="s">
        <v>2701</v>
      </c>
      <c r="F53" s="1860" t="s">
        <v>2715</v>
      </c>
      <c r="G53" s="1860" t="s">
        <v>2702</v>
      </c>
      <c r="H53" s="1860" t="s">
        <v>22</v>
      </c>
      <c r="I53" s="1860" t="s">
        <v>832</v>
      </c>
    </row>
    <row customHeight="1" ht="11.25">
      <c r="A54" s="1860" t="s">
        <v>2528</v>
      </c>
      <c r="B54" s="1860" t="s">
        <v>16</v>
      </c>
      <c r="C54" s="1860" t="s">
        <v>2716</v>
      </c>
      <c r="D54" s="1860" t="s">
        <v>2717</v>
      </c>
      <c r="E54" s="1860" t="s">
        <v>2701</v>
      </c>
      <c r="F54" s="1860" t="s">
        <v>2718</v>
      </c>
      <c r="G54" s="1860" t="s">
        <v>2702</v>
      </c>
      <c r="H54" s="1860" t="s">
        <v>22</v>
      </c>
      <c r="I54" s="1860" t="s">
        <v>832</v>
      </c>
    </row>
    <row customHeight="1" ht="11.25">
      <c r="A55" s="1860" t="s">
        <v>2528</v>
      </c>
      <c r="B55" s="1860" t="s">
        <v>16</v>
      </c>
      <c r="C55" s="1860" t="s">
        <v>2719</v>
      </c>
      <c r="D55" s="1860" t="s">
        <v>2720</v>
      </c>
      <c r="E55" s="1860" t="s">
        <v>2701</v>
      </c>
      <c r="F55" s="1860" t="s">
        <v>2721</v>
      </c>
      <c r="G55" s="1860" t="s">
        <v>2702</v>
      </c>
      <c r="H55" s="1860" t="s">
        <v>22</v>
      </c>
      <c r="I55" s="1860" t="s">
        <v>832</v>
      </c>
    </row>
    <row customHeight="1" ht="11.25">
      <c r="A56" s="1860" t="s">
        <v>2528</v>
      </c>
      <c r="B56" s="1860" t="s">
        <v>16</v>
      </c>
      <c r="C56" s="1860" t="s">
        <v>2722</v>
      </c>
      <c r="D56" s="1860" t="s">
        <v>2723</v>
      </c>
      <c r="E56" s="1860" t="s">
        <v>2701</v>
      </c>
      <c r="F56" s="1860" t="s">
        <v>2724</v>
      </c>
      <c r="G56" s="1860" t="s">
        <v>2702</v>
      </c>
      <c r="H56" s="1860" t="s">
        <v>22</v>
      </c>
      <c r="I56" s="1860" t="s">
        <v>832</v>
      </c>
    </row>
    <row customHeight="1" ht="11.25">
      <c r="A57" s="1860" t="s">
        <v>2528</v>
      </c>
      <c r="B57" s="1860" t="s">
        <v>16</v>
      </c>
      <c r="C57" s="1860" t="s">
        <v>2725</v>
      </c>
      <c r="D57" s="1860" t="s">
        <v>2726</v>
      </c>
      <c r="E57" s="1860" t="s">
        <v>2701</v>
      </c>
      <c r="F57" s="1860" t="s">
        <v>2727</v>
      </c>
      <c r="G57" s="1860" t="s">
        <v>2702</v>
      </c>
      <c r="H57" s="1860" t="s">
        <v>22</v>
      </c>
      <c r="I57" s="1860" t="s">
        <v>832</v>
      </c>
    </row>
    <row customHeight="1" ht="11.25">
      <c r="A58" s="1860" t="s">
        <v>2528</v>
      </c>
      <c r="B58" s="1860" t="s">
        <v>16</v>
      </c>
      <c r="C58" s="1860" t="s">
        <v>2728</v>
      </c>
      <c r="D58" s="1860" t="s">
        <v>2729</v>
      </c>
      <c r="E58" s="1860" t="s">
        <v>2701</v>
      </c>
      <c r="F58" s="1860" t="s">
        <v>2730</v>
      </c>
      <c r="G58" s="1860" t="s">
        <v>2702</v>
      </c>
      <c r="H58" s="1860" t="s">
        <v>22</v>
      </c>
      <c r="I58" s="1860" t="s">
        <v>832</v>
      </c>
    </row>
    <row customHeight="1" ht="11.25">
      <c r="A59" s="1860" t="s">
        <v>2528</v>
      </c>
      <c r="B59" s="1860" t="s">
        <v>16</v>
      </c>
      <c r="C59" s="1860" t="s">
        <v>2731</v>
      </c>
      <c r="D59" s="1860" t="s">
        <v>2732</v>
      </c>
      <c r="E59" s="1860" t="s">
        <v>2701</v>
      </c>
      <c r="F59" s="1860" t="s">
        <v>2586</v>
      </c>
      <c r="G59" s="1860" t="s">
        <v>2702</v>
      </c>
      <c r="H59" s="1860" t="s">
        <v>22</v>
      </c>
      <c r="I59" s="1860" t="s">
        <v>832</v>
      </c>
    </row>
    <row customHeight="1" ht="11.25">
      <c r="A60" s="1860" t="s">
        <v>2528</v>
      </c>
      <c r="B60" s="1860" t="s">
        <v>16</v>
      </c>
      <c r="C60" s="1860" t="s">
        <v>2733</v>
      </c>
      <c r="D60" s="1860" t="s">
        <v>2734</v>
      </c>
      <c r="E60" s="1860" t="s">
        <v>2701</v>
      </c>
      <c r="F60" s="1860" t="s">
        <v>2735</v>
      </c>
      <c r="G60" s="1860" t="s">
        <v>2702</v>
      </c>
      <c r="H60" s="1860" t="s">
        <v>22</v>
      </c>
      <c r="I60" s="1860" t="s">
        <v>832</v>
      </c>
    </row>
    <row customHeight="1" ht="11.25">
      <c r="A61" s="1860" t="s">
        <v>2528</v>
      </c>
      <c r="B61" s="1860" t="s">
        <v>16</v>
      </c>
      <c r="C61" s="1860" t="s">
        <v>2736</v>
      </c>
      <c r="D61" s="1860" t="s">
        <v>2737</v>
      </c>
      <c r="E61" s="1860" t="s">
        <v>2701</v>
      </c>
      <c r="F61" s="1860" t="s">
        <v>2738</v>
      </c>
      <c r="G61" s="1860" t="s">
        <v>2702</v>
      </c>
      <c r="H61" s="1860" t="s">
        <v>22</v>
      </c>
      <c r="I61" s="1860" t="s">
        <v>832</v>
      </c>
    </row>
    <row customHeight="1" ht="11.25">
      <c r="A62" s="1860" t="s">
        <v>2528</v>
      </c>
      <c r="B62" s="1860" t="s">
        <v>16</v>
      </c>
      <c r="C62" s="1860" t="s">
        <v>2739</v>
      </c>
      <c r="D62" s="1860" t="s">
        <v>2740</v>
      </c>
      <c r="E62" s="1860" t="s">
        <v>2701</v>
      </c>
      <c r="F62" s="1860" t="s">
        <v>2741</v>
      </c>
      <c r="G62" s="1860" t="s">
        <v>2702</v>
      </c>
      <c r="H62" s="1860" t="s">
        <v>22</v>
      </c>
      <c r="I62" s="1860" t="s">
        <v>832</v>
      </c>
    </row>
    <row customHeight="1" ht="11.25">
      <c r="A63" s="1860" t="s">
        <v>2528</v>
      </c>
      <c r="B63" s="1860" t="s">
        <v>16</v>
      </c>
      <c r="C63" s="1860" t="s">
        <v>2742</v>
      </c>
      <c r="D63" s="1860" t="s">
        <v>2743</v>
      </c>
      <c r="E63" s="1860" t="s">
        <v>2701</v>
      </c>
      <c r="F63" s="1860" t="s">
        <v>2617</v>
      </c>
      <c r="G63" s="1860" t="s">
        <v>2702</v>
      </c>
      <c r="H63" s="1860" t="s">
        <v>22</v>
      </c>
      <c r="I63" s="1860" t="s">
        <v>832</v>
      </c>
    </row>
    <row customHeight="1" ht="11.25">
      <c r="A64" s="1860" t="s">
        <v>2528</v>
      </c>
      <c r="B64" s="1860" t="s">
        <v>16</v>
      </c>
      <c r="C64" s="1860" t="s">
        <v>2744</v>
      </c>
      <c r="D64" s="1860" t="s">
        <v>2745</v>
      </c>
      <c r="E64" s="1860" t="s">
        <v>2701</v>
      </c>
      <c r="F64" s="1860" t="s">
        <v>2746</v>
      </c>
      <c r="G64" s="1860" t="s">
        <v>2702</v>
      </c>
      <c r="H64" s="1860" t="s">
        <v>22</v>
      </c>
      <c r="I64" s="1860" t="s">
        <v>832</v>
      </c>
    </row>
    <row customHeight="1" ht="11.25">
      <c r="A65" s="1860" t="s">
        <v>2528</v>
      </c>
      <c r="B65" s="1860" t="s">
        <v>16</v>
      </c>
      <c r="C65" s="1860" t="s">
        <v>2747</v>
      </c>
      <c r="D65" s="1860" t="s">
        <v>2748</v>
      </c>
      <c r="E65" s="1860" t="s">
        <v>2701</v>
      </c>
      <c r="F65" s="1860" t="s">
        <v>2592</v>
      </c>
      <c r="G65" s="1860" t="s">
        <v>2702</v>
      </c>
      <c r="H65" s="1860" t="s">
        <v>22</v>
      </c>
      <c r="I65" s="1860" t="s">
        <v>832</v>
      </c>
    </row>
    <row customHeight="1" ht="11.25">
      <c r="A66" s="1860" t="s">
        <v>2528</v>
      </c>
      <c r="B66" s="1860" t="s">
        <v>16</v>
      </c>
      <c r="C66" s="1860" t="s">
        <v>2749</v>
      </c>
      <c r="D66" s="1860" t="s">
        <v>2750</v>
      </c>
      <c r="E66" s="1860" t="s">
        <v>2701</v>
      </c>
      <c r="F66" s="1860" t="s">
        <v>2751</v>
      </c>
      <c r="G66" s="1860" t="s">
        <v>2702</v>
      </c>
      <c r="H66" s="1860" t="s">
        <v>22</v>
      </c>
      <c r="I66" s="1860" t="s">
        <v>832</v>
      </c>
    </row>
    <row customHeight="1" ht="11.25">
      <c r="A67" s="1860" t="s">
        <v>2528</v>
      </c>
      <c r="B67" s="1860" t="s">
        <v>16</v>
      </c>
      <c r="C67" s="1860" t="s">
        <v>2752</v>
      </c>
      <c r="D67" s="1860" t="s">
        <v>2753</v>
      </c>
      <c r="E67" s="1860" t="s">
        <v>2701</v>
      </c>
      <c r="F67" s="1860" t="s">
        <v>2626</v>
      </c>
      <c r="G67" s="1860" t="s">
        <v>2702</v>
      </c>
      <c r="H67" s="1860" t="s">
        <v>22</v>
      </c>
      <c r="I67" s="1860" t="s">
        <v>832</v>
      </c>
    </row>
    <row customHeight="1" ht="11.25">
      <c r="A68" s="1860" t="s">
        <v>2528</v>
      </c>
      <c r="B68" s="1860" t="s">
        <v>16</v>
      </c>
      <c r="C68" s="1860" t="s">
        <v>2754</v>
      </c>
      <c r="D68" s="1860" t="s">
        <v>2755</v>
      </c>
      <c r="E68" s="1860" t="s">
        <v>2701</v>
      </c>
      <c r="F68" s="1860" t="s">
        <v>2756</v>
      </c>
      <c r="G68" s="1860" t="s">
        <v>2702</v>
      </c>
      <c r="H68" s="1860" t="s">
        <v>22</v>
      </c>
      <c r="I68" s="1860" t="s">
        <v>832</v>
      </c>
    </row>
    <row customHeight="1" ht="11.25">
      <c r="A69" s="1860" t="s">
        <v>2528</v>
      </c>
      <c r="B69" s="1860" t="s">
        <v>16</v>
      </c>
      <c r="C69" s="1860" t="s">
        <v>2757</v>
      </c>
      <c r="D69" s="1860" t="s">
        <v>2758</v>
      </c>
      <c r="E69" s="1860" t="s">
        <v>2701</v>
      </c>
      <c r="F69" s="1860" t="s">
        <v>2759</v>
      </c>
      <c r="G69" s="1860" t="s">
        <v>2702</v>
      </c>
      <c r="H69" s="1860" t="s">
        <v>22</v>
      </c>
      <c r="I69" s="1860" t="s">
        <v>832</v>
      </c>
    </row>
    <row customHeight="1" ht="11.25">
      <c r="A70" s="1860" t="s">
        <v>2528</v>
      </c>
      <c r="B70" s="1860" t="s">
        <v>16</v>
      </c>
      <c r="C70" s="1860" t="s">
        <v>2760</v>
      </c>
      <c r="D70" s="1860" t="s">
        <v>2761</v>
      </c>
      <c r="E70" s="1860" t="s">
        <v>2701</v>
      </c>
      <c r="F70" s="1860" t="s">
        <v>2762</v>
      </c>
      <c r="G70" s="1860" t="s">
        <v>2702</v>
      </c>
      <c r="H70" s="1860" t="s">
        <v>22</v>
      </c>
      <c r="I70" s="1860" t="s">
        <v>832</v>
      </c>
    </row>
    <row customHeight="1" ht="11.25">
      <c r="A71" s="1860" t="s">
        <v>2528</v>
      </c>
      <c r="B71" s="1860" t="s">
        <v>16</v>
      </c>
      <c r="C71" s="1860" t="s">
        <v>2763</v>
      </c>
      <c r="D71" s="1860" t="s">
        <v>2764</v>
      </c>
      <c r="E71" s="1860" t="s">
        <v>2701</v>
      </c>
      <c r="F71" s="1860" t="s">
        <v>2765</v>
      </c>
      <c r="G71" s="1860" t="s">
        <v>2702</v>
      </c>
      <c r="H71" s="1860" t="s">
        <v>22</v>
      </c>
      <c r="I71" s="1860" t="s">
        <v>832</v>
      </c>
    </row>
    <row customHeight="1" ht="11.25">
      <c r="A72" s="1860" t="s">
        <v>2528</v>
      </c>
      <c r="B72" s="1860" t="s">
        <v>16</v>
      </c>
      <c r="C72" s="1860" t="s">
        <v>2766</v>
      </c>
      <c r="D72" s="1860" t="s">
        <v>2767</v>
      </c>
      <c r="E72" s="1860" t="s">
        <v>2701</v>
      </c>
      <c r="F72" s="1860" t="s">
        <v>2768</v>
      </c>
      <c r="G72" s="1860" t="s">
        <v>2702</v>
      </c>
      <c r="H72" s="1860" t="s">
        <v>22</v>
      </c>
      <c r="I72" s="1860" t="s">
        <v>832</v>
      </c>
    </row>
    <row customHeight="1" ht="11.25">
      <c r="A73" s="1860" t="s">
        <v>2528</v>
      </c>
      <c r="B73" s="1860" t="s">
        <v>16</v>
      </c>
      <c r="C73" s="1860" t="s">
        <v>2769</v>
      </c>
      <c r="D73" s="1860" t="s">
        <v>2770</v>
      </c>
      <c r="E73" s="1860" t="s">
        <v>2701</v>
      </c>
      <c r="F73" s="1860" t="s">
        <v>2771</v>
      </c>
      <c r="G73" s="1860" t="s">
        <v>2702</v>
      </c>
      <c r="H73" s="1860" t="s">
        <v>22</v>
      </c>
      <c r="I73" s="1860" t="s">
        <v>832</v>
      </c>
    </row>
    <row customHeight="1" ht="11.25">
      <c r="A74" s="1860" t="s">
        <v>2528</v>
      </c>
      <c r="B74" s="1860" t="s">
        <v>16</v>
      </c>
      <c r="C74" s="1860" t="s">
        <v>2772</v>
      </c>
      <c r="D74" s="1860" t="s">
        <v>2773</v>
      </c>
      <c r="E74" s="1860" t="s">
        <v>2701</v>
      </c>
      <c r="F74" s="1860" t="s">
        <v>2774</v>
      </c>
      <c r="G74" s="1860" t="s">
        <v>2702</v>
      </c>
      <c r="H74" s="1860" t="s">
        <v>22</v>
      </c>
      <c r="I74" s="1860" t="s">
        <v>832</v>
      </c>
    </row>
    <row customHeight="1" ht="11.25">
      <c r="A75" s="1860" t="s">
        <v>2528</v>
      </c>
      <c r="B75" s="1860" t="s">
        <v>16</v>
      </c>
      <c r="C75" s="1860" t="s">
        <v>2775</v>
      </c>
      <c r="D75" s="1860" t="s">
        <v>2776</v>
      </c>
      <c r="E75" s="1860" t="s">
        <v>2701</v>
      </c>
      <c r="F75" s="1860" t="s">
        <v>2777</v>
      </c>
      <c r="G75" s="1860" t="s">
        <v>2702</v>
      </c>
      <c r="H75" s="1860" t="s">
        <v>22</v>
      </c>
      <c r="I75" s="1860" t="s">
        <v>832</v>
      </c>
    </row>
    <row customHeight="1" ht="11.25">
      <c r="A76" s="1860" t="s">
        <v>2528</v>
      </c>
      <c r="B76" s="1860" t="s">
        <v>16</v>
      </c>
      <c r="C76" s="1860" t="s">
        <v>2778</v>
      </c>
      <c r="D76" s="1860" t="s">
        <v>2779</v>
      </c>
      <c r="E76" s="1860" t="s">
        <v>2780</v>
      </c>
      <c r="F76" s="1860" t="s">
        <v>2781</v>
      </c>
      <c r="G76" s="1860" t="s">
        <v>22</v>
      </c>
      <c r="H76" s="1860" t="s">
        <v>22</v>
      </c>
      <c r="I76" s="1860" t="s">
        <v>832</v>
      </c>
    </row>
    <row customHeight="1" ht="11.25">
      <c r="A77" s="1860" t="s">
        <v>2528</v>
      </c>
      <c r="B77" s="1860" t="s">
        <v>16</v>
      </c>
      <c r="C77" s="1860" t="s">
        <v>2782</v>
      </c>
      <c r="D77" s="1860" t="s">
        <v>2783</v>
      </c>
      <c r="E77" s="1860" t="s">
        <v>2780</v>
      </c>
      <c r="F77" s="1860" t="s">
        <v>2784</v>
      </c>
      <c r="G77" s="1860" t="s">
        <v>22</v>
      </c>
      <c r="H77" s="1860" t="s">
        <v>22</v>
      </c>
      <c r="I77" s="1860" t="s">
        <v>832</v>
      </c>
    </row>
    <row customHeight="1" ht="11.25">
      <c r="A78" s="1860" t="s">
        <v>2528</v>
      </c>
      <c r="B78" s="1860" t="s">
        <v>16</v>
      </c>
      <c r="C78" s="1860" t="s">
        <v>2785</v>
      </c>
      <c r="D78" s="1860" t="s">
        <v>2786</v>
      </c>
      <c r="E78" s="1860" t="s">
        <v>2787</v>
      </c>
      <c r="F78" s="1860" t="s">
        <v>2540</v>
      </c>
      <c r="G78" s="1860" t="s">
        <v>2788</v>
      </c>
      <c r="H78" s="1860" t="s">
        <v>22</v>
      </c>
      <c r="I78" s="1860" t="s">
        <v>832</v>
      </c>
    </row>
    <row customHeight="1" ht="11.25">
      <c r="A79" s="1860" t="s">
        <v>2528</v>
      </c>
      <c r="B79" s="1860" t="s">
        <v>16</v>
      </c>
      <c r="C79" s="1860" t="s">
        <v>2789</v>
      </c>
      <c r="D79" s="1860" t="s">
        <v>2790</v>
      </c>
      <c r="E79" s="1860" t="s">
        <v>2791</v>
      </c>
      <c r="F79" s="1860" t="s">
        <v>2792</v>
      </c>
      <c r="G79" s="1860" t="s">
        <v>22</v>
      </c>
      <c r="H79" s="1860" t="s">
        <v>22</v>
      </c>
      <c r="I79" s="1860" t="s">
        <v>832</v>
      </c>
    </row>
    <row customHeight="1" ht="11.25">
      <c r="A80" s="1860" t="s">
        <v>2528</v>
      </c>
      <c r="B80" s="1860" t="s">
        <v>16</v>
      </c>
      <c r="C80" s="1860" t="s">
        <v>2793</v>
      </c>
      <c r="D80" s="1860" t="s">
        <v>2794</v>
      </c>
      <c r="E80" s="1860" t="s">
        <v>2795</v>
      </c>
      <c r="F80" s="1860" t="s">
        <v>597</v>
      </c>
      <c r="G80" s="1860" t="s">
        <v>2796</v>
      </c>
      <c r="H80" s="1860" t="s">
        <v>22</v>
      </c>
      <c r="I80" s="1860" t="s">
        <v>832</v>
      </c>
    </row>
    <row customHeight="1" ht="11.25">
      <c r="A81" s="1860" t="s">
        <v>2528</v>
      </c>
      <c r="B81" s="1860" t="s">
        <v>16</v>
      </c>
      <c r="C81" s="1860" t="s">
        <v>2797</v>
      </c>
      <c r="D81" s="1860" t="s">
        <v>2798</v>
      </c>
      <c r="E81" s="1860" t="s">
        <v>2799</v>
      </c>
      <c r="F81" s="1860" t="s">
        <v>597</v>
      </c>
      <c r="G81" s="1860" t="s">
        <v>2800</v>
      </c>
      <c r="H81" s="1860" t="s">
        <v>22</v>
      </c>
      <c r="I81" s="1860" t="s">
        <v>832</v>
      </c>
    </row>
    <row customHeight="1" ht="11.25">
      <c r="A82" s="1860" t="s">
        <v>2528</v>
      </c>
      <c r="B82" s="1860" t="s">
        <v>16</v>
      </c>
      <c r="C82" s="1860" t="s">
        <v>2801</v>
      </c>
      <c r="D82" s="1860" t="s">
        <v>2802</v>
      </c>
      <c r="E82" s="1860" t="s">
        <v>2803</v>
      </c>
      <c r="F82" s="1860" t="s">
        <v>597</v>
      </c>
      <c r="G82" s="1860" t="s">
        <v>2804</v>
      </c>
      <c r="H82" s="1860" t="s">
        <v>22</v>
      </c>
      <c r="I82" s="1860" t="s">
        <v>832</v>
      </c>
    </row>
    <row customHeight="1" ht="11.25">
      <c r="A83" s="1860" t="s">
        <v>2528</v>
      </c>
      <c r="B83" s="1860" t="s">
        <v>16</v>
      </c>
      <c r="C83" s="1860" t="s">
        <v>2805</v>
      </c>
      <c r="D83" s="1860" t="s">
        <v>2806</v>
      </c>
      <c r="E83" s="1860" t="s">
        <v>2807</v>
      </c>
      <c r="F83" s="1860" t="s">
        <v>597</v>
      </c>
      <c r="G83" s="1860" t="s">
        <v>2808</v>
      </c>
      <c r="H83" s="1860" t="s">
        <v>22</v>
      </c>
      <c r="I83" s="1860" t="s">
        <v>832</v>
      </c>
    </row>
    <row customHeight="1" ht="11.25">
      <c r="A84" s="1860" t="s">
        <v>2528</v>
      </c>
      <c r="B84" s="1860" t="s">
        <v>16</v>
      </c>
      <c r="C84" s="1860" t="s">
        <v>2809</v>
      </c>
      <c r="D84" s="1860" t="s">
        <v>2810</v>
      </c>
      <c r="E84" s="1860" t="s">
        <v>2811</v>
      </c>
      <c r="F84" s="1860" t="s">
        <v>597</v>
      </c>
      <c r="G84" s="1860" t="s">
        <v>2812</v>
      </c>
      <c r="H84" s="1860" t="s">
        <v>22</v>
      </c>
      <c r="I84" s="1860" t="s">
        <v>832</v>
      </c>
    </row>
    <row customHeight="1" ht="11.25">
      <c r="A85" s="1860" t="s">
        <v>2528</v>
      </c>
      <c r="B85" s="1860" t="s">
        <v>16</v>
      </c>
      <c r="C85" s="1860" t="s">
        <v>2813</v>
      </c>
      <c r="D85" s="1860" t="s">
        <v>2814</v>
      </c>
      <c r="E85" s="1860" t="s">
        <v>2815</v>
      </c>
      <c r="F85" s="1860" t="s">
        <v>597</v>
      </c>
      <c r="G85" s="1860" t="s">
        <v>2816</v>
      </c>
      <c r="H85" s="1860" t="s">
        <v>22</v>
      </c>
      <c r="I85" s="1860" t="s">
        <v>832</v>
      </c>
    </row>
    <row customHeight="1" ht="11.25">
      <c r="A86" s="1860" t="s">
        <v>2528</v>
      </c>
      <c r="B86" s="1860" t="s">
        <v>16</v>
      </c>
      <c r="C86" s="1860" t="s">
        <v>2817</v>
      </c>
      <c r="D86" s="1860" t="s">
        <v>2818</v>
      </c>
      <c r="E86" s="1860" t="s">
        <v>2819</v>
      </c>
      <c r="F86" s="1860" t="s">
        <v>597</v>
      </c>
      <c r="G86" s="1860" t="s">
        <v>2820</v>
      </c>
      <c r="H86" s="1860" t="s">
        <v>22</v>
      </c>
      <c r="I86" s="1860" t="s">
        <v>832</v>
      </c>
    </row>
    <row customHeight="1" ht="11.25">
      <c r="A87" s="1860" t="s">
        <v>2528</v>
      </c>
      <c r="B87" s="1860" t="s">
        <v>16</v>
      </c>
      <c r="C87" s="1860" t="s">
        <v>2821</v>
      </c>
      <c r="D87" s="1860" t="s">
        <v>2822</v>
      </c>
      <c r="E87" s="1860" t="s">
        <v>2823</v>
      </c>
      <c r="F87" s="1860" t="s">
        <v>597</v>
      </c>
      <c r="G87" s="1860" t="s">
        <v>2820</v>
      </c>
      <c r="H87" s="1860" t="s">
        <v>22</v>
      </c>
      <c r="I87" s="1860" t="s">
        <v>832</v>
      </c>
    </row>
    <row customHeight="1" ht="11.25">
      <c r="A88" s="1860" t="s">
        <v>2528</v>
      </c>
      <c r="B88" s="1860" t="s">
        <v>16</v>
      </c>
      <c r="C88" s="1860" t="s">
        <v>2824</v>
      </c>
      <c r="D88" s="1860" t="s">
        <v>2825</v>
      </c>
      <c r="E88" s="1860" t="s">
        <v>2826</v>
      </c>
      <c r="F88" s="1860" t="s">
        <v>597</v>
      </c>
      <c r="G88" s="1860" t="s">
        <v>2827</v>
      </c>
      <c r="H88" s="1860" t="s">
        <v>22</v>
      </c>
      <c r="I88" s="1860" t="s">
        <v>832</v>
      </c>
    </row>
    <row customHeight="1" ht="11.25">
      <c r="A89" s="1860" t="s">
        <v>2528</v>
      </c>
      <c r="B89" s="1860" t="s">
        <v>16</v>
      </c>
      <c r="C89" s="1860" t="s">
        <v>2828</v>
      </c>
      <c r="D89" s="1860" t="s">
        <v>2829</v>
      </c>
      <c r="E89" s="1860" t="s">
        <v>2830</v>
      </c>
      <c r="F89" s="1860" t="s">
        <v>597</v>
      </c>
      <c r="G89" s="1860" t="s">
        <v>2831</v>
      </c>
      <c r="H89" s="1860" t="s">
        <v>22</v>
      </c>
      <c r="I89" s="1860" t="s">
        <v>832</v>
      </c>
    </row>
    <row customHeight="1" ht="11.25">
      <c r="A90" s="1860" t="s">
        <v>2528</v>
      </c>
      <c r="B90" s="1860" t="s">
        <v>16</v>
      </c>
      <c r="C90" s="1860" t="s">
        <v>2832</v>
      </c>
      <c r="D90" s="1860" t="s">
        <v>2833</v>
      </c>
      <c r="E90" s="1860" t="s">
        <v>2834</v>
      </c>
      <c r="F90" s="1860" t="s">
        <v>597</v>
      </c>
      <c r="G90" s="1860" t="s">
        <v>2835</v>
      </c>
      <c r="H90" s="1860" t="s">
        <v>22</v>
      </c>
      <c r="I90" s="1860" t="s">
        <v>832</v>
      </c>
    </row>
    <row customHeight="1" ht="11.25">
      <c r="A91" s="1860" t="s">
        <v>2528</v>
      </c>
      <c r="B91" s="1860" t="s">
        <v>16</v>
      </c>
      <c r="C91" s="1860" t="s">
        <v>2836</v>
      </c>
      <c r="D91" s="1860" t="s">
        <v>2837</v>
      </c>
      <c r="E91" s="1860" t="s">
        <v>2838</v>
      </c>
      <c r="F91" s="1860" t="s">
        <v>597</v>
      </c>
      <c r="G91" s="1860" t="s">
        <v>2839</v>
      </c>
      <c r="H91" s="1860" t="s">
        <v>22</v>
      </c>
      <c r="I91" s="1860" t="s">
        <v>832</v>
      </c>
    </row>
    <row customHeight="1" ht="11.25">
      <c r="A92" s="1860" t="s">
        <v>2528</v>
      </c>
      <c r="B92" s="1860" t="s">
        <v>16</v>
      </c>
      <c r="C92" s="1860" t="s">
        <v>2840</v>
      </c>
      <c r="D92" s="1860" t="s">
        <v>2841</v>
      </c>
      <c r="E92" s="1860" t="s">
        <v>2842</v>
      </c>
      <c r="F92" s="1860" t="s">
        <v>597</v>
      </c>
      <c r="G92" s="1860" t="s">
        <v>22</v>
      </c>
      <c r="H92" s="1860" t="s">
        <v>22</v>
      </c>
      <c r="I92" s="1860" t="s">
        <v>832</v>
      </c>
    </row>
    <row customHeight="1" ht="11.25">
      <c r="A93" s="1860" t="s">
        <v>2528</v>
      </c>
      <c r="B93" s="1860" t="s">
        <v>16</v>
      </c>
      <c r="C93" s="1860" t="s">
        <v>2843</v>
      </c>
      <c r="D93" s="1860" t="s">
        <v>2844</v>
      </c>
      <c r="E93" s="1860" t="s">
        <v>2845</v>
      </c>
      <c r="F93" s="1860" t="s">
        <v>597</v>
      </c>
      <c r="G93" s="1860" t="s">
        <v>2820</v>
      </c>
      <c r="H93" s="1860" t="s">
        <v>22</v>
      </c>
      <c r="I93" s="1860" t="s">
        <v>832</v>
      </c>
    </row>
    <row customHeight="1" ht="11.25">
      <c r="A94" s="1860" t="s">
        <v>2528</v>
      </c>
      <c r="B94" s="1860" t="s">
        <v>16</v>
      </c>
      <c r="C94" s="1860" t="s">
        <v>2846</v>
      </c>
      <c r="D94" s="1860" t="s">
        <v>2847</v>
      </c>
      <c r="E94" s="1860" t="s">
        <v>2848</v>
      </c>
      <c r="F94" s="1860" t="s">
        <v>597</v>
      </c>
      <c r="G94" s="1860" t="s">
        <v>2849</v>
      </c>
      <c r="H94" s="1860" t="s">
        <v>22</v>
      </c>
      <c r="I94" s="1860" t="s">
        <v>832</v>
      </c>
    </row>
    <row customHeight="1" ht="11.25">
      <c r="A95" s="1860" t="s">
        <v>2528</v>
      </c>
      <c r="B95" s="1860" t="s">
        <v>16</v>
      </c>
      <c r="C95" s="1860" t="s">
        <v>2850</v>
      </c>
      <c r="D95" s="1860" t="s">
        <v>2851</v>
      </c>
      <c r="E95" s="1860" t="s">
        <v>2852</v>
      </c>
      <c r="F95" s="1860" t="s">
        <v>597</v>
      </c>
      <c r="G95" s="1860" t="s">
        <v>2853</v>
      </c>
      <c r="H95" s="1860" t="s">
        <v>22</v>
      </c>
      <c r="I95" s="1860" t="s">
        <v>832</v>
      </c>
    </row>
    <row customHeight="1" ht="11.25">
      <c r="A96" s="1860" t="s">
        <v>2528</v>
      </c>
      <c r="B96" s="1860" t="s">
        <v>16</v>
      </c>
      <c r="C96" s="1860" t="s">
        <v>2854</v>
      </c>
      <c r="D96" s="1860" t="s">
        <v>2855</v>
      </c>
      <c r="E96" s="1860" t="s">
        <v>2856</v>
      </c>
      <c r="F96" s="1860" t="s">
        <v>597</v>
      </c>
      <c r="G96" s="1860" t="s">
        <v>2857</v>
      </c>
      <c r="H96" s="1860" t="s">
        <v>22</v>
      </c>
      <c r="I96" s="1860" t="s">
        <v>832</v>
      </c>
    </row>
    <row customHeight="1" ht="11.25">
      <c r="A97" s="1860" t="s">
        <v>2528</v>
      </c>
      <c r="B97" s="1860" t="s">
        <v>16</v>
      </c>
      <c r="C97" s="1860" t="s">
        <v>2858</v>
      </c>
      <c r="D97" s="1860" t="s">
        <v>2859</v>
      </c>
      <c r="E97" s="1860" t="s">
        <v>2860</v>
      </c>
      <c r="F97" s="1860" t="s">
        <v>597</v>
      </c>
      <c r="G97" s="1860" t="s">
        <v>2861</v>
      </c>
      <c r="H97" s="1860" t="s">
        <v>22</v>
      </c>
      <c r="I97" s="1860" t="s">
        <v>832</v>
      </c>
    </row>
    <row customHeight="1" ht="11.25">
      <c r="A98" s="1860" t="s">
        <v>2528</v>
      </c>
      <c r="B98" s="1860" t="s">
        <v>16</v>
      </c>
      <c r="C98" s="1860" t="s">
        <v>2862</v>
      </c>
      <c r="D98" s="1860" t="s">
        <v>2863</v>
      </c>
      <c r="E98" s="1860" t="s">
        <v>2864</v>
      </c>
      <c r="F98" s="1860" t="s">
        <v>597</v>
      </c>
      <c r="G98" s="1860" t="s">
        <v>2820</v>
      </c>
      <c r="H98" s="1860" t="s">
        <v>22</v>
      </c>
      <c r="I98" s="1860" t="s">
        <v>832</v>
      </c>
    </row>
    <row customHeight="1" ht="11.25">
      <c r="A99" s="1860" t="s">
        <v>2528</v>
      </c>
      <c r="B99" s="1860" t="s">
        <v>16</v>
      </c>
      <c r="C99" s="1860" t="s">
        <v>2865</v>
      </c>
      <c r="D99" s="1860" t="s">
        <v>2866</v>
      </c>
      <c r="E99" s="1860" t="s">
        <v>2867</v>
      </c>
      <c r="F99" s="1860" t="s">
        <v>597</v>
      </c>
      <c r="G99" s="1860" t="s">
        <v>2868</v>
      </c>
      <c r="H99" s="1860" t="s">
        <v>22</v>
      </c>
      <c r="I99" s="1860" t="s">
        <v>832</v>
      </c>
    </row>
    <row customHeight="1" ht="11.25">
      <c r="A100" s="1860" t="s">
        <v>2528</v>
      </c>
      <c r="B100" s="1860" t="s">
        <v>16</v>
      </c>
      <c r="C100" s="1860" t="s">
        <v>2869</v>
      </c>
      <c r="D100" s="1860" t="s">
        <v>2870</v>
      </c>
      <c r="E100" s="1860" t="s">
        <v>2871</v>
      </c>
      <c r="F100" s="1860" t="s">
        <v>597</v>
      </c>
      <c r="G100" s="1860" t="s">
        <v>2872</v>
      </c>
      <c r="H100" s="1860" t="s">
        <v>22</v>
      </c>
      <c r="I100" s="1860" t="s">
        <v>832</v>
      </c>
    </row>
    <row customHeight="1" ht="11.25">
      <c r="A101" s="1860" t="s">
        <v>2528</v>
      </c>
      <c r="B101" s="1860" t="s">
        <v>16</v>
      </c>
      <c r="C101" s="1860" t="s">
        <v>2873</v>
      </c>
      <c r="D101" s="1860" t="s">
        <v>2874</v>
      </c>
      <c r="E101" s="1860" t="s">
        <v>2875</v>
      </c>
      <c r="F101" s="1860" t="s">
        <v>597</v>
      </c>
      <c r="G101" s="1860" t="s">
        <v>2876</v>
      </c>
      <c r="H101" s="1860" t="s">
        <v>22</v>
      </c>
      <c r="I101" s="1860" t="s">
        <v>832</v>
      </c>
    </row>
    <row customHeight="1" ht="11.25">
      <c r="A102" s="1860" t="s">
        <v>2528</v>
      </c>
      <c r="B102" s="1860" t="s">
        <v>16</v>
      </c>
      <c r="C102" s="1860" t="s">
        <v>2877</v>
      </c>
      <c r="D102" s="1860" t="s">
        <v>2878</v>
      </c>
      <c r="E102" s="1860" t="s">
        <v>2879</v>
      </c>
      <c r="F102" s="1860" t="s">
        <v>597</v>
      </c>
      <c r="G102" s="1860" t="s">
        <v>2820</v>
      </c>
      <c r="H102" s="1860" t="s">
        <v>22</v>
      </c>
      <c r="I102" s="1860" t="s">
        <v>832</v>
      </c>
    </row>
    <row customHeight="1" ht="11.25">
      <c r="A103" s="1860" t="s">
        <v>2528</v>
      </c>
      <c r="B103" s="1860" t="s">
        <v>16</v>
      </c>
      <c r="C103" s="1860" t="s">
        <v>2880</v>
      </c>
      <c r="D103" s="1860" t="s">
        <v>2881</v>
      </c>
      <c r="E103" s="1860" t="s">
        <v>2882</v>
      </c>
      <c r="F103" s="1860" t="s">
        <v>597</v>
      </c>
      <c r="G103" s="1860" t="s">
        <v>2883</v>
      </c>
      <c r="H103" s="1860" t="s">
        <v>22</v>
      </c>
      <c r="I103" s="1860" t="s">
        <v>832</v>
      </c>
    </row>
    <row customHeight="1" ht="11.25">
      <c r="A104" s="1860" t="s">
        <v>2528</v>
      </c>
      <c r="B104" s="1860" t="s">
        <v>16</v>
      </c>
      <c r="C104" s="1860" t="s">
        <v>2884</v>
      </c>
      <c r="D104" s="1860" t="s">
        <v>2885</v>
      </c>
      <c r="E104" s="1860" t="s">
        <v>2669</v>
      </c>
      <c r="F104" s="1860" t="s">
        <v>2886</v>
      </c>
      <c r="G104" s="1860" t="s">
        <v>2887</v>
      </c>
      <c r="H104" s="1860" t="s">
        <v>22</v>
      </c>
      <c r="I104" s="1860" t="s">
        <v>832</v>
      </c>
    </row>
    <row customHeight="1" ht="11.25">
      <c r="A105" s="1860" t="s">
        <v>2528</v>
      </c>
      <c r="B105" s="1860" t="s">
        <v>16</v>
      </c>
      <c r="C105" s="1860" t="s">
        <v>2888</v>
      </c>
      <c r="D105" s="1860" t="s">
        <v>2889</v>
      </c>
      <c r="E105" s="1860" t="s">
        <v>2890</v>
      </c>
      <c r="F105" s="1860" t="s">
        <v>2891</v>
      </c>
      <c r="G105" s="1860" t="s">
        <v>2892</v>
      </c>
      <c r="H105" s="1860" t="s">
        <v>22</v>
      </c>
      <c r="I105" s="1860" t="s">
        <v>832</v>
      </c>
    </row>
    <row customHeight="1" ht="11.25">
      <c r="A106" s="1860" t="s">
        <v>2528</v>
      </c>
      <c r="B106" s="1860" t="s">
        <v>16</v>
      </c>
      <c r="C106" s="1860" t="s">
        <v>2893</v>
      </c>
      <c r="D106" s="1860" t="s">
        <v>2894</v>
      </c>
      <c r="E106" s="1860" t="s">
        <v>2895</v>
      </c>
      <c r="F106" s="1860" t="s">
        <v>2896</v>
      </c>
      <c r="G106" s="1860" t="s">
        <v>2897</v>
      </c>
      <c r="H106" s="1860" t="s">
        <v>22</v>
      </c>
      <c r="I106" s="1860" t="s">
        <v>832</v>
      </c>
    </row>
    <row customHeight="1" ht="11.25">
      <c r="A107" s="1860" t="s">
        <v>2528</v>
      </c>
      <c r="B107" s="1860" t="s">
        <v>16</v>
      </c>
      <c r="C107" s="1860" t="s">
        <v>2898</v>
      </c>
      <c r="D107" s="1860" t="s">
        <v>2899</v>
      </c>
      <c r="E107" s="1860" t="s">
        <v>2900</v>
      </c>
      <c r="F107" s="1860" t="s">
        <v>2577</v>
      </c>
      <c r="G107" s="1860" t="s">
        <v>2901</v>
      </c>
      <c r="H107" s="1860" t="s">
        <v>22</v>
      </c>
      <c r="I107" s="1860" t="s">
        <v>832</v>
      </c>
    </row>
    <row customHeight="1" ht="11.25">
      <c r="A108" s="1860" t="s">
        <v>2528</v>
      </c>
      <c r="B108" s="1860" t="s">
        <v>16</v>
      </c>
      <c r="C108" s="1860" t="s">
        <v>2902</v>
      </c>
      <c r="D108" s="1860" t="s">
        <v>2903</v>
      </c>
      <c r="E108" s="1860" t="s">
        <v>2904</v>
      </c>
      <c r="F108" s="1860" t="s">
        <v>2905</v>
      </c>
      <c r="G108" s="1860" t="s">
        <v>2906</v>
      </c>
      <c r="H108" s="1860" t="s">
        <v>22</v>
      </c>
      <c r="I108" s="1860" t="s">
        <v>832</v>
      </c>
    </row>
    <row customHeight="1" ht="11.25">
      <c r="A109" s="1860" t="s">
        <v>2528</v>
      </c>
      <c r="B109" s="1860" t="s">
        <v>16</v>
      </c>
      <c r="C109" s="1860" t="s">
        <v>2907</v>
      </c>
      <c r="D109" s="1860" t="s">
        <v>2908</v>
      </c>
      <c r="E109" s="1860" t="s">
        <v>2909</v>
      </c>
      <c r="F109" s="1860" t="s">
        <v>2540</v>
      </c>
      <c r="G109" s="1860" t="s">
        <v>2910</v>
      </c>
      <c r="H109" s="1860" t="s">
        <v>22</v>
      </c>
      <c r="I109" s="1860" t="s">
        <v>832</v>
      </c>
    </row>
    <row customHeight="1" ht="11.25">
      <c r="A110" s="1860" t="s">
        <v>2528</v>
      </c>
      <c r="B110" s="1860" t="s">
        <v>16</v>
      </c>
      <c r="C110" s="1860" t="s">
        <v>2911</v>
      </c>
      <c r="D110" s="1860" t="s">
        <v>2912</v>
      </c>
      <c r="E110" s="1860" t="s">
        <v>2913</v>
      </c>
      <c r="F110" s="1860" t="s">
        <v>2914</v>
      </c>
      <c r="G110" s="1860" t="s">
        <v>2915</v>
      </c>
      <c r="H110" s="1860" t="s">
        <v>22</v>
      </c>
      <c r="I110" s="1860" t="s">
        <v>832</v>
      </c>
    </row>
    <row customHeight="1" ht="11.25">
      <c r="A111" s="1860" t="s">
        <v>2528</v>
      </c>
      <c r="B111" s="1860" t="s">
        <v>16</v>
      </c>
      <c r="C111" s="1860" t="s">
        <v>2916</v>
      </c>
      <c r="D111" s="1860" t="s">
        <v>2917</v>
      </c>
      <c r="E111" s="1860" t="s">
        <v>2918</v>
      </c>
      <c r="F111" s="1860" t="s">
        <v>2540</v>
      </c>
      <c r="G111" s="1860" t="s">
        <v>2919</v>
      </c>
      <c r="H111" s="1860" t="s">
        <v>22</v>
      </c>
      <c r="I111" s="1860" t="s">
        <v>832</v>
      </c>
    </row>
    <row customHeight="1" ht="11.25">
      <c r="A112" s="1860" t="s">
        <v>2528</v>
      </c>
      <c r="B112" s="1860" t="s">
        <v>16</v>
      </c>
      <c r="C112" s="1860" t="s">
        <v>2920</v>
      </c>
      <c r="D112" s="1860" t="s">
        <v>2921</v>
      </c>
      <c r="E112" s="1860" t="s">
        <v>2922</v>
      </c>
      <c r="F112" s="1860" t="s">
        <v>2540</v>
      </c>
      <c r="G112" s="1860" t="s">
        <v>2923</v>
      </c>
      <c r="H112" s="1860" t="s">
        <v>22</v>
      </c>
      <c r="I112" s="1860" t="s">
        <v>832</v>
      </c>
    </row>
    <row customHeight="1" ht="11.25">
      <c r="A113" s="1860" t="s">
        <v>2528</v>
      </c>
      <c r="B113" s="1860" t="s">
        <v>16</v>
      </c>
      <c r="C113" s="1860" t="s">
        <v>2924</v>
      </c>
      <c r="D113" s="1860" t="s">
        <v>2925</v>
      </c>
      <c r="E113" s="1860" t="s">
        <v>2926</v>
      </c>
      <c r="F113" s="1860" t="s">
        <v>2927</v>
      </c>
      <c r="G113" s="1860" t="s">
        <v>2928</v>
      </c>
      <c r="H113" s="1860" t="s">
        <v>22</v>
      </c>
      <c r="I113" s="1860" t="s">
        <v>832</v>
      </c>
    </row>
    <row customHeight="1" ht="11.25">
      <c r="A114" s="1860" t="s">
        <v>2528</v>
      </c>
      <c r="B114" s="1860" t="s">
        <v>16</v>
      </c>
      <c r="C114" s="1860" t="s">
        <v>2929</v>
      </c>
      <c r="D114" s="1860" t="s">
        <v>2930</v>
      </c>
      <c r="E114" s="1860" t="s">
        <v>2931</v>
      </c>
      <c r="F114" s="1860" t="s">
        <v>2540</v>
      </c>
      <c r="G114" s="1860" t="s">
        <v>2932</v>
      </c>
      <c r="H114" s="1860" t="s">
        <v>22</v>
      </c>
      <c r="I114" s="1860" t="s">
        <v>832</v>
      </c>
    </row>
    <row customHeight="1" ht="11.25">
      <c r="A115" s="1860" t="s">
        <v>2528</v>
      </c>
      <c r="B115" s="1860" t="s">
        <v>16</v>
      </c>
      <c r="C115" s="1860" t="s">
        <v>2933</v>
      </c>
      <c r="D115" s="1860" t="s">
        <v>2934</v>
      </c>
      <c r="E115" s="1860" t="s">
        <v>2935</v>
      </c>
      <c r="F115" s="1860" t="s">
        <v>2936</v>
      </c>
      <c r="G115" s="1860" t="s">
        <v>2937</v>
      </c>
      <c r="H115" s="1860" t="s">
        <v>22</v>
      </c>
      <c r="I115" s="1860" t="s">
        <v>832</v>
      </c>
    </row>
    <row customHeight="1" ht="11.25">
      <c r="A116" s="1860" t="s">
        <v>2528</v>
      </c>
      <c r="B116" s="1860" t="s">
        <v>16</v>
      </c>
      <c r="C116" s="1860" t="s">
        <v>2938</v>
      </c>
      <c r="D116" s="1860" t="s">
        <v>2939</v>
      </c>
      <c r="E116" s="1860" t="s">
        <v>2940</v>
      </c>
      <c r="F116" s="1860" t="s">
        <v>2540</v>
      </c>
      <c r="G116" s="1860" t="s">
        <v>2941</v>
      </c>
      <c r="H116" s="1860" t="s">
        <v>22</v>
      </c>
      <c r="I116" s="1860" t="s">
        <v>832</v>
      </c>
    </row>
    <row customHeight="1" ht="11.25">
      <c r="A117" s="1860" t="s">
        <v>2528</v>
      </c>
      <c r="B117" s="1860" t="s">
        <v>16</v>
      </c>
      <c r="C117" s="1860" t="s">
        <v>2942</v>
      </c>
      <c r="D117" s="1860" t="s">
        <v>2943</v>
      </c>
      <c r="E117" s="1860" t="s">
        <v>2944</v>
      </c>
      <c r="F117" s="1860" t="s">
        <v>2540</v>
      </c>
      <c r="G117" s="1860" t="s">
        <v>2945</v>
      </c>
      <c r="H117" s="1860" t="s">
        <v>22</v>
      </c>
      <c r="I117" s="1860" t="s">
        <v>832</v>
      </c>
    </row>
    <row customHeight="1" ht="11.25">
      <c r="A118" s="1860" t="s">
        <v>2528</v>
      </c>
      <c r="B118" s="1860" t="s">
        <v>16</v>
      </c>
      <c r="C118" s="1860" t="s">
        <v>2946</v>
      </c>
      <c r="D118" s="1860" t="s">
        <v>2947</v>
      </c>
      <c r="E118" s="1860" t="s">
        <v>2948</v>
      </c>
      <c r="F118" s="1860" t="s">
        <v>2949</v>
      </c>
      <c r="G118" s="1860" t="s">
        <v>2950</v>
      </c>
      <c r="H118" s="1860" t="s">
        <v>22</v>
      </c>
      <c r="I118" s="1860" t="s">
        <v>832</v>
      </c>
    </row>
    <row customHeight="1" ht="11.25">
      <c r="A119" s="1860" t="s">
        <v>2528</v>
      </c>
      <c r="B119" s="1860" t="s">
        <v>16</v>
      </c>
      <c r="C119" s="1860" t="s">
        <v>2951</v>
      </c>
      <c r="D119" s="1860" t="s">
        <v>2952</v>
      </c>
      <c r="E119" s="1860" t="s">
        <v>2953</v>
      </c>
      <c r="F119" s="1860" t="s">
        <v>2540</v>
      </c>
      <c r="G119" s="1860" t="s">
        <v>22</v>
      </c>
      <c r="H119" s="1860" t="s">
        <v>22</v>
      </c>
      <c r="I119" s="1860" t="s">
        <v>832</v>
      </c>
    </row>
    <row customHeight="1" ht="11.25">
      <c r="A120" s="1860" t="s">
        <v>2528</v>
      </c>
      <c r="B120" s="1860" t="s">
        <v>16</v>
      </c>
      <c r="C120" s="1860" t="s">
        <v>2954</v>
      </c>
      <c r="D120" s="1860" t="s">
        <v>2955</v>
      </c>
      <c r="E120" s="1860" t="s">
        <v>2956</v>
      </c>
      <c r="F120" s="1860" t="s">
        <v>2644</v>
      </c>
      <c r="G120" s="1860" t="s">
        <v>2957</v>
      </c>
      <c r="H120" s="1860" t="s">
        <v>22</v>
      </c>
      <c r="I120" s="1860" t="s">
        <v>832</v>
      </c>
    </row>
    <row customHeight="1" ht="11.25">
      <c r="A121" s="1860" t="s">
        <v>2528</v>
      </c>
      <c r="B121" s="1860" t="s">
        <v>16</v>
      </c>
      <c r="C121" s="1860" t="s">
        <v>2958</v>
      </c>
      <c r="D121" s="1860" t="s">
        <v>2959</v>
      </c>
      <c r="E121" s="1860" t="s">
        <v>2960</v>
      </c>
      <c r="F121" s="1860" t="s">
        <v>2540</v>
      </c>
      <c r="G121" s="1860" t="s">
        <v>2961</v>
      </c>
      <c r="H121" s="1860" t="s">
        <v>22</v>
      </c>
      <c r="I121" s="1860" t="s">
        <v>832</v>
      </c>
    </row>
    <row customHeight="1" ht="11.25">
      <c r="A122" s="1860" t="s">
        <v>2528</v>
      </c>
      <c r="B122" s="1860" t="s">
        <v>16</v>
      </c>
      <c r="C122" s="1860" t="s">
        <v>2962</v>
      </c>
      <c r="D122" s="1860" t="s">
        <v>2963</v>
      </c>
      <c r="E122" s="1860" t="s">
        <v>2964</v>
      </c>
      <c r="F122" s="1860" t="s">
        <v>2644</v>
      </c>
      <c r="G122" s="1860" t="s">
        <v>2965</v>
      </c>
      <c r="H122" s="1860" t="s">
        <v>22</v>
      </c>
      <c r="I122" s="1860" t="s">
        <v>832</v>
      </c>
    </row>
    <row customHeight="1" ht="11.25">
      <c r="A123" s="1860" t="s">
        <v>2528</v>
      </c>
      <c r="B123" s="1860" t="s">
        <v>16</v>
      </c>
      <c r="C123" s="1860" t="s">
        <v>2966</v>
      </c>
      <c r="D123" s="1860" t="s">
        <v>2967</v>
      </c>
      <c r="E123" s="1860" t="s">
        <v>2968</v>
      </c>
      <c r="F123" s="1860" t="s">
        <v>2540</v>
      </c>
      <c r="G123" s="1860" t="s">
        <v>2969</v>
      </c>
      <c r="H123" s="1860" t="s">
        <v>22</v>
      </c>
      <c r="I123" s="1860" t="s">
        <v>832</v>
      </c>
    </row>
    <row customHeight="1" ht="11.25">
      <c r="A124" s="1860" t="s">
        <v>2528</v>
      </c>
      <c r="B124" s="1860" t="s">
        <v>16</v>
      </c>
      <c r="C124" s="1860" t="s">
        <v>2970</v>
      </c>
      <c r="D124" s="1860" t="s">
        <v>2971</v>
      </c>
      <c r="E124" s="1860" t="s">
        <v>2972</v>
      </c>
      <c r="F124" s="1860" t="s">
        <v>2563</v>
      </c>
      <c r="G124" s="1860" t="s">
        <v>2973</v>
      </c>
      <c r="H124" s="1860" t="s">
        <v>22</v>
      </c>
      <c r="I124" s="1860" t="s">
        <v>832</v>
      </c>
    </row>
    <row customHeight="1" ht="11.25">
      <c r="A125" s="1860" t="s">
        <v>2528</v>
      </c>
      <c r="B125" s="1860" t="s">
        <v>16</v>
      </c>
      <c r="C125" s="1860" t="s">
        <v>2974</v>
      </c>
      <c r="D125" s="1860" t="s">
        <v>2975</v>
      </c>
      <c r="E125" s="1860" t="s">
        <v>2976</v>
      </c>
      <c r="F125" s="1860" t="s">
        <v>2977</v>
      </c>
      <c r="G125" s="1860" t="s">
        <v>2978</v>
      </c>
      <c r="H125" s="1860" t="s">
        <v>22</v>
      </c>
      <c r="I125" s="1860" t="s">
        <v>832</v>
      </c>
    </row>
    <row customHeight="1" ht="11.25">
      <c r="A126" s="1860" t="s">
        <v>2528</v>
      </c>
      <c r="B126" s="1860" t="s">
        <v>16</v>
      </c>
      <c r="C126" s="1860" t="s">
        <v>2979</v>
      </c>
      <c r="D126" s="1860" t="s">
        <v>2980</v>
      </c>
      <c r="E126" s="1860" t="s">
        <v>2981</v>
      </c>
      <c r="F126" s="1860" t="s">
        <v>2982</v>
      </c>
      <c r="G126" s="1860" t="s">
        <v>2983</v>
      </c>
      <c r="H126" s="1860" t="s">
        <v>22</v>
      </c>
      <c r="I126" s="1860" t="s">
        <v>832</v>
      </c>
    </row>
    <row customHeight="1" ht="11.25">
      <c r="A127" s="1860" t="s">
        <v>2528</v>
      </c>
      <c r="B127" s="1860" t="s">
        <v>16</v>
      </c>
      <c r="C127" s="1860" t="s">
        <v>2984</v>
      </c>
      <c r="D127" s="1860" t="s">
        <v>2985</v>
      </c>
      <c r="E127" s="1860" t="s">
        <v>2986</v>
      </c>
      <c r="F127" s="1860" t="s">
        <v>2905</v>
      </c>
      <c r="G127" s="1860" t="s">
        <v>2987</v>
      </c>
      <c r="H127" s="1860" t="s">
        <v>22</v>
      </c>
      <c r="I127" s="1860" t="s">
        <v>832</v>
      </c>
    </row>
    <row customHeight="1" ht="11.25">
      <c r="A128" s="1860" t="s">
        <v>2528</v>
      </c>
      <c r="B128" s="1860" t="s">
        <v>16</v>
      </c>
      <c r="C128" s="1860" t="s">
        <v>2988</v>
      </c>
      <c r="D128" s="1860" t="s">
        <v>2989</v>
      </c>
      <c r="E128" s="1860" t="s">
        <v>2990</v>
      </c>
      <c r="F128" s="1860" t="s">
        <v>2540</v>
      </c>
      <c r="G128" s="1860" t="s">
        <v>2991</v>
      </c>
      <c r="H128" s="1860" t="s">
        <v>22</v>
      </c>
      <c r="I128" s="1860" t="s">
        <v>832</v>
      </c>
    </row>
    <row customHeight="1" ht="11.25">
      <c r="A129" s="1860" t="s">
        <v>2528</v>
      </c>
      <c r="B129" s="1860" t="s">
        <v>16</v>
      </c>
      <c r="C129" s="1860" t="s">
        <v>2992</v>
      </c>
      <c r="D129" s="1860" t="s">
        <v>2993</v>
      </c>
      <c r="E129" s="1860" t="s">
        <v>2994</v>
      </c>
      <c r="F129" s="1860" t="s">
        <v>2995</v>
      </c>
      <c r="G129" s="1860" t="s">
        <v>2996</v>
      </c>
      <c r="H129" s="1860" t="s">
        <v>22</v>
      </c>
      <c r="I129" s="1860" t="s">
        <v>832</v>
      </c>
    </row>
    <row customHeight="1" ht="11.25">
      <c r="A130" s="1860" t="s">
        <v>2528</v>
      </c>
      <c r="B130" s="1860" t="s">
        <v>16</v>
      </c>
      <c r="C130" s="1860" t="s">
        <v>2997</v>
      </c>
      <c r="D130" s="1860" t="s">
        <v>2998</v>
      </c>
      <c r="E130" s="1860" t="s">
        <v>2999</v>
      </c>
      <c r="F130" s="1860" t="s">
        <v>2995</v>
      </c>
      <c r="G130" s="1860" t="s">
        <v>3000</v>
      </c>
      <c r="H130" s="1860" t="s">
        <v>22</v>
      </c>
      <c r="I130" s="1860" t="s">
        <v>832</v>
      </c>
    </row>
    <row customHeight="1" ht="11.25">
      <c r="A131" s="1860" t="s">
        <v>2528</v>
      </c>
      <c r="B131" s="1860" t="s">
        <v>16</v>
      </c>
      <c r="C131" s="1860" t="s">
        <v>3001</v>
      </c>
      <c r="D131" s="1860" t="s">
        <v>3002</v>
      </c>
      <c r="E131" s="1860" t="s">
        <v>3003</v>
      </c>
      <c r="F131" s="1860" t="s">
        <v>2540</v>
      </c>
      <c r="G131" s="1860" t="s">
        <v>3004</v>
      </c>
      <c r="H131" s="1860" t="s">
        <v>22</v>
      </c>
      <c r="I131" s="1860" t="s">
        <v>832</v>
      </c>
    </row>
    <row customHeight="1" ht="11.25">
      <c r="A132" s="1860" t="s">
        <v>2528</v>
      </c>
      <c r="B132" s="1860" t="s">
        <v>16</v>
      </c>
      <c r="C132" s="1860" t="s">
        <v>3005</v>
      </c>
      <c r="D132" s="1860" t="s">
        <v>3006</v>
      </c>
      <c r="E132" s="1860" t="s">
        <v>3007</v>
      </c>
      <c r="F132" s="1860" t="s">
        <v>2949</v>
      </c>
      <c r="G132" s="1860" t="s">
        <v>3008</v>
      </c>
      <c r="H132" s="1860" t="s">
        <v>22</v>
      </c>
      <c r="I132" s="1860" t="s">
        <v>832</v>
      </c>
    </row>
    <row customHeight="1" ht="11.25">
      <c r="A133" s="1860" t="s">
        <v>2528</v>
      </c>
      <c r="B133" s="1860" t="s">
        <v>16</v>
      </c>
      <c r="C133" s="1860" t="s">
        <v>3009</v>
      </c>
      <c r="D133" s="1860" t="s">
        <v>3010</v>
      </c>
      <c r="E133" s="1860" t="s">
        <v>3011</v>
      </c>
      <c r="F133" s="1860" t="s">
        <v>2886</v>
      </c>
      <c r="G133" s="1860" t="s">
        <v>22</v>
      </c>
      <c r="H133" s="1860" t="s">
        <v>22</v>
      </c>
      <c r="I133" s="1860" t="s">
        <v>832</v>
      </c>
    </row>
    <row customHeight="1" ht="11.25">
      <c r="A134" s="1860" t="s">
        <v>2528</v>
      </c>
      <c r="B134" s="1860" t="s">
        <v>16</v>
      </c>
      <c r="C134" s="1860" t="s">
        <v>3012</v>
      </c>
      <c r="D134" s="1860" t="s">
        <v>3013</v>
      </c>
      <c r="E134" s="1860" t="s">
        <v>3014</v>
      </c>
      <c r="F134" s="1860" t="s">
        <v>2896</v>
      </c>
      <c r="G134" s="1860" t="s">
        <v>3015</v>
      </c>
      <c r="H134" s="1860" t="s">
        <v>22</v>
      </c>
      <c r="I134" s="1860" t="s">
        <v>832</v>
      </c>
    </row>
    <row customHeight="1" ht="11.25">
      <c r="A135" s="1860" t="s">
        <v>2528</v>
      </c>
      <c r="B135" s="1860" t="s">
        <v>16</v>
      </c>
      <c r="C135" s="1860" t="s">
        <v>3016</v>
      </c>
      <c r="D135" s="1860" t="s">
        <v>3017</v>
      </c>
      <c r="E135" s="1860" t="s">
        <v>3018</v>
      </c>
      <c r="F135" s="1860" t="s">
        <v>2905</v>
      </c>
      <c r="G135" s="1860" t="s">
        <v>3019</v>
      </c>
      <c r="H135" s="1860" t="s">
        <v>22</v>
      </c>
      <c r="I135" s="1860" t="s">
        <v>832</v>
      </c>
    </row>
    <row customHeight="1" ht="11.25">
      <c r="A136" s="1860" t="s">
        <v>2528</v>
      </c>
      <c r="B136" s="1860" t="s">
        <v>16</v>
      </c>
      <c r="C136" s="1860" t="s">
        <v>3020</v>
      </c>
      <c r="D136" s="1860" t="s">
        <v>3021</v>
      </c>
      <c r="E136" s="1860" t="s">
        <v>3022</v>
      </c>
      <c r="F136" s="1860" t="s">
        <v>2540</v>
      </c>
      <c r="G136" s="1860" t="s">
        <v>3023</v>
      </c>
      <c r="H136" s="1860" t="s">
        <v>22</v>
      </c>
      <c r="I136" s="1860" t="s">
        <v>832</v>
      </c>
    </row>
    <row customHeight="1" ht="11.25">
      <c r="A137" s="1860" t="s">
        <v>2528</v>
      </c>
      <c r="B137" s="1860" t="s">
        <v>16</v>
      </c>
      <c r="C137" s="1860" t="s">
        <v>3024</v>
      </c>
      <c r="D137" s="1860" t="s">
        <v>3025</v>
      </c>
      <c r="E137" s="1860" t="s">
        <v>3026</v>
      </c>
      <c r="F137" s="1860" t="s">
        <v>3027</v>
      </c>
      <c r="G137" s="1860" t="s">
        <v>3028</v>
      </c>
      <c r="H137" s="1860" t="s">
        <v>22</v>
      </c>
      <c r="I137" s="1860" t="s">
        <v>832</v>
      </c>
    </row>
    <row customHeight="1" ht="11.25">
      <c r="A138" s="1860" t="s">
        <v>2528</v>
      </c>
      <c r="B138" s="1860" t="s">
        <v>16</v>
      </c>
      <c r="C138" s="1860" t="s">
        <v>3029</v>
      </c>
      <c r="D138" s="1860" t="s">
        <v>3030</v>
      </c>
      <c r="E138" s="1860" t="s">
        <v>3031</v>
      </c>
      <c r="F138" s="1860" t="s">
        <v>2540</v>
      </c>
      <c r="G138" s="1860" t="s">
        <v>3032</v>
      </c>
      <c r="H138" s="1860" t="s">
        <v>22</v>
      </c>
      <c r="I138" s="1860" t="s">
        <v>832</v>
      </c>
    </row>
    <row customHeight="1" ht="11.25">
      <c r="A139" s="1860" t="s">
        <v>2528</v>
      </c>
      <c r="B139" s="1860" t="s">
        <v>16</v>
      </c>
      <c r="C139" s="1860" t="s">
        <v>3033</v>
      </c>
      <c r="D139" s="1860" t="s">
        <v>3034</v>
      </c>
      <c r="E139" s="1860" t="s">
        <v>3035</v>
      </c>
      <c r="F139" s="1860" t="s">
        <v>2540</v>
      </c>
      <c r="G139" s="1860" t="s">
        <v>3036</v>
      </c>
      <c r="H139" s="1860" t="s">
        <v>22</v>
      </c>
      <c r="I139" s="1860" t="s">
        <v>832</v>
      </c>
    </row>
    <row customHeight="1" ht="11.25">
      <c r="A140" s="1860" t="s">
        <v>2528</v>
      </c>
      <c r="B140" s="1860" t="s">
        <v>16</v>
      </c>
      <c r="C140" s="1860" t="s">
        <v>3037</v>
      </c>
      <c r="D140" s="1860" t="s">
        <v>3038</v>
      </c>
      <c r="E140" s="1860" t="s">
        <v>3039</v>
      </c>
      <c r="F140" s="1860" t="s">
        <v>2540</v>
      </c>
      <c r="G140" s="1860" t="s">
        <v>3036</v>
      </c>
      <c r="H140" s="1860" t="s">
        <v>22</v>
      </c>
      <c r="I140" s="1860" t="s">
        <v>832</v>
      </c>
    </row>
    <row customHeight="1" ht="11.25">
      <c r="A141" s="1860" t="s">
        <v>2528</v>
      </c>
      <c r="B141" s="1860" t="s">
        <v>16</v>
      </c>
      <c r="C141" s="1860" t="s">
        <v>3040</v>
      </c>
      <c r="D141" s="1860" t="s">
        <v>3041</v>
      </c>
      <c r="E141" s="1860" t="s">
        <v>3042</v>
      </c>
      <c r="F141" s="1860" t="s">
        <v>2540</v>
      </c>
      <c r="G141" s="1860" t="s">
        <v>3043</v>
      </c>
      <c r="H141" s="1860" t="s">
        <v>22</v>
      </c>
      <c r="I141" s="1860" t="s">
        <v>832</v>
      </c>
    </row>
    <row customHeight="1" ht="11.25">
      <c r="A142" s="1860" t="s">
        <v>2528</v>
      </c>
      <c r="B142" s="1860" t="s">
        <v>16</v>
      </c>
      <c r="C142" s="1860" t="s">
        <v>3044</v>
      </c>
      <c r="D142" s="1860" t="s">
        <v>3045</v>
      </c>
      <c r="E142" s="1860" t="s">
        <v>3046</v>
      </c>
      <c r="F142" s="1860" t="s">
        <v>2563</v>
      </c>
      <c r="G142" s="1860" t="s">
        <v>3047</v>
      </c>
      <c r="H142" s="1860" t="s">
        <v>22</v>
      </c>
      <c r="I142" s="1860" t="s">
        <v>832</v>
      </c>
    </row>
    <row customHeight="1" ht="11.25">
      <c r="A143" s="1860" t="s">
        <v>2528</v>
      </c>
      <c r="B143" s="1860" t="s">
        <v>16</v>
      </c>
      <c r="C143" s="1860" t="s">
        <v>3048</v>
      </c>
      <c r="D143" s="1860" t="s">
        <v>3049</v>
      </c>
      <c r="E143" s="1860" t="s">
        <v>3050</v>
      </c>
      <c r="F143" s="1860" t="s">
        <v>2635</v>
      </c>
      <c r="G143" s="1860" t="s">
        <v>3051</v>
      </c>
      <c r="H143" s="1860" t="s">
        <v>22</v>
      </c>
      <c r="I143" s="1860" t="s">
        <v>832</v>
      </c>
    </row>
    <row customHeight="1" ht="11.25">
      <c r="A144" s="1860" t="s">
        <v>2528</v>
      </c>
      <c r="B144" s="1860" t="s">
        <v>16</v>
      </c>
      <c r="C144" s="1860" t="s">
        <v>3052</v>
      </c>
      <c r="D144" s="1860" t="s">
        <v>3053</v>
      </c>
      <c r="E144" s="1860" t="s">
        <v>3054</v>
      </c>
      <c r="F144" s="1860" t="s">
        <v>2927</v>
      </c>
      <c r="G144" s="1860" t="s">
        <v>3055</v>
      </c>
      <c r="H144" s="1860" t="s">
        <v>22</v>
      </c>
      <c r="I144" s="1860" t="s">
        <v>832</v>
      </c>
    </row>
    <row customHeight="1" ht="11.25">
      <c r="A145" s="1860" t="s">
        <v>2528</v>
      </c>
      <c r="B145" s="1860" t="s">
        <v>16</v>
      </c>
      <c r="C145" s="1860" t="s">
        <v>3056</v>
      </c>
      <c r="D145" s="1860" t="s">
        <v>3057</v>
      </c>
      <c r="E145" s="1860" t="s">
        <v>3058</v>
      </c>
      <c r="F145" s="1860" t="s">
        <v>2563</v>
      </c>
      <c r="G145" s="1860" t="s">
        <v>3059</v>
      </c>
      <c r="H145" s="1860" t="s">
        <v>22</v>
      </c>
      <c r="I145" s="1860" t="s">
        <v>832</v>
      </c>
    </row>
    <row customHeight="1" ht="11.25">
      <c r="A146" s="1860" t="s">
        <v>2528</v>
      </c>
      <c r="B146" s="1860" t="s">
        <v>16</v>
      </c>
      <c r="C146" s="1860" t="s">
        <v>3060</v>
      </c>
      <c r="D146" s="1860" t="s">
        <v>3061</v>
      </c>
      <c r="E146" s="1860" t="s">
        <v>3062</v>
      </c>
      <c r="F146" s="1860" t="s">
        <v>2540</v>
      </c>
      <c r="G146" s="1860" t="s">
        <v>3063</v>
      </c>
      <c r="H146" s="1860" t="s">
        <v>22</v>
      </c>
      <c r="I146" s="1860" t="s">
        <v>832</v>
      </c>
    </row>
    <row customHeight="1" ht="11.25">
      <c r="A147" s="1860" t="s">
        <v>2528</v>
      </c>
      <c r="B147" s="1860" t="s">
        <v>16</v>
      </c>
      <c r="C147" s="1860" t="s">
        <v>3064</v>
      </c>
      <c r="D147" s="1860" t="s">
        <v>3065</v>
      </c>
      <c r="E147" s="1860" t="s">
        <v>3066</v>
      </c>
      <c r="F147" s="1860" t="s">
        <v>2540</v>
      </c>
      <c r="G147" s="1860" t="s">
        <v>3067</v>
      </c>
      <c r="H147" s="1860" t="s">
        <v>22</v>
      </c>
      <c r="I147" s="1860" t="s">
        <v>832</v>
      </c>
    </row>
    <row customHeight="1" ht="11.25">
      <c r="A148" s="1860" t="s">
        <v>2528</v>
      </c>
      <c r="B148" s="1860" t="s">
        <v>16</v>
      </c>
      <c r="C148" s="1860" t="s">
        <v>3068</v>
      </c>
      <c r="D148" s="1860" t="s">
        <v>3069</v>
      </c>
      <c r="E148" s="1860" t="s">
        <v>3070</v>
      </c>
      <c r="F148" s="1860" t="s">
        <v>3071</v>
      </c>
      <c r="G148" s="1860" t="s">
        <v>3072</v>
      </c>
      <c r="H148" s="1860" t="s">
        <v>22</v>
      </c>
      <c r="I148" s="1860" t="s">
        <v>832</v>
      </c>
    </row>
    <row customHeight="1" ht="11.25">
      <c r="A149" s="1860" t="s">
        <v>2528</v>
      </c>
      <c r="B149" s="1860" t="s">
        <v>16</v>
      </c>
      <c r="C149" s="1860" t="s">
        <v>3073</v>
      </c>
      <c r="D149" s="1860" t="s">
        <v>3074</v>
      </c>
      <c r="E149" s="1860" t="s">
        <v>3075</v>
      </c>
      <c r="F149" s="1860" t="s">
        <v>2949</v>
      </c>
      <c r="G149" s="1860" t="s">
        <v>3076</v>
      </c>
      <c r="H149" s="1860" t="s">
        <v>22</v>
      </c>
      <c r="I149" s="1860" t="s">
        <v>832</v>
      </c>
    </row>
    <row customHeight="1" ht="11.25">
      <c r="A150" s="1860" t="s">
        <v>2528</v>
      </c>
      <c r="B150" s="1860" t="s">
        <v>16</v>
      </c>
      <c r="C150" s="1860" t="s">
        <v>3077</v>
      </c>
      <c r="D150" s="1860" t="s">
        <v>3078</v>
      </c>
      <c r="E150" s="1860" t="s">
        <v>3079</v>
      </c>
      <c r="F150" s="1860" t="s">
        <v>3071</v>
      </c>
      <c r="G150" s="1860" t="s">
        <v>3080</v>
      </c>
      <c r="H150" s="1860" t="s">
        <v>22</v>
      </c>
      <c r="I150" s="1860" t="s">
        <v>832</v>
      </c>
    </row>
    <row customHeight="1" ht="11.25">
      <c r="A151" s="1860" t="s">
        <v>2528</v>
      </c>
      <c r="B151" s="1860" t="s">
        <v>16</v>
      </c>
      <c r="C151" s="1860" t="s">
        <v>3081</v>
      </c>
      <c r="D151" s="1860" t="s">
        <v>3082</v>
      </c>
      <c r="E151" s="1860" t="s">
        <v>3083</v>
      </c>
      <c r="F151" s="1860" t="s">
        <v>2927</v>
      </c>
      <c r="G151" s="1860" t="s">
        <v>3084</v>
      </c>
      <c r="H151" s="1860" t="s">
        <v>22</v>
      </c>
      <c r="I151" s="1860" t="s">
        <v>832</v>
      </c>
    </row>
    <row customHeight="1" ht="11.25">
      <c r="A152" s="1860" t="s">
        <v>2528</v>
      </c>
      <c r="B152" s="1860" t="s">
        <v>16</v>
      </c>
      <c r="C152" s="1860" t="s">
        <v>3085</v>
      </c>
      <c r="D152" s="1860" t="s">
        <v>3086</v>
      </c>
      <c r="E152" s="1860" t="s">
        <v>3087</v>
      </c>
      <c r="F152" s="1860" t="s">
        <v>3071</v>
      </c>
      <c r="G152" s="1860" t="s">
        <v>3088</v>
      </c>
      <c r="H152" s="1860" t="s">
        <v>22</v>
      </c>
      <c r="I152" s="1860" t="s">
        <v>832</v>
      </c>
    </row>
    <row customHeight="1" ht="11.25">
      <c r="A153" s="1860" t="s">
        <v>2528</v>
      </c>
      <c r="B153" s="1860" t="s">
        <v>16</v>
      </c>
      <c r="C153" s="1860" t="s">
        <v>3089</v>
      </c>
      <c r="D153" s="1860" t="s">
        <v>3090</v>
      </c>
      <c r="E153" s="1860" t="s">
        <v>3091</v>
      </c>
      <c r="F153" s="1860" t="s">
        <v>2540</v>
      </c>
      <c r="G153" s="1860" t="s">
        <v>2897</v>
      </c>
      <c r="H153" s="1860" t="s">
        <v>22</v>
      </c>
      <c r="I153" s="1860" t="s">
        <v>832</v>
      </c>
    </row>
    <row customHeight="1" ht="11.25">
      <c r="A154" s="1860" t="s">
        <v>2528</v>
      </c>
      <c r="B154" s="1860" t="s">
        <v>16</v>
      </c>
      <c r="C154" s="1860" t="s">
        <v>3092</v>
      </c>
      <c r="D154" s="1860" t="s">
        <v>3093</v>
      </c>
      <c r="E154" s="1860" t="s">
        <v>3094</v>
      </c>
      <c r="F154" s="1860" t="s">
        <v>2540</v>
      </c>
      <c r="G154" s="1860" t="s">
        <v>3095</v>
      </c>
      <c r="H154" s="1860" t="s">
        <v>22</v>
      </c>
      <c r="I154" s="1860" t="s">
        <v>832</v>
      </c>
    </row>
    <row customHeight="1" ht="11.25">
      <c r="A155" s="1860" t="s">
        <v>2528</v>
      </c>
      <c r="B155" s="1860" t="s">
        <v>16</v>
      </c>
      <c r="C155" s="1860" t="s">
        <v>3096</v>
      </c>
      <c r="D155" s="1860" t="s">
        <v>3097</v>
      </c>
      <c r="E155" s="1860" t="s">
        <v>3098</v>
      </c>
      <c r="F155" s="1860" t="s">
        <v>2577</v>
      </c>
      <c r="G155" s="1860" t="s">
        <v>3099</v>
      </c>
      <c r="H155" s="1860" t="s">
        <v>22</v>
      </c>
      <c r="I155" s="1860" t="s">
        <v>832</v>
      </c>
    </row>
    <row customHeight="1" ht="11.25">
      <c r="A156" s="1860" t="s">
        <v>2528</v>
      </c>
      <c r="B156" s="1860" t="s">
        <v>16</v>
      </c>
      <c r="C156" s="1860" t="s">
        <v>3100</v>
      </c>
      <c r="D156" s="1860" t="s">
        <v>3101</v>
      </c>
      <c r="E156" s="1860" t="s">
        <v>3102</v>
      </c>
      <c r="F156" s="1860" t="s">
        <v>2540</v>
      </c>
      <c r="G156" s="1860" t="s">
        <v>3103</v>
      </c>
      <c r="H156" s="1860" t="s">
        <v>22</v>
      </c>
      <c r="I156" s="1860" t="s">
        <v>832</v>
      </c>
    </row>
    <row customHeight="1" ht="11.25">
      <c r="A157" s="1860" t="s">
        <v>2528</v>
      </c>
      <c r="B157" s="1860" t="s">
        <v>16</v>
      </c>
      <c r="C157" s="1860" t="s">
        <v>3104</v>
      </c>
      <c r="D157" s="1860" t="s">
        <v>3105</v>
      </c>
      <c r="E157" s="1860" t="s">
        <v>3106</v>
      </c>
      <c r="F157" s="1860" t="s">
        <v>2540</v>
      </c>
      <c r="G157" s="1860" t="s">
        <v>3107</v>
      </c>
      <c r="H157" s="1860" t="s">
        <v>22</v>
      </c>
      <c r="I157" s="1860" t="s">
        <v>832</v>
      </c>
    </row>
    <row customHeight="1" ht="11.25">
      <c r="A158" s="1860" t="s">
        <v>2528</v>
      </c>
      <c r="B158" s="1860" t="s">
        <v>16</v>
      </c>
      <c r="C158" s="1860" t="s">
        <v>3108</v>
      </c>
      <c r="D158" s="1860" t="s">
        <v>3109</v>
      </c>
      <c r="E158" s="1860" t="s">
        <v>3110</v>
      </c>
      <c r="F158" s="1860" t="s">
        <v>2914</v>
      </c>
      <c r="G158" s="1860" t="s">
        <v>3111</v>
      </c>
      <c r="H158" s="1860" t="s">
        <v>22</v>
      </c>
      <c r="I158" s="1860" t="s">
        <v>832</v>
      </c>
    </row>
    <row customHeight="1" ht="11.25">
      <c r="A159" s="1860" t="s">
        <v>2528</v>
      </c>
      <c r="B159" s="1860" t="s">
        <v>16</v>
      </c>
      <c r="C159" s="1860" t="s">
        <v>3112</v>
      </c>
      <c r="D159" s="1860" t="s">
        <v>3113</v>
      </c>
      <c r="E159" s="1860" t="s">
        <v>3114</v>
      </c>
      <c r="F159" s="1860" t="s">
        <v>2577</v>
      </c>
      <c r="G159" s="1860" t="s">
        <v>3115</v>
      </c>
      <c r="H159" s="1860" t="s">
        <v>22</v>
      </c>
      <c r="I159" s="1860" t="s">
        <v>832</v>
      </c>
    </row>
    <row customHeight="1" ht="11.25">
      <c r="A160" s="1860" t="s">
        <v>2528</v>
      </c>
      <c r="B160" s="1860" t="s">
        <v>16</v>
      </c>
      <c r="C160" s="1860" t="s">
        <v>3116</v>
      </c>
      <c r="D160" s="1860" t="s">
        <v>3117</v>
      </c>
      <c r="E160" s="1860" t="s">
        <v>3118</v>
      </c>
      <c r="F160" s="1860" t="s">
        <v>3119</v>
      </c>
      <c r="G160" s="1860" t="s">
        <v>3120</v>
      </c>
      <c r="H160" s="1860" t="s">
        <v>22</v>
      </c>
      <c r="I160" s="1860" t="s">
        <v>832</v>
      </c>
    </row>
    <row customHeight="1" ht="11.25">
      <c r="A161" s="1860" t="s">
        <v>2528</v>
      </c>
      <c r="B161" s="1860" t="s">
        <v>16</v>
      </c>
      <c r="C161" s="1860" t="s">
        <v>3121</v>
      </c>
      <c r="D161" s="1860" t="s">
        <v>3122</v>
      </c>
      <c r="E161" s="1860" t="s">
        <v>3123</v>
      </c>
      <c r="F161" s="1860" t="s">
        <v>3124</v>
      </c>
      <c r="G161" s="1860" t="s">
        <v>3125</v>
      </c>
      <c r="H161" s="1860" t="s">
        <v>22</v>
      </c>
      <c r="I161" s="1860" t="s">
        <v>832</v>
      </c>
    </row>
    <row customHeight="1" ht="11.25">
      <c r="A162" s="1860" t="s">
        <v>2528</v>
      </c>
      <c r="B162" s="1860" t="s">
        <v>16</v>
      </c>
      <c r="C162" s="1860" t="s">
        <v>3126</v>
      </c>
      <c r="D162" s="1860" t="s">
        <v>3127</v>
      </c>
      <c r="E162" s="1860" t="s">
        <v>3128</v>
      </c>
      <c r="F162" s="1860" t="s">
        <v>3027</v>
      </c>
      <c r="G162" s="1860" t="s">
        <v>3129</v>
      </c>
      <c r="H162" s="1860" t="s">
        <v>22</v>
      </c>
      <c r="I162" s="1860" t="s">
        <v>832</v>
      </c>
    </row>
    <row customHeight="1" ht="11.25">
      <c r="A163" s="1860" t="s">
        <v>2528</v>
      </c>
      <c r="B163" s="1860" t="s">
        <v>16</v>
      </c>
      <c r="C163" s="1860" t="s">
        <v>3130</v>
      </c>
      <c r="D163" s="1860" t="s">
        <v>3131</v>
      </c>
      <c r="E163" s="1860" t="s">
        <v>3132</v>
      </c>
      <c r="F163" s="1860" t="s">
        <v>2540</v>
      </c>
      <c r="G163" s="1860" t="s">
        <v>3133</v>
      </c>
      <c r="H163" s="1860" t="s">
        <v>22</v>
      </c>
      <c r="I163" s="1860" t="s">
        <v>832</v>
      </c>
    </row>
    <row customHeight="1" ht="11.25">
      <c r="A164" s="1860" t="s">
        <v>2528</v>
      </c>
      <c r="B164" s="1860" t="s">
        <v>16</v>
      </c>
      <c r="C164" s="1860" t="s">
        <v>3134</v>
      </c>
      <c r="D164" s="1860" t="s">
        <v>3135</v>
      </c>
      <c r="E164" s="1860" t="s">
        <v>3136</v>
      </c>
      <c r="F164" s="1860" t="s">
        <v>2577</v>
      </c>
      <c r="G164" s="1860" t="s">
        <v>3137</v>
      </c>
      <c r="H164" s="1860" t="s">
        <v>22</v>
      </c>
      <c r="I164" s="1860" t="s">
        <v>832</v>
      </c>
    </row>
    <row customHeight="1" ht="11.25">
      <c r="A165" s="1860" t="s">
        <v>2528</v>
      </c>
      <c r="B165" s="1860" t="s">
        <v>16</v>
      </c>
      <c r="C165" s="1860" t="s">
        <v>3138</v>
      </c>
      <c r="D165" s="1860" t="s">
        <v>3139</v>
      </c>
      <c r="E165" s="1860" t="s">
        <v>3140</v>
      </c>
      <c r="F165" s="1860" t="s">
        <v>2540</v>
      </c>
      <c r="G165" s="1860" t="s">
        <v>3141</v>
      </c>
      <c r="H165" s="1860" t="s">
        <v>22</v>
      </c>
      <c r="I165" s="1860" t="s">
        <v>832</v>
      </c>
    </row>
    <row customHeight="1" ht="11.25">
      <c r="A166" s="1860" t="s">
        <v>2528</v>
      </c>
      <c r="B166" s="1860" t="s">
        <v>16</v>
      </c>
      <c r="C166" s="1860" t="s">
        <v>3142</v>
      </c>
      <c r="D166" s="1860" t="s">
        <v>3143</v>
      </c>
      <c r="E166" s="1860" t="s">
        <v>3144</v>
      </c>
      <c r="F166" s="1860" t="s">
        <v>2540</v>
      </c>
      <c r="G166" s="1860" t="s">
        <v>22</v>
      </c>
      <c r="H166" s="1860" t="s">
        <v>22</v>
      </c>
      <c r="I166" s="1860" t="s">
        <v>832</v>
      </c>
    </row>
    <row customHeight="1" ht="11.25">
      <c r="A167" s="1860" t="s">
        <v>2528</v>
      </c>
      <c r="B167" s="1860" t="s">
        <v>16</v>
      </c>
      <c r="C167" s="1860" t="s">
        <v>3145</v>
      </c>
      <c r="D167" s="1860" t="s">
        <v>3146</v>
      </c>
      <c r="E167" s="1860" t="s">
        <v>3147</v>
      </c>
      <c r="F167" s="1860" t="s">
        <v>2949</v>
      </c>
      <c r="G167" s="1860" t="s">
        <v>3148</v>
      </c>
      <c r="H167" s="1860" t="s">
        <v>22</v>
      </c>
      <c r="I167" s="1860" t="s">
        <v>832</v>
      </c>
    </row>
    <row customHeight="1" ht="11.25">
      <c r="A168" s="1860" t="s">
        <v>2528</v>
      </c>
      <c r="B168" s="1860" t="s">
        <v>16</v>
      </c>
      <c r="C168" s="1860" t="s">
        <v>3149</v>
      </c>
      <c r="D168" s="1860" t="s">
        <v>3150</v>
      </c>
      <c r="E168" s="1860" t="s">
        <v>3151</v>
      </c>
      <c r="F168" s="1860" t="s">
        <v>2896</v>
      </c>
      <c r="G168" s="1860" t="s">
        <v>3152</v>
      </c>
      <c r="H168" s="1860" t="s">
        <v>22</v>
      </c>
      <c r="I168" s="1860" t="s">
        <v>832</v>
      </c>
    </row>
    <row customHeight="1" ht="11.25">
      <c r="A169" s="1860" t="s">
        <v>2528</v>
      </c>
      <c r="B169" s="1860" t="s">
        <v>16</v>
      </c>
      <c r="C169" s="1860" t="s">
        <v>3153</v>
      </c>
      <c r="D169" s="1860" t="s">
        <v>3154</v>
      </c>
      <c r="E169" s="1860" t="s">
        <v>3155</v>
      </c>
      <c r="F169" s="1860" t="s">
        <v>2540</v>
      </c>
      <c r="G169" s="1860" t="s">
        <v>3156</v>
      </c>
      <c r="H169" s="1860" t="s">
        <v>22</v>
      </c>
      <c r="I169" s="1860" t="s">
        <v>832</v>
      </c>
    </row>
    <row customHeight="1" ht="11.25">
      <c r="A170" s="1860" t="s">
        <v>2528</v>
      </c>
      <c r="B170" s="1860" t="s">
        <v>16</v>
      </c>
      <c r="C170" s="1860" t="s">
        <v>3157</v>
      </c>
      <c r="D170" s="1860" t="s">
        <v>3158</v>
      </c>
      <c r="E170" s="1860" t="s">
        <v>3159</v>
      </c>
      <c r="F170" s="1860" t="s">
        <v>2540</v>
      </c>
      <c r="G170" s="1860" t="s">
        <v>3160</v>
      </c>
      <c r="H170" s="1860" t="s">
        <v>22</v>
      </c>
      <c r="I170" s="1860" t="s">
        <v>832</v>
      </c>
    </row>
    <row customHeight="1" ht="11.25">
      <c r="A171" s="1860" t="s">
        <v>2528</v>
      </c>
      <c r="B171" s="1860" t="s">
        <v>16</v>
      </c>
      <c r="C171" s="1860" t="s">
        <v>3161</v>
      </c>
      <c r="D171" s="1860" t="s">
        <v>3162</v>
      </c>
      <c r="E171" s="1860" t="s">
        <v>3163</v>
      </c>
      <c r="F171" s="1860" t="s">
        <v>2577</v>
      </c>
      <c r="G171" s="1860" t="s">
        <v>3164</v>
      </c>
      <c r="H171" s="1860" t="s">
        <v>22</v>
      </c>
      <c r="I171" s="1860" t="s">
        <v>832</v>
      </c>
    </row>
    <row customHeight="1" ht="11.25">
      <c r="A172" s="1860" t="s">
        <v>2528</v>
      </c>
      <c r="B172" s="1860" t="s">
        <v>16</v>
      </c>
      <c r="C172" s="1860" t="s">
        <v>3165</v>
      </c>
      <c r="D172" s="1860" t="s">
        <v>3166</v>
      </c>
      <c r="E172" s="1860" t="s">
        <v>3167</v>
      </c>
      <c r="F172" s="1860" t="s">
        <v>2936</v>
      </c>
      <c r="G172" s="1860" t="s">
        <v>3168</v>
      </c>
      <c r="H172" s="1860" t="s">
        <v>22</v>
      </c>
      <c r="I172" s="1860" t="s">
        <v>832</v>
      </c>
    </row>
    <row customHeight="1" ht="11.25">
      <c r="A173" s="1860" t="s">
        <v>2528</v>
      </c>
      <c r="B173" s="1860" t="s">
        <v>16</v>
      </c>
      <c r="C173" s="1860" t="s">
        <v>3169</v>
      </c>
      <c r="D173" s="1860" t="s">
        <v>3170</v>
      </c>
      <c r="E173" s="1860" t="s">
        <v>3171</v>
      </c>
      <c r="F173" s="1860" t="s">
        <v>2905</v>
      </c>
      <c r="G173" s="1860" t="s">
        <v>3172</v>
      </c>
      <c r="H173" s="1860" t="s">
        <v>22</v>
      </c>
      <c r="I173" s="1860" t="s">
        <v>832</v>
      </c>
    </row>
    <row customHeight="1" ht="11.25">
      <c r="A174" s="1860" t="s">
        <v>2528</v>
      </c>
      <c r="B174" s="1860" t="s">
        <v>16</v>
      </c>
      <c r="C174" s="1860" t="s">
        <v>3173</v>
      </c>
      <c r="D174" s="1860" t="s">
        <v>3174</v>
      </c>
      <c r="E174" s="1860" t="s">
        <v>3175</v>
      </c>
      <c r="F174" s="1860" t="s">
        <v>2905</v>
      </c>
      <c r="G174" s="1860" t="s">
        <v>3176</v>
      </c>
      <c r="H174" s="1860" t="s">
        <v>22</v>
      </c>
      <c r="I174" s="1860" t="s">
        <v>832</v>
      </c>
    </row>
    <row customHeight="1" ht="11.25">
      <c r="A175" s="1860" t="s">
        <v>2528</v>
      </c>
      <c r="B175" s="1860" t="s">
        <v>16</v>
      </c>
      <c r="C175" s="1860" t="s">
        <v>3177</v>
      </c>
      <c r="D175" s="1860" t="s">
        <v>3178</v>
      </c>
      <c r="E175" s="1860" t="s">
        <v>3179</v>
      </c>
      <c r="F175" s="1860" t="s">
        <v>2540</v>
      </c>
      <c r="G175" s="1860" t="s">
        <v>3180</v>
      </c>
      <c r="H175" s="1860" t="s">
        <v>22</v>
      </c>
      <c r="I175" s="1860" t="s">
        <v>832</v>
      </c>
    </row>
    <row customHeight="1" ht="11.25">
      <c r="A176" s="1860" t="s">
        <v>2528</v>
      </c>
      <c r="B176" s="1860" t="s">
        <v>16</v>
      </c>
      <c r="C176" s="1860" t="s">
        <v>3181</v>
      </c>
      <c r="D176" s="1860" t="s">
        <v>3182</v>
      </c>
      <c r="E176" s="1860" t="s">
        <v>3183</v>
      </c>
      <c r="F176" s="1860" t="s">
        <v>2896</v>
      </c>
      <c r="G176" s="1860" t="s">
        <v>22</v>
      </c>
      <c r="H176" s="1860" t="s">
        <v>22</v>
      </c>
      <c r="I176" s="1860" t="s">
        <v>832</v>
      </c>
    </row>
    <row customHeight="1" ht="11.25">
      <c r="A177" s="1860" t="s">
        <v>2528</v>
      </c>
      <c r="B177" s="1860" t="s">
        <v>16</v>
      </c>
      <c r="C177" s="1860" t="s">
        <v>3184</v>
      </c>
      <c r="D177" s="1860" t="s">
        <v>3185</v>
      </c>
      <c r="E177" s="1860" t="s">
        <v>3186</v>
      </c>
      <c r="F177" s="1860" t="s">
        <v>2905</v>
      </c>
      <c r="G177" s="1860" t="s">
        <v>3187</v>
      </c>
      <c r="H177" s="1860" t="s">
        <v>22</v>
      </c>
      <c r="I177" s="1860" t="s">
        <v>832</v>
      </c>
    </row>
    <row customHeight="1" ht="11.25">
      <c r="A178" s="1860" t="s">
        <v>2528</v>
      </c>
      <c r="B178" s="1860" t="s">
        <v>16</v>
      </c>
      <c r="C178" s="1860" t="s">
        <v>3188</v>
      </c>
      <c r="D178" s="1860" t="s">
        <v>3189</v>
      </c>
      <c r="E178" s="1860" t="s">
        <v>3190</v>
      </c>
      <c r="F178" s="1860" t="s">
        <v>2540</v>
      </c>
      <c r="G178" s="1860" t="s">
        <v>3191</v>
      </c>
      <c r="H178" s="1860" t="s">
        <v>22</v>
      </c>
      <c r="I178" s="1860" t="s">
        <v>832</v>
      </c>
    </row>
    <row customHeight="1" ht="11.25">
      <c r="A179" s="1860" t="s">
        <v>2528</v>
      </c>
      <c r="B179" s="1860" t="s">
        <v>16</v>
      </c>
      <c r="C179" s="1860" t="s">
        <v>3192</v>
      </c>
      <c r="D179" s="1860" t="s">
        <v>3193</v>
      </c>
      <c r="E179" s="1860" t="s">
        <v>3194</v>
      </c>
      <c r="F179" s="1860" t="s">
        <v>2891</v>
      </c>
      <c r="G179" s="1860" t="s">
        <v>3195</v>
      </c>
      <c r="H179" s="1860" t="s">
        <v>22</v>
      </c>
      <c r="I179" s="1860" t="s">
        <v>832</v>
      </c>
    </row>
    <row customHeight="1" ht="11.25">
      <c r="A180" s="1860" t="s">
        <v>2528</v>
      </c>
      <c r="B180" s="1860" t="s">
        <v>16</v>
      </c>
      <c r="C180" s="1860" t="s">
        <v>3196</v>
      </c>
      <c r="D180" s="1860" t="s">
        <v>3197</v>
      </c>
      <c r="E180" s="1860" t="s">
        <v>3198</v>
      </c>
      <c r="F180" s="1860" t="s">
        <v>2949</v>
      </c>
      <c r="G180" s="1860" t="s">
        <v>3199</v>
      </c>
      <c r="H180" s="1860" t="s">
        <v>22</v>
      </c>
      <c r="I180" s="1860" t="s">
        <v>832</v>
      </c>
    </row>
    <row customHeight="1" ht="11.25">
      <c r="A181" s="1860" t="s">
        <v>2528</v>
      </c>
      <c r="B181" s="1860" t="s">
        <v>16</v>
      </c>
      <c r="C181" s="1860" t="s">
        <v>3200</v>
      </c>
      <c r="D181" s="1860" t="s">
        <v>3201</v>
      </c>
      <c r="E181" s="1860" t="s">
        <v>3202</v>
      </c>
      <c r="F181" s="1860" t="s">
        <v>2896</v>
      </c>
      <c r="G181" s="1860" t="s">
        <v>2820</v>
      </c>
      <c r="H181" s="1860" t="s">
        <v>22</v>
      </c>
      <c r="I181" s="1860" t="s">
        <v>832</v>
      </c>
    </row>
    <row customHeight="1" ht="11.25">
      <c r="A182" s="1860" t="s">
        <v>2528</v>
      </c>
      <c r="B182" s="1860" t="s">
        <v>16</v>
      </c>
      <c r="C182" s="1860" t="s">
        <v>3203</v>
      </c>
      <c r="D182" s="1860" t="s">
        <v>3204</v>
      </c>
      <c r="E182" s="1860" t="s">
        <v>3205</v>
      </c>
      <c r="F182" s="1860" t="s">
        <v>2635</v>
      </c>
      <c r="G182" s="1860" t="s">
        <v>3206</v>
      </c>
      <c r="H182" s="1860" t="s">
        <v>22</v>
      </c>
      <c r="I182" s="1860" t="s">
        <v>832</v>
      </c>
    </row>
    <row customHeight="1" ht="11.25">
      <c r="A183" s="1860" t="s">
        <v>2528</v>
      </c>
      <c r="B183" s="1860" t="s">
        <v>16</v>
      </c>
      <c r="C183" s="1860" t="s">
        <v>3207</v>
      </c>
      <c r="D183" s="1860" t="s">
        <v>3208</v>
      </c>
      <c r="E183" s="1860" t="s">
        <v>3209</v>
      </c>
      <c r="F183" s="1860" t="s">
        <v>2886</v>
      </c>
      <c r="G183" s="1860" t="s">
        <v>3210</v>
      </c>
      <c r="H183" s="1860" t="s">
        <v>22</v>
      </c>
      <c r="I183" s="1860" t="s">
        <v>832</v>
      </c>
    </row>
    <row customHeight="1" ht="11.25">
      <c r="A184" s="1860" t="s">
        <v>2528</v>
      </c>
      <c r="B184" s="1860" t="s">
        <v>16</v>
      </c>
      <c r="C184" s="1860" t="s">
        <v>3211</v>
      </c>
      <c r="D184" s="1860" t="s">
        <v>3212</v>
      </c>
      <c r="E184" s="1860" t="s">
        <v>3213</v>
      </c>
      <c r="F184" s="1860" t="s">
        <v>2540</v>
      </c>
      <c r="G184" s="1860" t="s">
        <v>3214</v>
      </c>
      <c r="H184" s="1860" t="s">
        <v>22</v>
      </c>
      <c r="I184" s="1860" t="s">
        <v>832</v>
      </c>
    </row>
    <row customHeight="1" ht="11.25">
      <c r="A185" s="1860" t="s">
        <v>2528</v>
      </c>
      <c r="B185" s="1860" t="s">
        <v>16</v>
      </c>
      <c r="C185" s="1860" t="s">
        <v>3215</v>
      </c>
      <c r="D185" s="1860" t="s">
        <v>3216</v>
      </c>
      <c r="E185" s="1860" t="s">
        <v>3217</v>
      </c>
      <c r="F185" s="1860" t="s">
        <v>2540</v>
      </c>
      <c r="G185" s="1860" t="s">
        <v>3218</v>
      </c>
      <c r="H185" s="1860" t="s">
        <v>22</v>
      </c>
      <c r="I185" s="1860" t="s">
        <v>832</v>
      </c>
    </row>
    <row customHeight="1" ht="11.25">
      <c r="A186" s="1860" t="s">
        <v>2528</v>
      </c>
      <c r="B186" s="1860" t="s">
        <v>16</v>
      </c>
      <c r="C186" s="1860" t="s">
        <v>3219</v>
      </c>
      <c r="D186" s="1860" t="s">
        <v>3220</v>
      </c>
      <c r="E186" s="1860" t="s">
        <v>3221</v>
      </c>
      <c r="F186" s="1860" t="s">
        <v>2905</v>
      </c>
      <c r="G186" s="1860" t="s">
        <v>3222</v>
      </c>
      <c r="H186" s="1860" t="s">
        <v>22</v>
      </c>
      <c r="I186" s="1860" t="s">
        <v>832</v>
      </c>
    </row>
    <row customHeight="1" ht="11.25">
      <c r="A187" s="1860" t="s">
        <v>2528</v>
      </c>
      <c r="B187" s="1860" t="s">
        <v>16</v>
      </c>
      <c r="C187" s="1860" t="s">
        <v>3223</v>
      </c>
      <c r="D187" s="1860" t="s">
        <v>3224</v>
      </c>
      <c r="E187" s="1860" t="s">
        <v>3225</v>
      </c>
      <c r="F187" s="1860" t="s">
        <v>2896</v>
      </c>
      <c r="G187" s="1860" t="s">
        <v>3226</v>
      </c>
      <c r="H187" s="1860" t="s">
        <v>22</v>
      </c>
      <c r="I187" s="1860" t="s">
        <v>832</v>
      </c>
    </row>
    <row customHeight="1" ht="11.25">
      <c r="A188" s="1860" t="s">
        <v>2528</v>
      </c>
      <c r="B188" s="1860" t="s">
        <v>16</v>
      </c>
      <c r="C188" s="1860" t="s">
        <v>3227</v>
      </c>
      <c r="D188" s="1860" t="s">
        <v>3228</v>
      </c>
      <c r="E188" s="1860" t="s">
        <v>3229</v>
      </c>
      <c r="F188" s="1860" t="s">
        <v>2886</v>
      </c>
      <c r="G188" s="1860" t="s">
        <v>22</v>
      </c>
      <c r="H188" s="1860" t="s">
        <v>22</v>
      </c>
      <c r="I188" s="1860" t="s">
        <v>832</v>
      </c>
    </row>
    <row customHeight="1" ht="11.25">
      <c r="A189" s="1860" t="s">
        <v>2528</v>
      </c>
      <c r="B189" s="1860" t="s">
        <v>16</v>
      </c>
      <c r="C189" s="1860" t="s">
        <v>3230</v>
      </c>
      <c r="D189" s="1860" t="s">
        <v>3231</v>
      </c>
      <c r="E189" s="1860" t="s">
        <v>3232</v>
      </c>
      <c r="F189" s="1860" t="s">
        <v>2896</v>
      </c>
      <c r="G189" s="1860" t="s">
        <v>3233</v>
      </c>
      <c r="H189" s="1860" t="s">
        <v>22</v>
      </c>
      <c r="I189" s="1860" t="s">
        <v>832</v>
      </c>
    </row>
    <row customHeight="1" ht="11.25">
      <c r="A190" s="1860" t="s">
        <v>2528</v>
      </c>
      <c r="B190" s="1860" t="s">
        <v>16</v>
      </c>
      <c r="C190" s="1860" t="s">
        <v>3234</v>
      </c>
      <c r="D190" s="1860" t="s">
        <v>3235</v>
      </c>
      <c r="E190" s="1860" t="s">
        <v>3236</v>
      </c>
      <c r="F190" s="1860" t="s">
        <v>3237</v>
      </c>
      <c r="G190" s="1860" t="s">
        <v>3238</v>
      </c>
      <c r="H190" s="1860" t="s">
        <v>22</v>
      </c>
      <c r="I190" s="1860" t="s">
        <v>832</v>
      </c>
    </row>
    <row customHeight="1" ht="11.25">
      <c r="A191" s="1860" t="s">
        <v>2528</v>
      </c>
      <c r="B191" s="1860" t="s">
        <v>16</v>
      </c>
      <c r="C191" s="1860" t="s">
        <v>3239</v>
      </c>
      <c r="D191" s="1860" t="s">
        <v>3240</v>
      </c>
      <c r="E191" s="1860" t="s">
        <v>3241</v>
      </c>
      <c r="F191" s="1860" t="s">
        <v>2905</v>
      </c>
      <c r="G191" s="1860" t="s">
        <v>3242</v>
      </c>
      <c r="H191" s="1860" t="s">
        <v>22</v>
      </c>
      <c r="I191" s="1860" t="s">
        <v>832</v>
      </c>
    </row>
    <row customHeight="1" ht="11.25">
      <c r="A192" s="1860" t="s">
        <v>2528</v>
      </c>
      <c r="B192" s="1860" t="s">
        <v>16</v>
      </c>
      <c r="C192" s="1860" t="s">
        <v>3243</v>
      </c>
      <c r="D192" s="1860" t="s">
        <v>3244</v>
      </c>
      <c r="E192" s="1860" t="s">
        <v>3245</v>
      </c>
      <c r="F192" s="1860" t="s">
        <v>2891</v>
      </c>
      <c r="G192" s="1860" t="s">
        <v>3246</v>
      </c>
      <c r="H192" s="1860" t="s">
        <v>22</v>
      </c>
      <c r="I192" s="1860" t="s">
        <v>832</v>
      </c>
    </row>
    <row customHeight="1" ht="11.25">
      <c r="A193" s="1860" t="s">
        <v>2528</v>
      </c>
      <c r="B193" s="1860" t="s">
        <v>16</v>
      </c>
      <c r="C193" s="1860" t="s">
        <v>3247</v>
      </c>
      <c r="D193" s="1860" t="s">
        <v>3248</v>
      </c>
      <c r="E193" s="1860" t="s">
        <v>3249</v>
      </c>
      <c r="F193" s="1860" t="s">
        <v>3250</v>
      </c>
      <c r="G193" s="1860" t="s">
        <v>3251</v>
      </c>
      <c r="H193" s="1860" t="s">
        <v>22</v>
      </c>
      <c r="I193" s="1860" t="s">
        <v>832</v>
      </c>
    </row>
    <row customHeight="1" ht="11.25">
      <c r="A194" s="1860" t="s">
        <v>2528</v>
      </c>
      <c r="B194" s="1860" t="s">
        <v>16</v>
      </c>
      <c r="C194" s="1860" t="s">
        <v>3252</v>
      </c>
      <c r="D194" s="1860" t="s">
        <v>3253</v>
      </c>
      <c r="E194" s="1860" t="s">
        <v>3254</v>
      </c>
      <c r="F194" s="1860" t="s">
        <v>2949</v>
      </c>
      <c r="G194" s="1860" t="s">
        <v>3255</v>
      </c>
      <c r="H194" s="1860" t="s">
        <v>22</v>
      </c>
      <c r="I194" s="1860" t="s">
        <v>832</v>
      </c>
    </row>
    <row customHeight="1" ht="11.25">
      <c r="A195" s="1860" t="s">
        <v>2528</v>
      </c>
      <c r="B195" s="1860" t="s">
        <v>16</v>
      </c>
      <c r="C195" s="1860" t="s">
        <v>3256</v>
      </c>
      <c r="D195" s="1860" t="s">
        <v>3257</v>
      </c>
      <c r="E195" s="1860" t="s">
        <v>3258</v>
      </c>
      <c r="F195" s="1860" t="s">
        <v>2896</v>
      </c>
      <c r="G195" s="1860" t="s">
        <v>3259</v>
      </c>
      <c r="H195" s="1860" t="s">
        <v>22</v>
      </c>
      <c r="I195" s="1860" t="s">
        <v>832</v>
      </c>
    </row>
    <row customHeight="1" ht="11.25">
      <c r="A196" s="1860" t="s">
        <v>2528</v>
      </c>
      <c r="B196" s="1860" t="s">
        <v>16</v>
      </c>
      <c r="C196" s="1860" t="s">
        <v>3260</v>
      </c>
      <c r="D196" s="1860" t="s">
        <v>3261</v>
      </c>
      <c r="E196" s="1860" t="s">
        <v>3262</v>
      </c>
      <c r="F196" s="1860" t="s">
        <v>2886</v>
      </c>
      <c r="G196" s="1860" t="s">
        <v>3263</v>
      </c>
      <c r="H196" s="1860" t="s">
        <v>22</v>
      </c>
      <c r="I196" s="1860" t="s">
        <v>832</v>
      </c>
    </row>
    <row customHeight="1" ht="11.25">
      <c r="A197" s="1860" t="s">
        <v>2528</v>
      </c>
      <c r="B197" s="1860" t="s">
        <v>16</v>
      </c>
      <c r="C197" s="1860" t="s">
        <v>3264</v>
      </c>
      <c r="D197" s="1860" t="s">
        <v>3265</v>
      </c>
      <c r="E197" s="1860" t="s">
        <v>3266</v>
      </c>
      <c r="F197" s="1860" t="s">
        <v>2540</v>
      </c>
      <c r="G197" s="1860" t="s">
        <v>3267</v>
      </c>
      <c r="H197" s="1860" t="s">
        <v>22</v>
      </c>
      <c r="I197" s="1860" t="s">
        <v>832</v>
      </c>
    </row>
    <row customHeight="1" ht="11.25">
      <c r="A198" s="1860" t="s">
        <v>2528</v>
      </c>
      <c r="B198" s="1860" t="s">
        <v>16</v>
      </c>
      <c r="C198" s="1860" t="s">
        <v>3268</v>
      </c>
      <c r="D198" s="1860" t="s">
        <v>3269</v>
      </c>
      <c r="E198" s="1860" t="s">
        <v>3270</v>
      </c>
      <c r="F198" s="1860" t="s">
        <v>2905</v>
      </c>
      <c r="G198" s="1860" t="s">
        <v>3271</v>
      </c>
      <c r="H198" s="1860" t="s">
        <v>22</v>
      </c>
      <c r="I198" s="1860" t="s">
        <v>832</v>
      </c>
    </row>
    <row customHeight="1" ht="11.25">
      <c r="A199" s="1860" t="s">
        <v>2528</v>
      </c>
      <c r="B199" s="1860" t="s">
        <v>16</v>
      </c>
      <c r="C199" s="1860" t="s">
        <v>3272</v>
      </c>
      <c r="D199" s="1860" t="s">
        <v>3273</v>
      </c>
      <c r="E199" s="1860" t="s">
        <v>3274</v>
      </c>
      <c r="F199" s="1860" t="s">
        <v>2540</v>
      </c>
      <c r="G199" s="1860" t="s">
        <v>3275</v>
      </c>
      <c r="H199" s="1860" t="s">
        <v>22</v>
      </c>
      <c r="I199" s="1860" t="s">
        <v>832</v>
      </c>
    </row>
    <row customHeight="1" ht="11.25">
      <c r="A200" s="1860" t="s">
        <v>2528</v>
      </c>
      <c r="B200" s="1860" t="s">
        <v>16</v>
      </c>
      <c r="C200" s="1860" t="s">
        <v>3276</v>
      </c>
      <c r="D200" s="1860" t="s">
        <v>3277</v>
      </c>
      <c r="E200" s="1860" t="s">
        <v>3278</v>
      </c>
      <c r="F200" s="1860" t="s">
        <v>2540</v>
      </c>
      <c r="G200" s="1860" t="s">
        <v>3279</v>
      </c>
      <c r="H200" s="1860" t="s">
        <v>22</v>
      </c>
      <c r="I200" s="1860" t="s">
        <v>832</v>
      </c>
    </row>
    <row customHeight="1" ht="11.25">
      <c r="A201" s="1860" t="s">
        <v>2528</v>
      </c>
      <c r="B201" s="1860" t="s">
        <v>16</v>
      </c>
      <c r="C201" s="1860" t="s">
        <v>3280</v>
      </c>
      <c r="D201" s="1860" t="s">
        <v>3281</v>
      </c>
      <c r="E201" s="1860" t="s">
        <v>3282</v>
      </c>
      <c r="F201" s="1860" t="s">
        <v>3071</v>
      </c>
      <c r="G201" s="1860" t="s">
        <v>3283</v>
      </c>
      <c r="H201" s="1860" t="s">
        <v>22</v>
      </c>
      <c r="I201" s="1860" t="s">
        <v>832</v>
      </c>
    </row>
    <row customHeight="1" ht="11.25">
      <c r="A202" s="1860" t="s">
        <v>2528</v>
      </c>
      <c r="B202" s="1860" t="s">
        <v>16</v>
      </c>
      <c r="C202" s="1860" t="s">
        <v>3284</v>
      </c>
      <c r="D202" s="1860" t="s">
        <v>3285</v>
      </c>
      <c r="E202" s="1860" t="s">
        <v>3286</v>
      </c>
      <c r="F202" s="1860" t="s">
        <v>2540</v>
      </c>
      <c r="G202" s="1860" t="s">
        <v>3287</v>
      </c>
      <c r="H202" s="1860" t="s">
        <v>22</v>
      </c>
      <c r="I202" s="1860" t="s">
        <v>832</v>
      </c>
    </row>
    <row customHeight="1" ht="11.25">
      <c r="A203" s="1860" t="s">
        <v>2528</v>
      </c>
      <c r="B203" s="1860" t="s">
        <v>16</v>
      </c>
      <c r="C203" s="1860" t="s">
        <v>3288</v>
      </c>
      <c r="D203" s="1860" t="s">
        <v>3289</v>
      </c>
      <c r="E203" s="1860" t="s">
        <v>3290</v>
      </c>
      <c r="F203" s="1860" t="s">
        <v>2905</v>
      </c>
      <c r="G203" s="1860" t="s">
        <v>3291</v>
      </c>
      <c r="H203" s="1860" t="s">
        <v>22</v>
      </c>
      <c r="I203" s="1860" t="s">
        <v>832</v>
      </c>
    </row>
    <row customHeight="1" ht="11.25">
      <c r="A204" s="1860" t="s">
        <v>2528</v>
      </c>
      <c r="B204" s="1860" t="s">
        <v>16</v>
      </c>
      <c r="C204" s="1860" t="s">
        <v>3292</v>
      </c>
      <c r="D204" s="1860" t="s">
        <v>3293</v>
      </c>
      <c r="E204" s="1860" t="s">
        <v>3294</v>
      </c>
      <c r="F204" s="1860" t="s">
        <v>2540</v>
      </c>
      <c r="G204" s="1860" t="s">
        <v>3295</v>
      </c>
      <c r="H204" s="1860" t="s">
        <v>22</v>
      </c>
      <c r="I204" s="1860" t="s">
        <v>832</v>
      </c>
    </row>
    <row customHeight="1" ht="11.25">
      <c r="A205" s="1860" t="s">
        <v>2528</v>
      </c>
      <c r="B205" s="1860" t="s">
        <v>16</v>
      </c>
      <c r="C205" s="1860" t="s">
        <v>3296</v>
      </c>
      <c r="D205" s="1860" t="s">
        <v>3297</v>
      </c>
      <c r="E205" s="1860" t="s">
        <v>3298</v>
      </c>
      <c r="F205" s="1860" t="s">
        <v>2540</v>
      </c>
      <c r="G205" s="1860" t="s">
        <v>3299</v>
      </c>
      <c r="H205" s="1860" t="s">
        <v>22</v>
      </c>
      <c r="I205" s="1860" t="s">
        <v>832</v>
      </c>
    </row>
    <row customHeight="1" ht="11.25">
      <c r="A206" s="1860" t="s">
        <v>2528</v>
      </c>
      <c r="B206" s="1860" t="s">
        <v>16</v>
      </c>
      <c r="C206" s="1860" t="s">
        <v>3300</v>
      </c>
      <c r="D206" s="1860" t="s">
        <v>3301</v>
      </c>
      <c r="E206" s="1860" t="s">
        <v>3302</v>
      </c>
      <c r="F206" s="1860" t="s">
        <v>2540</v>
      </c>
      <c r="G206" s="1860" t="s">
        <v>3303</v>
      </c>
      <c r="H206" s="1860" t="s">
        <v>22</v>
      </c>
      <c r="I206" s="1860" t="s">
        <v>832</v>
      </c>
    </row>
    <row customHeight="1" ht="11.25">
      <c r="A207" s="1860" t="s">
        <v>2528</v>
      </c>
      <c r="B207" s="1860" t="s">
        <v>16</v>
      </c>
      <c r="C207" s="1860" t="s">
        <v>3304</v>
      </c>
      <c r="D207" s="1860" t="s">
        <v>3305</v>
      </c>
      <c r="E207" s="1860" t="s">
        <v>3306</v>
      </c>
      <c r="F207" s="1860" t="s">
        <v>2540</v>
      </c>
      <c r="G207" s="1860" t="s">
        <v>3307</v>
      </c>
      <c r="H207" s="1860" t="s">
        <v>22</v>
      </c>
      <c r="I207" s="1860" t="s">
        <v>832</v>
      </c>
    </row>
    <row customHeight="1" ht="11.25">
      <c r="A208" s="1860" t="s">
        <v>2528</v>
      </c>
      <c r="B208" s="1860" t="s">
        <v>16</v>
      </c>
      <c r="C208" s="1860" t="s">
        <v>3308</v>
      </c>
      <c r="D208" s="1860" t="s">
        <v>3309</v>
      </c>
      <c r="E208" s="1860" t="s">
        <v>3310</v>
      </c>
      <c r="F208" s="1860" t="s">
        <v>2540</v>
      </c>
      <c r="G208" s="1860" t="s">
        <v>3311</v>
      </c>
      <c r="H208" s="1860" t="s">
        <v>22</v>
      </c>
      <c r="I208" s="1860" t="s">
        <v>832</v>
      </c>
    </row>
    <row customHeight="1" ht="11.25">
      <c r="A209" s="1860" t="s">
        <v>2528</v>
      </c>
      <c r="B209" s="1860" t="s">
        <v>16</v>
      </c>
      <c r="C209" s="1860" t="s">
        <v>3312</v>
      </c>
      <c r="D209" s="1860" t="s">
        <v>3313</v>
      </c>
      <c r="E209" s="1860" t="s">
        <v>3314</v>
      </c>
      <c r="F209" s="1860" t="s">
        <v>2540</v>
      </c>
      <c r="G209" s="1860" t="s">
        <v>3315</v>
      </c>
      <c r="H209" s="1860" t="s">
        <v>22</v>
      </c>
      <c r="I209" s="1860" t="s">
        <v>832</v>
      </c>
    </row>
    <row customHeight="1" ht="11.25">
      <c r="A210" s="1860" t="s">
        <v>2528</v>
      </c>
      <c r="B210" s="1860" t="s">
        <v>16</v>
      </c>
      <c r="C210" s="1860" t="s">
        <v>3316</v>
      </c>
      <c r="D210" s="1860" t="s">
        <v>3317</v>
      </c>
      <c r="E210" s="1860" t="s">
        <v>3318</v>
      </c>
      <c r="F210" s="1860" t="s">
        <v>2540</v>
      </c>
      <c r="G210" s="1860" t="s">
        <v>3319</v>
      </c>
      <c r="H210" s="1860" t="s">
        <v>22</v>
      </c>
      <c r="I210" s="1860" t="s">
        <v>832</v>
      </c>
    </row>
    <row customHeight="1" ht="11.25">
      <c r="A211" s="1860" t="s">
        <v>2528</v>
      </c>
      <c r="B211" s="1860" t="s">
        <v>16</v>
      </c>
      <c r="C211" s="1860" t="s">
        <v>3320</v>
      </c>
      <c r="D211" s="1860" t="s">
        <v>3321</v>
      </c>
      <c r="E211" s="1860" t="s">
        <v>3322</v>
      </c>
      <c r="F211" s="1860" t="s">
        <v>2886</v>
      </c>
      <c r="G211" s="1860" t="s">
        <v>3323</v>
      </c>
      <c r="H211" s="1860" t="s">
        <v>22</v>
      </c>
      <c r="I211" s="1860" t="s">
        <v>832</v>
      </c>
    </row>
    <row customHeight="1" ht="11.25">
      <c r="A212" s="1860" t="s">
        <v>2528</v>
      </c>
      <c r="B212" s="1860" t="s">
        <v>16</v>
      </c>
      <c r="C212" s="1860" t="s">
        <v>3324</v>
      </c>
      <c r="D212" s="1860" t="s">
        <v>3325</v>
      </c>
      <c r="E212" s="1860" t="s">
        <v>3326</v>
      </c>
      <c r="F212" s="1860" t="s">
        <v>3327</v>
      </c>
      <c r="G212" s="1860" t="s">
        <v>3328</v>
      </c>
      <c r="H212" s="1860" t="s">
        <v>22</v>
      </c>
      <c r="I212" s="1860" t="s">
        <v>832</v>
      </c>
    </row>
    <row customHeight="1" ht="11.25">
      <c r="A213" s="1860" t="s">
        <v>2528</v>
      </c>
      <c r="B213" s="1860" t="s">
        <v>16</v>
      </c>
      <c r="C213" s="1860" t="s">
        <v>3329</v>
      </c>
      <c r="D213" s="1860" t="s">
        <v>3330</v>
      </c>
      <c r="E213" s="1860" t="s">
        <v>3331</v>
      </c>
      <c r="F213" s="1860" t="s">
        <v>2540</v>
      </c>
      <c r="G213" s="1860" t="s">
        <v>3332</v>
      </c>
      <c r="H213" s="1860" t="s">
        <v>22</v>
      </c>
      <c r="I213" s="1860" t="s">
        <v>832</v>
      </c>
    </row>
    <row customHeight="1" ht="11.25">
      <c r="A214" s="1860" t="s">
        <v>2528</v>
      </c>
      <c r="B214" s="1860" t="s">
        <v>16</v>
      </c>
      <c r="C214" s="1860" t="s">
        <v>3333</v>
      </c>
      <c r="D214" s="1860" t="s">
        <v>3334</v>
      </c>
      <c r="E214" s="1860" t="s">
        <v>3335</v>
      </c>
      <c r="F214" s="1860" t="s">
        <v>2577</v>
      </c>
      <c r="G214" s="1860" t="s">
        <v>3336</v>
      </c>
      <c r="H214" s="1860" t="s">
        <v>22</v>
      </c>
      <c r="I214" s="1860" t="s">
        <v>832</v>
      </c>
    </row>
    <row customHeight="1" ht="11.25">
      <c r="A215" s="1860" t="s">
        <v>2528</v>
      </c>
      <c r="B215" s="1860" t="s">
        <v>16</v>
      </c>
      <c r="C215" s="1860" t="s">
        <v>3337</v>
      </c>
      <c r="D215" s="1860" t="s">
        <v>3338</v>
      </c>
      <c r="E215" s="1860" t="s">
        <v>3339</v>
      </c>
      <c r="F215" s="1860" t="s">
        <v>3340</v>
      </c>
      <c r="G215" s="1860" t="s">
        <v>22</v>
      </c>
      <c r="H215" s="1860" t="s">
        <v>22</v>
      </c>
      <c r="I215" s="1860" t="s">
        <v>832</v>
      </c>
    </row>
    <row customHeight="1" ht="11.25">
      <c r="A216" s="1860" t="s">
        <v>2528</v>
      </c>
      <c r="B216" s="1860" t="s">
        <v>16</v>
      </c>
      <c r="C216" s="1860" t="s">
        <v>3341</v>
      </c>
      <c r="D216" s="1860" t="s">
        <v>3342</v>
      </c>
      <c r="E216" s="1860" t="s">
        <v>3343</v>
      </c>
      <c r="F216" s="1860" t="s">
        <v>2540</v>
      </c>
      <c r="G216" s="1860" t="s">
        <v>3344</v>
      </c>
      <c r="H216" s="1860" t="s">
        <v>22</v>
      </c>
      <c r="I216" s="1860" t="s">
        <v>832</v>
      </c>
    </row>
    <row customHeight="1" ht="11.25">
      <c r="A217" s="1860" t="s">
        <v>2528</v>
      </c>
      <c r="B217" s="1860" t="s">
        <v>16</v>
      </c>
      <c r="C217" s="1860" t="s">
        <v>3345</v>
      </c>
      <c r="D217" s="1860" t="s">
        <v>3346</v>
      </c>
      <c r="E217" s="1860" t="s">
        <v>3347</v>
      </c>
      <c r="F217" s="1860" t="s">
        <v>2886</v>
      </c>
      <c r="G217" s="1860" t="s">
        <v>3348</v>
      </c>
      <c r="H217" s="1860" t="s">
        <v>22</v>
      </c>
      <c r="I217" s="1860" t="s">
        <v>832</v>
      </c>
    </row>
    <row customHeight="1" ht="11.25">
      <c r="A218" s="1860" t="s">
        <v>2528</v>
      </c>
      <c r="B218" s="1860" t="s">
        <v>16</v>
      </c>
      <c r="C218" s="1860" t="s">
        <v>3349</v>
      </c>
      <c r="D218" s="1860" t="s">
        <v>3350</v>
      </c>
      <c r="E218" s="1860" t="s">
        <v>3351</v>
      </c>
      <c r="F218" s="1860" t="s">
        <v>2995</v>
      </c>
      <c r="G218" s="1860" t="s">
        <v>3352</v>
      </c>
      <c r="H218" s="1860" t="s">
        <v>22</v>
      </c>
      <c r="I218" s="1860" t="s">
        <v>832</v>
      </c>
    </row>
    <row customHeight="1" ht="11.25">
      <c r="A219" s="1860" t="s">
        <v>2528</v>
      </c>
      <c r="B219" s="1860" t="s">
        <v>16</v>
      </c>
      <c r="C219" s="1860" t="s">
        <v>3353</v>
      </c>
      <c r="D219" s="1860" t="s">
        <v>3354</v>
      </c>
      <c r="E219" s="1860" t="s">
        <v>3355</v>
      </c>
      <c r="F219" s="1860" t="s">
        <v>3327</v>
      </c>
      <c r="G219" s="1860" t="s">
        <v>3356</v>
      </c>
      <c r="H219" s="1860" t="s">
        <v>22</v>
      </c>
      <c r="I219" s="1860" t="s">
        <v>832</v>
      </c>
    </row>
    <row customHeight="1" ht="11.25">
      <c r="A220" s="1860" t="s">
        <v>2528</v>
      </c>
      <c r="B220" s="1860" t="s">
        <v>16</v>
      </c>
      <c r="C220" s="1860" t="s">
        <v>3357</v>
      </c>
      <c r="D220" s="1860" t="s">
        <v>3358</v>
      </c>
      <c r="E220" s="1860" t="s">
        <v>3359</v>
      </c>
      <c r="F220" s="1860" t="s">
        <v>2540</v>
      </c>
      <c r="G220" s="1860" t="s">
        <v>3360</v>
      </c>
      <c r="H220" s="1860" t="s">
        <v>22</v>
      </c>
      <c r="I220" s="1860" t="s">
        <v>832</v>
      </c>
    </row>
    <row customHeight="1" ht="11.25">
      <c r="A221" s="1860" t="s">
        <v>2528</v>
      </c>
      <c r="B221" s="1860" t="s">
        <v>16</v>
      </c>
      <c r="C221" s="1860" t="s">
        <v>3361</v>
      </c>
      <c r="D221" s="1860" t="s">
        <v>3362</v>
      </c>
      <c r="E221" s="1860" t="s">
        <v>3363</v>
      </c>
      <c r="F221" s="1860" t="s">
        <v>2540</v>
      </c>
      <c r="G221" s="1860" t="s">
        <v>3364</v>
      </c>
      <c r="H221" s="1860" t="s">
        <v>22</v>
      </c>
      <c r="I221" s="1860" t="s">
        <v>832</v>
      </c>
    </row>
    <row customHeight="1" ht="11.25">
      <c r="A222" s="1860" t="s">
        <v>2528</v>
      </c>
      <c r="B222" s="1860" t="s">
        <v>16</v>
      </c>
      <c r="C222" s="1860" t="s">
        <v>3365</v>
      </c>
      <c r="D222" s="1860" t="s">
        <v>3366</v>
      </c>
      <c r="E222" s="1860" t="s">
        <v>3367</v>
      </c>
      <c r="F222" s="1860" t="s">
        <v>2644</v>
      </c>
      <c r="G222" s="1860" t="s">
        <v>3368</v>
      </c>
      <c r="H222" s="1860" t="s">
        <v>22</v>
      </c>
      <c r="I222" s="1860" t="s">
        <v>832</v>
      </c>
    </row>
    <row customHeight="1" ht="11.25">
      <c r="A223" s="1860" t="s">
        <v>2528</v>
      </c>
      <c r="B223" s="1860" t="s">
        <v>16</v>
      </c>
      <c r="C223" s="1860" t="s">
        <v>3369</v>
      </c>
      <c r="D223" s="1860" t="s">
        <v>3370</v>
      </c>
      <c r="E223" s="1860" t="s">
        <v>3371</v>
      </c>
      <c r="F223" s="1860" t="s">
        <v>2540</v>
      </c>
      <c r="G223" s="1860" t="s">
        <v>3372</v>
      </c>
      <c r="H223" s="1860" t="s">
        <v>22</v>
      </c>
      <c r="I223" s="1860" t="s">
        <v>832</v>
      </c>
    </row>
    <row customHeight="1" ht="11.25">
      <c r="A224" s="1860" t="s">
        <v>2528</v>
      </c>
      <c r="B224" s="1860" t="s">
        <v>16</v>
      </c>
      <c r="C224" s="1860" t="s">
        <v>3373</v>
      </c>
      <c r="D224" s="1860" t="s">
        <v>3374</v>
      </c>
      <c r="E224" s="1860" t="s">
        <v>3375</v>
      </c>
      <c r="F224" s="1860" t="s">
        <v>2891</v>
      </c>
      <c r="G224" s="1860" t="s">
        <v>3376</v>
      </c>
      <c r="H224" s="1860" t="s">
        <v>22</v>
      </c>
      <c r="I224" s="1860" t="s">
        <v>832</v>
      </c>
    </row>
    <row customHeight="1" ht="11.25">
      <c r="A225" s="1860" t="s">
        <v>2528</v>
      </c>
      <c r="B225" s="1860" t="s">
        <v>16</v>
      </c>
      <c r="C225" s="1860" t="s">
        <v>3377</v>
      </c>
      <c r="D225" s="1860" t="s">
        <v>3378</v>
      </c>
      <c r="E225" s="1860" t="s">
        <v>2669</v>
      </c>
      <c r="F225" s="1860" t="s">
        <v>2620</v>
      </c>
      <c r="G225" s="1860" t="s">
        <v>3379</v>
      </c>
      <c r="H225" s="1860" t="s">
        <v>22</v>
      </c>
      <c r="I225" s="1860" t="s">
        <v>832</v>
      </c>
    </row>
    <row customHeight="1" ht="11.25">
      <c r="A226" s="1860" t="s">
        <v>2528</v>
      </c>
      <c r="B226" s="1860" t="s">
        <v>16</v>
      </c>
      <c r="C226" s="1860" t="s">
        <v>3380</v>
      </c>
      <c r="D226" s="1860" t="s">
        <v>3381</v>
      </c>
      <c r="E226" s="1860" t="s">
        <v>3382</v>
      </c>
      <c r="F226" s="1860" t="s">
        <v>3383</v>
      </c>
      <c r="G226" s="1860" t="s">
        <v>3156</v>
      </c>
      <c r="H226" s="1860" t="s">
        <v>22</v>
      </c>
      <c r="I226" s="1860" t="s">
        <v>832</v>
      </c>
    </row>
    <row customHeight="1" ht="11.25">
      <c r="A227" s="1860" t="s">
        <v>2528</v>
      </c>
      <c r="B227" s="1860" t="s">
        <v>16</v>
      </c>
      <c r="C227" s="1860" t="s">
        <v>3384</v>
      </c>
      <c r="D227" s="1860" t="s">
        <v>3385</v>
      </c>
      <c r="E227" s="1860" t="s">
        <v>3386</v>
      </c>
      <c r="F227" s="1860" t="s">
        <v>2905</v>
      </c>
      <c r="G227" s="1860" t="s">
        <v>3387</v>
      </c>
      <c r="H227" s="1860" t="s">
        <v>22</v>
      </c>
      <c r="I227" s="1860" t="s">
        <v>832</v>
      </c>
    </row>
    <row customHeight="1" ht="11.25">
      <c r="A228" s="1860" t="s">
        <v>2528</v>
      </c>
      <c r="B228" s="1860" t="s">
        <v>16</v>
      </c>
      <c r="C228" s="1860" t="s">
        <v>3388</v>
      </c>
      <c r="D228" s="1860" t="s">
        <v>3389</v>
      </c>
      <c r="E228" s="1860" t="s">
        <v>3390</v>
      </c>
      <c r="F228" s="1860" t="s">
        <v>3391</v>
      </c>
      <c r="G228" s="1860" t="s">
        <v>3392</v>
      </c>
      <c r="H228" s="1860" t="s">
        <v>22</v>
      </c>
      <c r="I228" s="1860" t="s">
        <v>832</v>
      </c>
    </row>
    <row customHeight="1" ht="11.25">
      <c r="A229" s="1860" t="s">
        <v>2528</v>
      </c>
      <c r="B229" s="1860" t="s">
        <v>16</v>
      </c>
      <c r="C229" s="1860" t="s">
        <v>3393</v>
      </c>
      <c r="D229" s="1860" t="s">
        <v>3394</v>
      </c>
      <c r="E229" s="1860" t="s">
        <v>3390</v>
      </c>
      <c r="F229" s="1860" t="s">
        <v>2679</v>
      </c>
      <c r="G229" s="1860" t="s">
        <v>22</v>
      </c>
      <c r="H229" s="1860" t="s">
        <v>22</v>
      </c>
      <c r="I229" s="1860" t="s">
        <v>832</v>
      </c>
    </row>
    <row customHeight="1" ht="11.25">
      <c r="A230" s="1860" t="s">
        <v>2528</v>
      </c>
      <c r="B230" s="1860" t="s">
        <v>16</v>
      </c>
      <c r="C230" s="1860" t="s">
        <v>3395</v>
      </c>
      <c r="D230" s="1860" t="s">
        <v>3396</v>
      </c>
      <c r="E230" s="1860" t="s">
        <v>3390</v>
      </c>
      <c r="F230" s="1860" t="s">
        <v>3397</v>
      </c>
      <c r="G230" s="1860" t="s">
        <v>3398</v>
      </c>
      <c r="H230" s="1860" t="s">
        <v>22</v>
      </c>
      <c r="I230" s="1860" t="s">
        <v>832</v>
      </c>
    </row>
    <row customHeight="1" ht="11.25">
      <c r="A231" s="1860" t="s">
        <v>2528</v>
      </c>
      <c r="B231" s="1860" t="s">
        <v>16</v>
      </c>
      <c r="C231" s="1860" t="s">
        <v>3399</v>
      </c>
      <c r="D231" s="1860" t="s">
        <v>3400</v>
      </c>
      <c r="E231" s="1860" t="s">
        <v>3390</v>
      </c>
      <c r="F231" s="1860" t="s">
        <v>2604</v>
      </c>
      <c r="G231" s="1860" t="s">
        <v>22</v>
      </c>
      <c r="H231" s="1860" t="s">
        <v>22</v>
      </c>
      <c r="I231" s="1860" t="s">
        <v>832</v>
      </c>
    </row>
    <row customHeight="1" ht="11.25">
      <c r="A232" s="1860" t="s">
        <v>2528</v>
      </c>
      <c r="B232" s="1860" t="s">
        <v>16</v>
      </c>
      <c r="C232" s="1860" t="s">
        <v>3401</v>
      </c>
      <c r="D232" s="1860" t="s">
        <v>3402</v>
      </c>
      <c r="E232" s="1860" t="s">
        <v>3390</v>
      </c>
      <c r="F232" s="1860" t="s">
        <v>3403</v>
      </c>
      <c r="G232" s="1860" t="s">
        <v>3398</v>
      </c>
      <c r="H232" s="1860" t="s">
        <v>22</v>
      </c>
      <c r="I232" s="1860" t="s">
        <v>832</v>
      </c>
    </row>
    <row customHeight="1" ht="11.25">
      <c r="A233" s="1860" t="s">
        <v>2528</v>
      </c>
      <c r="B233" s="1860" t="s">
        <v>16</v>
      </c>
      <c r="C233" s="1860" t="s">
        <v>3404</v>
      </c>
      <c r="D233" s="1860" t="s">
        <v>3405</v>
      </c>
      <c r="E233" s="1860" t="s">
        <v>3406</v>
      </c>
      <c r="F233" s="1860" t="s">
        <v>2540</v>
      </c>
      <c r="G233" s="1860" t="s">
        <v>3407</v>
      </c>
      <c r="H233" s="1860" t="s">
        <v>22</v>
      </c>
      <c r="I233" s="1860" t="s">
        <v>832</v>
      </c>
    </row>
    <row customHeight="1" ht="11.25">
      <c r="A234" s="1860" t="s">
        <v>2528</v>
      </c>
      <c r="B234" s="1860" t="s">
        <v>16</v>
      </c>
      <c r="C234" s="1860" t="s">
        <v>3408</v>
      </c>
      <c r="D234" s="1860" t="s">
        <v>3409</v>
      </c>
      <c r="E234" s="1860" t="s">
        <v>3410</v>
      </c>
      <c r="F234" s="1860" t="s">
        <v>2927</v>
      </c>
      <c r="G234" s="1860" t="s">
        <v>3411</v>
      </c>
      <c r="H234" s="1860" t="s">
        <v>22</v>
      </c>
      <c r="I234" s="1860" t="s">
        <v>832</v>
      </c>
    </row>
    <row customHeight="1" ht="11.25">
      <c r="A235" s="1860" t="s">
        <v>2528</v>
      </c>
      <c r="B235" s="1860" t="s">
        <v>16</v>
      </c>
      <c r="C235" s="1860" t="s">
        <v>3412</v>
      </c>
      <c r="D235" s="1860" t="s">
        <v>3413</v>
      </c>
      <c r="E235" s="1860" t="s">
        <v>3414</v>
      </c>
      <c r="F235" s="1860" t="s">
        <v>2905</v>
      </c>
      <c r="G235" s="1860" t="s">
        <v>3415</v>
      </c>
      <c r="H235" s="1860" t="s">
        <v>22</v>
      </c>
      <c r="I235" s="1860" t="s">
        <v>832</v>
      </c>
    </row>
    <row customHeight="1" ht="11.25">
      <c r="A236" s="1860" t="s">
        <v>2528</v>
      </c>
      <c r="B236" s="1860" t="s">
        <v>16</v>
      </c>
      <c r="C236" s="1860" t="s">
        <v>3416</v>
      </c>
      <c r="D236" s="1860" t="s">
        <v>3417</v>
      </c>
      <c r="E236" s="1860" t="s">
        <v>3418</v>
      </c>
      <c r="F236" s="1860" t="s">
        <v>3340</v>
      </c>
      <c r="G236" s="1860" t="s">
        <v>22</v>
      </c>
      <c r="H236" s="1860" t="s">
        <v>22</v>
      </c>
      <c r="I236" s="1860" t="s">
        <v>832</v>
      </c>
    </row>
    <row customHeight="1" ht="11.25">
      <c r="A237" s="1860" t="s">
        <v>2528</v>
      </c>
      <c r="B237" s="1860" t="s">
        <v>16</v>
      </c>
      <c r="C237" s="1860" t="s">
        <v>3419</v>
      </c>
      <c r="D237" s="1860" t="s">
        <v>3420</v>
      </c>
      <c r="E237" s="1860" t="s">
        <v>3421</v>
      </c>
      <c r="F237" s="1860" t="s">
        <v>2540</v>
      </c>
      <c r="G237" s="1860" t="s">
        <v>3422</v>
      </c>
      <c r="H237" s="1860" t="s">
        <v>22</v>
      </c>
      <c r="I237" s="1860" t="s">
        <v>832</v>
      </c>
    </row>
    <row customHeight="1" ht="11.25">
      <c r="A238" s="1860" t="s">
        <v>2528</v>
      </c>
      <c r="B238" s="1860" t="s">
        <v>16</v>
      </c>
      <c r="C238" s="1860" t="s">
        <v>3423</v>
      </c>
      <c r="D238" s="1860" t="s">
        <v>3424</v>
      </c>
      <c r="E238" s="1860" t="s">
        <v>3425</v>
      </c>
      <c r="F238" s="1860" t="s">
        <v>3426</v>
      </c>
      <c r="G238" s="1860" t="s">
        <v>3427</v>
      </c>
      <c r="H238" s="1860" t="s">
        <v>22</v>
      </c>
      <c r="I238" s="1860" t="s">
        <v>832</v>
      </c>
    </row>
    <row customHeight="1" ht="11.25">
      <c r="A239" s="1860" t="s">
        <v>2528</v>
      </c>
      <c r="B239" s="1860" t="s">
        <v>16</v>
      </c>
      <c r="C239" s="1860" t="s">
        <v>3428</v>
      </c>
      <c r="D239" s="1860" t="s">
        <v>3429</v>
      </c>
      <c r="E239" s="1860" t="s">
        <v>3430</v>
      </c>
      <c r="F239" s="1860" t="s">
        <v>2905</v>
      </c>
      <c r="G239" s="1860" t="s">
        <v>3431</v>
      </c>
      <c r="H239" s="1860" t="s">
        <v>22</v>
      </c>
      <c r="I239" s="1860" t="s">
        <v>832</v>
      </c>
    </row>
    <row customHeight="1" ht="11.25">
      <c r="A240" s="1860" t="s">
        <v>2528</v>
      </c>
      <c r="B240" s="1860" t="s">
        <v>16</v>
      </c>
      <c r="C240" s="1860" t="s">
        <v>3432</v>
      </c>
      <c r="D240" s="1860" t="s">
        <v>3433</v>
      </c>
      <c r="E240" s="1860" t="s">
        <v>3425</v>
      </c>
      <c r="F240" s="1860" t="s">
        <v>2727</v>
      </c>
      <c r="G240" s="1860" t="s">
        <v>3434</v>
      </c>
      <c r="H240" s="1860" t="s">
        <v>22</v>
      </c>
      <c r="I240" s="1860" t="s">
        <v>832</v>
      </c>
    </row>
    <row customHeight="1" ht="11.25">
      <c r="A241" s="1860" t="s">
        <v>2528</v>
      </c>
      <c r="B241" s="1860" t="s">
        <v>16</v>
      </c>
      <c r="C241" s="1860" t="s">
        <v>3435</v>
      </c>
      <c r="D241" s="1860" t="s">
        <v>3436</v>
      </c>
      <c r="E241" s="1860" t="s">
        <v>2669</v>
      </c>
      <c r="F241" s="1860" t="s">
        <v>3437</v>
      </c>
      <c r="G241" s="1860" t="s">
        <v>2680</v>
      </c>
      <c r="H241" s="1860" t="s">
        <v>22</v>
      </c>
      <c r="I241" s="1860" t="s">
        <v>832</v>
      </c>
    </row>
    <row customHeight="1" ht="11.25">
      <c r="A242" s="1860" t="s">
        <v>2528</v>
      </c>
      <c r="B242" s="1860" t="s">
        <v>16</v>
      </c>
      <c r="C242" s="1860" t="s">
        <v>3438</v>
      </c>
      <c r="D242" s="1860" t="s">
        <v>3439</v>
      </c>
      <c r="E242" s="1860" t="s">
        <v>2669</v>
      </c>
      <c r="F242" s="1860" t="s">
        <v>3440</v>
      </c>
      <c r="G242" s="1860" t="s">
        <v>2680</v>
      </c>
      <c r="H242" s="1860" t="s">
        <v>22</v>
      </c>
      <c r="I242" s="1860" t="s">
        <v>832</v>
      </c>
    </row>
    <row customHeight="1" ht="11.25">
      <c r="A243" s="1860" t="s">
        <v>2528</v>
      </c>
      <c r="B243" s="1860" t="s">
        <v>16</v>
      </c>
      <c r="C243" s="1860" t="s">
        <v>3441</v>
      </c>
      <c r="D243" s="1860" t="s">
        <v>3442</v>
      </c>
      <c r="E243" s="1860" t="s">
        <v>3443</v>
      </c>
      <c r="F243" s="1860" t="s">
        <v>2540</v>
      </c>
      <c r="G243" s="1860" t="s">
        <v>3444</v>
      </c>
      <c r="H243" s="1860" t="s">
        <v>22</v>
      </c>
      <c r="I243" s="1860" t="s">
        <v>832</v>
      </c>
    </row>
    <row customHeight="1" ht="11.25">
      <c r="A244" s="1860" t="s">
        <v>2528</v>
      </c>
      <c r="B244" s="1860" t="s">
        <v>16</v>
      </c>
      <c r="C244" s="1860" t="s">
        <v>3445</v>
      </c>
      <c r="D244" s="1860" t="s">
        <v>3446</v>
      </c>
      <c r="E244" s="1860" t="s">
        <v>3447</v>
      </c>
      <c r="F244" s="1860" t="s">
        <v>2891</v>
      </c>
      <c r="G244" s="1860" t="s">
        <v>22</v>
      </c>
      <c r="H244" s="1860" t="s">
        <v>22</v>
      </c>
      <c r="I244" s="1860" t="s">
        <v>832</v>
      </c>
    </row>
    <row customHeight="1" ht="11.25">
      <c r="A245" s="1860" t="s">
        <v>2528</v>
      </c>
      <c r="B245" s="1860" t="s">
        <v>16</v>
      </c>
      <c r="C245" s="1860" t="s">
        <v>3448</v>
      </c>
      <c r="D245" s="1860" t="s">
        <v>3449</v>
      </c>
      <c r="E245" s="1860" t="s">
        <v>2791</v>
      </c>
      <c r="F245" s="1860" t="s">
        <v>3450</v>
      </c>
      <c r="G245" s="1860" t="s">
        <v>3451</v>
      </c>
      <c r="H245" s="1860" t="s">
        <v>22</v>
      </c>
      <c r="I245" s="1860" t="s">
        <v>832</v>
      </c>
    </row>
    <row customHeight="1" ht="11.25">
      <c r="A246" s="1860" t="s">
        <v>2528</v>
      </c>
      <c r="B246" s="1860" t="s">
        <v>16</v>
      </c>
      <c r="C246" s="1860" t="s">
        <v>3452</v>
      </c>
      <c r="D246" s="1860" t="s">
        <v>3453</v>
      </c>
      <c r="E246" s="1860" t="s">
        <v>3454</v>
      </c>
      <c r="F246" s="1860" t="s">
        <v>2540</v>
      </c>
      <c r="G246" s="1860" t="s">
        <v>3455</v>
      </c>
      <c r="H246" s="1860" t="s">
        <v>22</v>
      </c>
      <c r="I246" s="1860" t="s">
        <v>832</v>
      </c>
    </row>
    <row customHeight="1" ht="11.25">
      <c r="A247" s="1860" t="s">
        <v>2528</v>
      </c>
      <c r="B247" s="1860" t="s">
        <v>16</v>
      </c>
      <c r="C247" s="1860" t="s">
        <v>3456</v>
      </c>
      <c r="D247" s="1860" t="s">
        <v>3457</v>
      </c>
      <c r="E247" s="1860" t="s">
        <v>3454</v>
      </c>
      <c r="F247" s="1860" t="s">
        <v>2886</v>
      </c>
      <c r="G247" s="1860" t="s">
        <v>22</v>
      </c>
      <c r="H247" s="1860" t="s">
        <v>22</v>
      </c>
      <c r="I247" s="1860" t="s">
        <v>832</v>
      </c>
    </row>
    <row customHeight="1" ht="11.25">
      <c r="A248" s="1860" t="s">
        <v>2528</v>
      </c>
      <c r="B248" s="1860" t="s">
        <v>16</v>
      </c>
      <c r="C248" s="1860" t="s">
        <v>3458</v>
      </c>
      <c r="D248" s="1860" t="s">
        <v>3459</v>
      </c>
      <c r="E248" s="1860" t="s">
        <v>3454</v>
      </c>
      <c r="F248" s="1860" t="s">
        <v>3460</v>
      </c>
      <c r="G248" s="1860" t="s">
        <v>22</v>
      </c>
      <c r="H248" s="1860" t="s">
        <v>22</v>
      </c>
      <c r="I248" s="1860" t="s">
        <v>832</v>
      </c>
    </row>
    <row customHeight="1" ht="11.25">
      <c r="A249" s="1860" t="s">
        <v>2528</v>
      </c>
      <c r="B249" s="1860" t="s">
        <v>16</v>
      </c>
      <c r="C249" s="1860" t="s">
        <v>3461</v>
      </c>
      <c r="D249" s="1860" t="s">
        <v>3462</v>
      </c>
      <c r="E249" s="1860" t="s">
        <v>3454</v>
      </c>
      <c r="F249" s="1860" t="s">
        <v>3463</v>
      </c>
      <c r="G249" s="1860" t="s">
        <v>3464</v>
      </c>
      <c r="H249" s="1860" t="s">
        <v>22</v>
      </c>
      <c r="I249" s="1860" t="s">
        <v>832</v>
      </c>
    </row>
    <row customHeight="1" ht="11.25">
      <c r="A250" s="1860" t="s">
        <v>2528</v>
      </c>
      <c r="B250" s="1860" t="s">
        <v>16</v>
      </c>
      <c r="C250" s="1860" t="s">
        <v>3465</v>
      </c>
      <c r="D250" s="1860" t="s">
        <v>3466</v>
      </c>
      <c r="E250" s="1860" t="s">
        <v>3467</v>
      </c>
      <c r="F250" s="1860" t="s">
        <v>2540</v>
      </c>
      <c r="G250" s="1860" t="s">
        <v>3468</v>
      </c>
      <c r="H250" s="1860" t="s">
        <v>22</v>
      </c>
      <c r="I250" s="1860" t="s">
        <v>832</v>
      </c>
    </row>
    <row customHeight="1" ht="11.25">
      <c r="A251" s="1860" t="s">
        <v>2528</v>
      </c>
      <c r="B251" s="1860" t="s">
        <v>16</v>
      </c>
      <c r="C251" s="1860" t="s">
        <v>3469</v>
      </c>
      <c r="D251" s="1860" t="s">
        <v>3470</v>
      </c>
      <c r="E251" s="1860" t="s">
        <v>3471</v>
      </c>
      <c r="F251" s="1860" t="s">
        <v>3472</v>
      </c>
      <c r="G251" s="1860" t="s">
        <v>3473</v>
      </c>
      <c r="H251" s="1860" t="s">
        <v>22</v>
      </c>
      <c r="I251" s="1860" t="s">
        <v>832</v>
      </c>
    </row>
    <row customHeight="1" ht="11.25">
      <c r="A252" s="1860" t="s">
        <v>2528</v>
      </c>
      <c r="B252" s="1860" t="s">
        <v>16</v>
      </c>
      <c r="C252" s="1860" t="s">
        <v>3474</v>
      </c>
      <c r="D252" s="1860" t="s">
        <v>3475</v>
      </c>
      <c r="E252" s="1860" t="s">
        <v>2674</v>
      </c>
      <c r="F252" s="1860" t="s">
        <v>2644</v>
      </c>
      <c r="G252" s="1860" t="s">
        <v>2676</v>
      </c>
      <c r="H252" s="1860" t="s">
        <v>22</v>
      </c>
      <c r="I252" s="1860" t="s">
        <v>832</v>
      </c>
    </row>
    <row customHeight="1" ht="11.25">
      <c r="A253" s="1860" t="s">
        <v>2528</v>
      </c>
      <c r="B253" s="1860" t="s">
        <v>16</v>
      </c>
      <c r="C253" s="1860" t="s">
        <v>3476</v>
      </c>
      <c r="D253" s="1860" t="s">
        <v>3477</v>
      </c>
      <c r="E253" s="1860" t="s">
        <v>2531</v>
      </c>
      <c r="F253" s="1860" t="s">
        <v>2540</v>
      </c>
      <c r="G253" s="1860" t="s">
        <v>2658</v>
      </c>
      <c r="H253" s="1860" t="s">
        <v>22</v>
      </c>
      <c r="I253" s="1860" t="s">
        <v>832</v>
      </c>
    </row>
    <row customHeight="1" ht="11.25">
      <c r="A254" s="1860" t="s">
        <v>2528</v>
      </c>
      <c r="B254" s="1860" t="s">
        <v>16</v>
      </c>
      <c r="C254" s="1860" t="s">
        <v>2534</v>
      </c>
      <c r="D254" s="1860" t="s">
        <v>2535</v>
      </c>
      <c r="E254" s="1860" t="s">
        <v>2531</v>
      </c>
      <c r="F254" s="1860" t="s">
        <v>2536</v>
      </c>
      <c r="G254" s="1860" t="s">
        <v>2533</v>
      </c>
      <c r="H254" s="1860" t="s">
        <v>22</v>
      </c>
      <c r="I254" s="1860" t="s">
        <v>918</v>
      </c>
    </row>
    <row customHeight="1" ht="11.25">
      <c r="A255" s="1860" t="s">
        <v>2528</v>
      </c>
      <c r="B255" s="1860" t="s">
        <v>16</v>
      </c>
      <c r="C255" s="1860" t="s">
        <v>2542</v>
      </c>
      <c r="D255" s="1860" t="s">
        <v>2543</v>
      </c>
      <c r="E255" s="1860" t="s">
        <v>2544</v>
      </c>
      <c r="F255" s="1860" t="s">
        <v>2545</v>
      </c>
      <c r="G255" s="1860" t="s">
        <v>22</v>
      </c>
      <c r="H255" s="1860" t="s">
        <v>22</v>
      </c>
      <c r="I255" s="1860" t="s">
        <v>918</v>
      </c>
    </row>
    <row customHeight="1" ht="11.25">
      <c r="A256" s="1860" t="s">
        <v>2528</v>
      </c>
      <c r="B256" s="1860" t="s">
        <v>16</v>
      </c>
      <c r="C256" s="1860" t="s">
        <v>2546</v>
      </c>
      <c r="D256" s="1860" t="s">
        <v>2543</v>
      </c>
      <c r="E256" s="1860" t="s">
        <v>2544</v>
      </c>
      <c r="F256" s="1860" t="s">
        <v>2547</v>
      </c>
      <c r="G256" s="1860" t="s">
        <v>22</v>
      </c>
      <c r="H256" s="1860" t="s">
        <v>22</v>
      </c>
      <c r="I256" s="1860" t="s">
        <v>918</v>
      </c>
    </row>
    <row customHeight="1" ht="11.25">
      <c r="A257" s="1860" t="s">
        <v>2528</v>
      </c>
      <c r="B257" s="1860" t="s">
        <v>16</v>
      </c>
      <c r="C257" s="1860" t="s">
        <v>2548</v>
      </c>
      <c r="D257" s="1860" t="s">
        <v>2549</v>
      </c>
      <c r="E257" s="1860" t="s">
        <v>2550</v>
      </c>
      <c r="F257" s="1860" t="s">
        <v>2540</v>
      </c>
      <c r="G257" s="1860" t="s">
        <v>2551</v>
      </c>
      <c r="H257" s="1860" t="s">
        <v>22</v>
      </c>
      <c r="I257" s="1860" t="s">
        <v>918</v>
      </c>
    </row>
    <row customHeight="1" ht="11.25">
      <c r="A258" s="1860" t="s">
        <v>2528</v>
      </c>
      <c r="B258" s="1860" t="s">
        <v>16</v>
      </c>
      <c r="C258" s="1860" t="s">
        <v>2556</v>
      </c>
      <c r="D258" s="1860" t="s">
        <v>2557</v>
      </c>
      <c r="E258" s="1860" t="s">
        <v>2558</v>
      </c>
      <c r="F258" s="1860" t="s">
        <v>2540</v>
      </c>
      <c r="G258" s="1860" t="s">
        <v>2559</v>
      </c>
      <c r="H258" s="1860" t="s">
        <v>22</v>
      </c>
      <c r="I258" s="1860" t="s">
        <v>918</v>
      </c>
    </row>
    <row customHeight="1" ht="11.25">
      <c r="A259" s="1860" t="s">
        <v>2528</v>
      </c>
      <c r="B259" s="1860" t="s">
        <v>16</v>
      </c>
      <c r="C259" s="1860" t="s">
        <v>2569</v>
      </c>
      <c r="D259" s="1860" t="s">
        <v>2570</v>
      </c>
      <c r="E259" s="1860" t="s">
        <v>2571</v>
      </c>
      <c r="F259" s="1860" t="s">
        <v>2572</v>
      </c>
      <c r="G259" s="1860" t="s">
        <v>2573</v>
      </c>
      <c r="H259" s="1860" t="s">
        <v>22</v>
      </c>
      <c r="I259" s="1860" t="s">
        <v>918</v>
      </c>
    </row>
    <row customHeight="1" ht="11.25">
      <c r="A260" s="1860" t="s">
        <v>2528</v>
      </c>
      <c r="B260" s="1860" t="s">
        <v>16</v>
      </c>
      <c r="C260" s="1860" t="s">
        <v>2579</v>
      </c>
      <c r="D260" s="1860" t="s">
        <v>2580</v>
      </c>
      <c r="E260" s="1860" t="s">
        <v>2581</v>
      </c>
      <c r="F260" s="1860" t="s">
        <v>2582</v>
      </c>
      <c r="G260" s="1860" t="s">
        <v>2583</v>
      </c>
      <c r="H260" s="1860" t="s">
        <v>22</v>
      </c>
      <c r="I260" s="1860" t="s">
        <v>918</v>
      </c>
    </row>
    <row customHeight="1" ht="11.25">
      <c r="A261" s="1860" t="s">
        <v>2528</v>
      </c>
      <c r="B261" s="1860" t="s">
        <v>16</v>
      </c>
      <c r="C261" s="1860" t="s">
        <v>2590</v>
      </c>
      <c r="D261" s="1860" t="s">
        <v>2591</v>
      </c>
      <c r="E261" s="1860" t="s">
        <v>2581</v>
      </c>
      <c r="F261" s="1860" t="s">
        <v>2592</v>
      </c>
      <c r="G261" s="1860" t="s">
        <v>2583</v>
      </c>
      <c r="H261" s="1860" t="s">
        <v>22</v>
      </c>
      <c r="I261" s="1860" t="s">
        <v>918</v>
      </c>
    </row>
    <row customHeight="1" ht="11.25">
      <c r="A262" s="1860" t="s">
        <v>2528</v>
      </c>
      <c r="B262" s="1860" t="s">
        <v>16</v>
      </c>
      <c r="C262" s="1860" t="s">
        <v>2593</v>
      </c>
      <c r="D262" s="1860" t="s">
        <v>2594</v>
      </c>
      <c r="E262" s="1860" t="s">
        <v>2581</v>
      </c>
      <c r="F262" s="1860" t="s">
        <v>2595</v>
      </c>
      <c r="G262" s="1860" t="s">
        <v>2583</v>
      </c>
      <c r="H262" s="1860" t="s">
        <v>22</v>
      </c>
      <c r="I262" s="1860" t="s">
        <v>918</v>
      </c>
    </row>
    <row customHeight="1" ht="11.25">
      <c r="A263" s="1860" t="s">
        <v>2528</v>
      </c>
      <c r="B263" s="1860" t="s">
        <v>16</v>
      </c>
      <c r="C263" s="1860" t="s">
        <v>2596</v>
      </c>
      <c r="D263" s="1860" t="s">
        <v>2597</v>
      </c>
      <c r="E263" s="1860" t="s">
        <v>2581</v>
      </c>
      <c r="F263" s="1860" t="s">
        <v>2598</v>
      </c>
      <c r="G263" s="1860" t="s">
        <v>2583</v>
      </c>
      <c r="H263" s="1860" t="s">
        <v>22</v>
      </c>
      <c r="I263" s="1860" t="s">
        <v>918</v>
      </c>
    </row>
    <row customHeight="1" ht="11.25">
      <c r="A264" s="1860" t="s">
        <v>2528</v>
      </c>
      <c r="B264" s="1860" t="s">
        <v>16</v>
      </c>
      <c r="C264" s="1860" t="s">
        <v>2599</v>
      </c>
      <c r="D264" s="1860" t="s">
        <v>2600</v>
      </c>
      <c r="E264" s="1860" t="s">
        <v>2581</v>
      </c>
      <c r="F264" s="1860" t="s">
        <v>2601</v>
      </c>
      <c r="G264" s="1860" t="s">
        <v>2583</v>
      </c>
      <c r="H264" s="1860" t="s">
        <v>22</v>
      </c>
      <c r="I264" s="1860" t="s">
        <v>918</v>
      </c>
    </row>
    <row customHeight="1" ht="11.25">
      <c r="A265" s="1860" t="s">
        <v>2528</v>
      </c>
      <c r="B265" s="1860" t="s">
        <v>16</v>
      </c>
      <c r="C265" s="1860" t="s">
        <v>2605</v>
      </c>
      <c r="D265" s="1860" t="s">
        <v>2606</v>
      </c>
      <c r="E265" s="1860" t="s">
        <v>2607</v>
      </c>
      <c r="F265" s="1860" t="s">
        <v>2582</v>
      </c>
      <c r="G265" s="1860" t="s">
        <v>2608</v>
      </c>
      <c r="H265" s="1860" t="s">
        <v>22</v>
      </c>
      <c r="I265" s="1860" t="s">
        <v>918</v>
      </c>
    </row>
    <row customHeight="1" ht="11.25">
      <c r="A266" s="1860" t="s">
        <v>2528</v>
      </c>
      <c r="B266" s="1860" t="s">
        <v>16</v>
      </c>
      <c r="C266" s="1860" t="s">
        <v>2612</v>
      </c>
      <c r="D266" s="1860" t="s">
        <v>2613</v>
      </c>
      <c r="E266" s="1860" t="s">
        <v>2607</v>
      </c>
      <c r="F266" s="1860" t="s">
        <v>2614</v>
      </c>
      <c r="G266" s="1860" t="s">
        <v>2608</v>
      </c>
      <c r="H266" s="1860" t="s">
        <v>22</v>
      </c>
      <c r="I266" s="1860" t="s">
        <v>918</v>
      </c>
    </row>
    <row customHeight="1" ht="11.25">
      <c r="A267" s="1860" t="s">
        <v>2528</v>
      </c>
      <c r="B267" s="1860" t="s">
        <v>16</v>
      </c>
      <c r="C267" s="1860" t="s">
        <v>2618</v>
      </c>
      <c r="D267" s="1860" t="s">
        <v>2619</v>
      </c>
      <c r="E267" s="1860" t="s">
        <v>2607</v>
      </c>
      <c r="F267" s="1860" t="s">
        <v>2620</v>
      </c>
      <c r="G267" s="1860" t="s">
        <v>2608</v>
      </c>
      <c r="H267" s="1860" t="s">
        <v>22</v>
      </c>
      <c r="I267" s="1860" t="s">
        <v>918</v>
      </c>
    </row>
    <row customHeight="1" ht="11.25">
      <c r="A268" s="1860" t="s">
        <v>2528</v>
      </c>
      <c r="B268" s="1860" t="s">
        <v>16</v>
      </c>
      <c r="C268" s="1860" t="s">
        <v>2621</v>
      </c>
      <c r="D268" s="1860" t="s">
        <v>2622</v>
      </c>
      <c r="E268" s="1860" t="s">
        <v>2607</v>
      </c>
      <c r="F268" s="1860" t="s">
        <v>2623</v>
      </c>
      <c r="G268" s="1860" t="s">
        <v>2608</v>
      </c>
      <c r="H268" s="1860" t="s">
        <v>22</v>
      </c>
      <c r="I268" s="1860" t="s">
        <v>918</v>
      </c>
    </row>
    <row customHeight="1" ht="11.25">
      <c r="A269" s="1860" t="s">
        <v>2528</v>
      </c>
      <c r="B269" s="1860" t="s">
        <v>16</v>
      </c>
      <c r="C269" s="1860" t="s">
        <v>2624</v>
      </c>
      <c r="D269" s="1860" t="s">
        <v>2625</v>
      </c>
      <c r="E269" s="1860" t="s">
        <v>2607</v>
      </c>
      <c r="F269" s="1860" t="s">
        <v>2626</v>
      </c>
      <c r="G269" s="1860" t="s">
        <v>2608</v>
      </c>
      <c r="H269" s="1860" t="s">
        <v>22</v>
      </c>
      <c r="I269" s="1860" t="s">
        <v>918</v>
      </c>
    </row>
    <row customHeight="1" ht="11.25">
      <c r="A270" s="1860" t="s">
        <v>2528</v>
      </c>
      <c r="B270" s="1860" t="s">
        <v>16</v>
      </c>
      <c r="C270" s="1860" t="s">
        <v>2627</v>
      </c>
      <c r="D270" s="1860" t="s">
        <v>2628</v>
      </c>
      <c r="E270" s="1860" t="s">
        <v>2607</v>
      </c>
      <c r="F270" s="1860" t="s">
        <v>2629</v>
      </c>
      <c r="G270" s="1860" t="s">
        <v>2608</v>
      </c>
      <c r="H270" s="1860" t="s">
        <v>22</v>
      </c>
      <c r="I270" s="1860" t="s">
        <v>918</v>
      </c>
    </row>
    <row customHeight="1" ht="11.25">
      <c r="A271" s="1860" t="s">
        <v>2528</v>
      </c>
      <c r="B271" s="1860" t="s">
        <v>16</v>
      </c>
      <c r="C271" s="1860" t="s">
        <v>2630</v>
      </c>
      <c r="D271" s="1860" t="s">
        <v>2631</v>
      </c>
      <c r="E271" s="1860" t="s">
        <v>2607</v>
      </c>
      <c r="F271" s="1860" t="s">
        <v>2598</v>
      </c>
      <c r="G271" s="1860" t="s">
        <v>2608</v>
      </c>
      <c r="H271" s="1860" t="s">
        <v>22</v>
      </c>
      <c r="I271" s="1860" t="s">
        <v>918</v>
      </c>
    </row>
    <row customHeight="1" ht="11.25">
      <c r="A272" s="1860" t="s">
        <v>2528</v>
      </c>
      <c r="B272" s="1860" t="s">
        <v>16</v>
      </c>
      <c r="C272" s="1860" t="s">
        <v>2637</v>
      </c>
      <c r="D272" s="1860" t="s">
        <v>2638</v>
      </c>
      <c r="E272" s="1860" t="s">
        <v>2639</v>
      </c>
      <c r="F272" s="1860" t="s">
        <v>2540</v>
      </c>
      <c r="G272" s="1860" t="s">
        <v>2640</v>
      </c>
      <c r="H272" s="1860" t="s">
        <v>22</v>
      </c>
      <c r="I272" s="1860" t="s">
        <v>918</v>
      </c>
    </row>
    <row customHeight="1" ht="11.25">
      <c r="A273" s="1860" t="s">
        <v>2528</v>
      </c>
      <c r="B273" s="1860" t="s">
        <v>16</v>
      </c>
      <c r="C273" s="1860" t="s">
        <v>2641</v>
      </c>
      <c r="D273" s="1860" t="s">
        <v>2642</v>
      </c>
      <c r="E273" s="1860" t="s">
        <v>2643</v>
      </c>
      <c r="F273" s="1860" t="s">
        <v>2644</v>
      </c>
      <c r="G273" s="1860" t="s">
        <v>2645</v>
      </c>
      <c r="H273" s="1860" t="s">
        <v>22</v>
      </c>
      <c r="I273" s="1860" t="s">
        <v>918</v>
      </c>
    </row>
    <row customHeight="1" ht="11.25">
      <c r="A274" s="1860" t="s">
        <v>2528</v>
      </c>
      <c r="B274" s="1860" t="s">
        <v>16</v>
      </c>
      <c r="C274" s="1860" t="s">
        <v>13</v>
      </c>
      <c r="D274" s="1860" t="s">
        <v>46</v>
      </c>
      <c r="E274" s="1860" t="s">
        <v>49</v>
      </c>
      <c r="F274" s="1860" t="s">
        <v>51</v>
      </c>
      <c r="G274" s="1860" t="s">
        <v>2555</v>
      </c>
      <c r="H274" s="1860" t="s">
        <v>22</v>
      </c>
      <c r="I274" s="1860" t="s">
        <v>918</v>
      </c>
    </row>
    <row customHeight="1" ht="11.25">
      <c r="A275" s="1860" t="s">
        <v>2528</v>
      </c>
      <c r="B275" s="1860" t="s">
        <v>16</v>
      </c>
      <c r="C275" s="1860" t="s">
        <v>2659</v>
      </c>
      <c r="D275" s="1860" t="s">
        <v>2660</v>
      </c>
      <c r="E275" s="1860" t="s">
        <v>2661</v>
      </c>
      <c r="F275" s="1860" t="s">
        <v>2540</v>
      </c>
      <c r="G275" s="1860" t="s">
        <v>2662</v>
      </c>
      <c r="H275" s="1860" t="s">
        <v>22</v>
      </c>
      <c r="I275" s="1860" t="s">
        <v>918</v>
      </c>
    </row>
    <row customHeight="1" ht="11.25">
      <c r="A276" s="1860" t="s">
        <v>2528</v>
      </c>
      <c r="B276" s="1860" t="s">
        <v>16</v>
      </c>
      <c r="C276" s="1860" t="s">
        <v>2663</v>
      </c>
      <c r="D276" s="1860" t="s">
        <v>2664</v>
      </c>
      <c r="E276" s="1860" t="s">
        <v>2665</v>
      </c>
      <c r="F276" s="1860" t="s">
        <v>2644</v>
      </c>
      <c r="G276" s="1860" t="s">
        <v>2666</v>
      </c>
      <c r="H276" s="1860" t="s">
        <v>22</v>
      </c>
      <c r="I276" s="1860" t="s">
        <v>918</v>
      </c>
    </row>
    <row customHeight="1" ht="11.25">
      <c r="A277" s="1860" t="s">
        <v>2528</v>
      </c>
      <c r="B277" s="1860" t="s">
        <v>16</v>
      </c>
      <c r="C277" s="1860" t="s">
        <v>2667</v>
      </c>
      <c r="D277" s="1860" t="s">
        <v>2668</v>
      </c>
      <c r="E277" s="1860" t="s">
        <v>2669</v>
      </c>
      <c r="F277" s="1860" t="s">
        <v>2670</v>
      </c>
      <c r="G277" s="1860" t="s">
        <v>2671</v>
      </c>
      <c r="H277" s="1860" t="s">
        <v>22</v>
      </c>
      <c r="I277" s="1860" t="s">
        <v>918</v>
      </c>
    </row>
    <row customHeight="1" ht="11.25">
      <c r="A278" s="1860" t="s">
        <v>2528</v>
      </c>
      <c r="B278" s="1860" t="s">
        <v>16</v>
      </c>
      <c r="C278" s="1860" t="s">
        <v>2672</v>
      </c>
      <c r="D278" s="1860" t="s">
        <v>2673</v>
      </c>
      <c r="E278" s="1860" t="s">
        <v>2674</v>
      </c>
      <c r="F278" s="1860" t="s">
        <v>2675</v>
      </c>
      <c r="G278" s="1860" t="s">
        <v>2676</v>
      </c>
      <c r="H278" s="1860" t="s">
        <v>22</v>
      </c>
      <c r="I278" s="1860" t="s">
        <v>918</v>
      </c>
    </row>
    <row customHeight="1" ht="11.25">
      <c r="A279" s="1860" t="s">
        <v>2528</v>
      </c>
      <c r="B279" s="1860" t="s">
        <v>16</v>
      </c>
      <c r="C279" s="1860" t="s">
        <v>2677</v>
      </c>
      <c r="D279" s="1860" t="s">
        <v>2678</v>
      </c>
      <c r="E279" s="1860" t="s">
        <v>2669</v>
      </c>
      <c r="F279" s="1860" t="s">
        <v>2679</v>
      </c>
      <c r="G279" s="1860" t="s">
        <v>2680</v>
      </c>
      <c r="H279" s="1860" t="s">
        <v>22</v>
      </c>
      <c r="I279" s="1860" t="s">
        <v>918</v>
      </c>
    </row>
    <row customHeight="1" ht="11.25">
      <c r="A280" s="1860" t="s">
        <v>2528</v>
      </c>
      <c r="B280" s="1860" t="s">
        <v>16</v>
      </c>
      <c r="C280" s="1860" t="s">
        <v>2681</v>
      </c>
      <c r="D280" s="1860" t="s">
        <v>2682</v>
      </c>
      <c r="E280" s="1860" t="s">
        <v>2683</v>
      </c>
      <c r="F280" s="1860" t="s">
        <v>2540</v>
      </c>
      <c r="G280" s="1860" t="s">
        <v>2684</v>
      </c>
      <c r="H280" s="1860" t="s">
        <v>22</v>
      </c>
      <c r="I280" s="1860" t="s">
        <v>918</v>
      </c>
    </row>
    <row customHeight="1" ht="11.25">
      <c r="A281" s="1860" t="s">
        <v>2528</v>
      </c>
      <c r="B281" s="1860" t="s">
        <v>16</v>
      </c>
      <c r="C281" s="1860" t="s">
        <v>2685</v>
      </c>
      <c r="D281" s="1860" t="s">
        <v>2686</v>
      </c>
      <c r="E281" s="1860" t="s">
        <v>2687</v>
      </c>
      <c r="F281" s="1860" t="s">
        <v>2644</v>
      </c>
      <c r="G281" s="1860" t="s">
        <v>2688</v>
      </c>
      <c r="H281" s="1860" t="s">
        <v>22</v>
      </c>
      <c r="I281" s="1860" t="s">
        <v>918</v>
      </c>
    </row>
    <row customHeight="1" ht="11.25">
      <c r="A282" s="1860" t="s">
        <v>2528</v>
      </c>
      <c r="B282" s="1860" t="s">
        <v>16</v>
      </c>
      <c r="C282" s="1860" t="s">
        <v>22</v>
      </c>
      <c r="D282" s="1860" t="s">
        <v>2697</v>
      </c>
      <c r="E282" s="1860" t="s">
        <v>2698</v>
      </c>
      <c r="F282" s="1860" t="s">
        <v>2540</v>
      </c>
      <c r="G282" s="1860" t="s">
        <v>22</v>
      </c>
      <c r="H282" s="1860" t="s">
        <v>22</v>
      </c>
      <c r="I282" s="1860" t="s">
        <v>918</v>
      </c>
    </row>
    <row customHeight="1" ht="11.25">
      <c r="A283" s="1860" t="s">
        <v>2528</v>
      </c>
      <c r="B283" s="1860" t="s">
        <v>16</v>
      </c>
      <c r="C283" s="1860" t="s">
        <v>2699</v>
      </c>
      <c r="D283" s="1860" t="s">
        <v>2700</v>
      </c>
      <c r="E283" s="1860" t="s">
        <v>2701</v>
      </c>
      <c r="F283" s="1860" t="s">
        <v>2540</v>
      </c>
      <c r="G283" s="1860" t="s">
        <v>2702</v>
      </c>
      <c r="H283" s="1860" t="s">
        <v>22</v>
      </c>
      <c r="I283" s="1860" t="s">
        <v>918</v>
      </c>
    </row>
    <row customHeight="1" ht="11.25">
      <c r="A284" s="1860" t="s">
        <v>2528</v>
      </c>
      <c r="B284" s="1860" t="s">
        <v>16</v>
      </c>
      <c r="C284" s="1860" t="s">
        <v>2703</v>
      </c>
      <c r="D284" s="1860" t="s">
        <v>2704</v>
      </c>
      <c r="E284" s="1860" t="s">
        <v>2701</v>
      </c>
      <c r="F284" s="1860" t="s">
        <v>2582</v>
      </c>
      <c r="G284" s="1860" t="s">
        <v>2702</v>
      </c>
      <c r="H284" s="1860" t="s">
        <v>22</v>
      </c>
      <c r="I284" s="1860" t="s">
        <v>918</v>
      </c>
    </row>
    <row customHeight="1" ht="11.25">
      <c r="A285" s="1860" t="s">
        <v>2528</v>
      </c>
      <c r="B285" s="1860" t="s">
        <v>16</v>
      </c>
      <c r="C285" s="1860" t="s">
        <v>2705</v>
      </c>
      <c r="D285" s="1860" t="s">
        <v>2706</v>
      </c>
      <c r="E285" s="1860" t="s">
        <v>2701</v>
      </c>
      <c r="F285" s="1860" t="s">
        <v>2629</v>
      </c>
      <c r="G285" s="1860" t="s">
        <v>2702</v>
      </c>
      <c r="H285" s="1860" t="s">
        <v>22</v>
      </c>
      <c r="I285" s="1860" t="s">
        <v>918</v>
      </c>
    </row>
    <row customHeight="1" ht="11.25">
      <c r="A286" s="1860" t="s">
        <v>2528</v>
      </c>
      <c r="B286" s="1860" t="s">
        <v>16</v>
      </c>
      <c r="C286" s="1860" t="s">
        <v>2707</v>
      </c>
      <c r="D286" s="1860" t="s">
        <v>2708</v>
      </c>
      <c r="E286" s="1860" t="s">
        <v>2701</v>
      </c>
      <c r="F286" s="1860" t="s">
        <v>2709</v>
      </c>
      <c r="G286" s="1860" t="s">
        <v>2702</v>
      </c>
      <c r="H286" s="1860" t="s">
        <v>22</v>
      </c>
      <c r="I286" s="1860" t="s">
        <v>918</v>
      </c>
    </row>
    <row customHeight="1" ht="11.25">
      <c r="A287" s="1860" t="s">
        <v>2528</v>
      </c>
      <c r="B287" s="1860" t="s">
        <v>16</v>
      </c>
      <c r="C287" s="1860" t="s">
        <v>2710</v>
      </c>
      <c r="D287" s="1860" t="s">
        <v>2711</v>
      </c>
      <c r="E287" s="1860" t="s">
        <v>2701</v>
      </c>
      <c r="F287" s="1860" t="s">
        <v>2712</v>
      </c>
      <c r="G287" s="1860" t="s">
        <v>2702</v>
      </c>
      <c r="H287" s="1860" t="s">
        <v>22</v>
      </c>
      <c r="I287" s="1860" t="s">
        <v>918</v>
      </c>
    </row>
    <row customHeight="1" ht="11.25">
      <c r="A288" s="1860" t="s">
        <v>2528</v>
      </c>
      <c r="B288" s="1860" t="s">
        <v>16</v>
      </c>
      <c r="C288" s="1860" t="s">
        <v>2713</v>
      </c>
      <c r="D288" s="1860" t="s">
        <v>2714</v>
      </c>
      <c r="E288" s="1860" t="s">
        <v>2701</v>
      </c>
      <c r="F288" s="1860" t="s">
        <v>2715</v>
      </c>
      <c r="G288" s="1860" t="s">
        <v>2702</v>
      </c>
      <c r="H288" s="1860" t="s">
        <v>22</v>
      </c>
      <c r="I288" s="1860" t="s">
        <v>918</v>
      </c>
    </row>
    <row customHeight="1" ht="11.25">
      <c r="A289" s="1860" t="s">
        <v>2528</v>
      </c>
      <c r="B289" s="1860" t="s">
        <v>16</v>
      </c>
      <c r="C289" s="1860" t="s">
        <v>2716</v>
      </c>
      <c r="D289" s="1860" t="s">
        <v>2717</v>
      </c>
      <c r="E289" s="1860" t="s">
        <v>2701</v>
      </c>
      <c r="F289" s="1860" t="s">
        <v>2718</v>
      </c>
      <c r="G289" s="1860" t="s">
        <v>2702</v>
      </c>
      <c r="H289" s="1860" t="s">
        <v>22</v>
      </c>
      <c r="I289" s="1860" t="s">
        <v>918</v>
      </c>
    </row>
    <row customHeight="1" ht="11.25">
      <c r="A290" s="1860" t="s">
        <v>2528</v>
      </c>
      <c r="B290" s="1860" t="s">
        <v>16</v>
      </c>
      <c r="C290" s="1860" t="s">
        <v>2719</v>
      </c>
      <c r="D290" s="1860" t="s">
        <v>2720</v>
      </c>
      <c r="E290" s="1860" t="s">
        <v>2701</v>
      </c>
      <c r="F290" s="1860" t="s">
        <v>2721</v>
      </c>
      <c r="G290" s="1860" t="s">
        <v>2702</v>
      </c>
      <c r="H290" s="1860" t="s">
        <v>22</v>
      </c>
      <c r="I290" s="1860" t="s">
        <v>918</v>
      </c>
    </row>
    <row customHeight="1" ht="11.25">
      <c r="A291" s="1860" t="s">
        <v>2528</v>
      </c>
      <c r="B291" s="1860" t="s">
        <v>16</v>
      </c>
      <c r="C291" s="1860" t="s">
        <v>2722</v>
      </c>
      <c r="D291" s="1860" t="s">
        <v>2723</v>
      </c>
      <c r="E291" s="1860" t="s">
        <v>2701</v>
      </c>
      <c r="F291" s="1860" t="s">
        <v>2724</v>
      </c>
      <c r="G291" s="1860" t="s">
        <v>2702</v>
      </c>
      <c r="H291" s="1860" t="s">
        <v>22</v>
      </c>
      <c r="I291" s="1860" t="s">
        <v>918</v>
      </c>
    </row>
    <row customHeight="1" ht="11.25">
      <c r="A292" s="1860" t="s">
        <v>2528</v>
      </c>
      <c r="B292" s="1860" t="s">
        <v>16</v>
      </c>
      <c r="C292" s="1860" t="s">
        <v>2725</v>
      </c>
      <c r="D292" s="1860" t="s">
        <v>2726</v>
      </c>
      <c r="E292" s="1860" t="s">
        <v>2701</v>
      </c>
      <c r="F292" s="1860" t="s">
        <v>2727</v>
      </c>
      <c r="G292" s="1860" t="s">
        <v>2702</v>
      </c>
      <c r="H292" s="1860" t="s">
        <v>22</v>
      </c>
      <c r="I292" s="1860" t="s">
        <v>918</v>
      </c>
    </row>
    <row customHeight="1" ht="11.25">
      <c r="A293" s="1860" t="s">
        <v>2528</v>
      </c>
      <c r="B293" s="1860" t="s">
        <v>16</v>
      </c>
      <c r="C293" s="1860" t="s">
        <v>2728</v>
      </c>
      <c r="D293" s="1860" t="s">
        <v>2729</v>
      </c>
      <c r="E293" s="1860" t="s">
        <v>2701</v>
      </c>
      <c r="F293" s="1860" t="s">
        <v>2730</v>
      </c>
      <c r="G293" s="1860" t="s">
        <v>2702</v>
      </c>
      <c r="H293" s="1860" t="s">
        <v>22</v>
      </c>
      <c r="I293" s="1860" t="s">
        <v>918</v>
      </c>
    </row>
    <row customHeight="1" ht="11.25">
      <c r="A294" s="1860" t="s">
        <v>2528</v>
      </c>
      <c r="B294" s="1860" t="s">
        <v>16</v>
      </c>
      <c r="C294" s="1860" t="s">
        <v>2731</v>
      </c>
      <c r="D294" s="1860" t="s">
        <v>2732</v>
      </c>
      <c r="E294" s="1860" t="s">
        <v>2701</v>
      </c>
      <c r="F294" s="1860" t="s">
        <v>2586</v>
      </c>
      <c r="G294" s="1860" t="s">
        <v>2702</v>
      </c>
      <c r="H294" s="1860" t="s">
        <v>22</v>
      </c>
      <c r="I294" s="1860" t="s">
        <v>918</v>
      </c>
    </row>
    <row customHeight="1" ht="11.25">
      <c r="A295" s="1860" t="s">
        <v>2528</v>
      </c>
      <c r="B295" s="1860" t="s">
        <v>16</v>
      </c>
      <c r="C295" s="1860" t="s">
        <v>2733</v>
      </c>
      <c r="D295" s="1860" t="s">
        <v>2734</v>
      </c>
      <c r="E295" s="1860" t="s">
        <v>2701</v>
      </c>
      <c r="F295" s="1860" t="s">
        <v>2735</v>
      </c>
      <c r="G295" s="1860" t="s">
        <v>2702</v>
      </c>
      <c r="H295" s="1860" t="s">
        <v>22</v>
      </c>
      <c r="I295" s="1860" t="s">
        <v>918</v>
      </c>
    </row>
    <row customHeight="1" ht="11.25">
      <c r="A296" s="1860" t="s">
        <v>2528</v>
      </c>
      <c r="B296" s="1860" t="s">
        <v>16</v>
      </c>
      <c r="C296" s="1860" t="s">
        <v>2736</v>
      </c>
      <c r="D296" s="1860" t="s">
        <v>2737</v>
      </c>
      <c r="E296" s="1860" t="s">
        <v>2701</v>
      </c>
      <c r="F296" s="1860" t="s">
        <v>2738</v>
      </c>
      <c r="G296" s="1860" t="s">
        <v>2702</v>
      </c>
      <c r="H296" s="1860" t="s">
        <v>22</v>
      </c>
      <c r="I296" s="1860" t="s">
        <v>918</v>
      </c>
    </row>
    <row customHeight="1" ht="11.25">
      <c r="A297" s="1860" t="s">
        <v>2528</v>
      </c>
      <c r="B297" s="1860" t="s">
        <v>16</v>
      </c>
      <c r="C297" s="1860" t="s">
        <v>2739</v>
      </c>
      <c r="D297" s="1860" t="s">
        <v>2740</v>
      </c>
      <c r="E297" s="1860" t="s">
        <v>2701</v>
      </c>
      <c r="F297" s="1860" t="s">
        <v>2741</v>
      </c>
      <c r="G297" s="1860" t="s">
        <v>2702</v>
      </c>
      <c r="H297" s="1860" t="s">
        <v>22</v>
      </c>
      <c r="I297" s="1860" t="s">
        <v>918</v>
      </c>
    </row>
    <row customHeight="1" ht="11.25">
      <c r="A298" s="1860" t="s">
        <v>2528</v>
      </c>
      <c r="B298" s="1860" t="s">
        <v>16</v>
      </c>
      <c r="C298" s="1860" t="s">
        <v>2742</v>
      </c>
      <c r="D298" s="1860" t="s">
        <v>2743</v>
      </c>
      <c r="E298" s="1860" t="s">
        <v>2701</v>
      </c>
      <c r="F298" s="1860" t="s">
        <v>2617</v>
      </c>
      <c r="G298" s="1860" t="s">
        <v>2702</v>
      </c>
      <c r="H298" s="1860" t="s">
        <v>22</v>
      </c>
      <c r="I298" s="1860" t="s">
        <v>918</v>
      </c>
    </row>
    <row customHeight="1" ht="11.25">
      <c r="A299" s="1860" t="s">
        <v>2528</v>
      </c>
      <c r="B299" s="1860" t="s">
        <v>16</v>
      </c>
      <c r="C299" s="1860" t="s">
        <v>2744</v>
      </c>
      <c r="D299" s="1860" t="s">
        <v>2745</v>
      </c>
      <c r="E299" s="1860" t="s">
        <v>2701</v>
      </c>
      <c r="F299" s="1860" t="s">
        <v>2746</v>
      </c>
      <c r="G299" s="1860" t="s">
        <v>2702</v>
      </c>
      <c r="H299" s="1860" t="s">
        <v>22</v>
      </c>
      <c r="I299" s="1860" t="s">
        <v>918</v>
      </c>
    </row>
    <row customHeight="1" ht="11.25">
      <c r="A300" s="1860" t="s">
        <v>2528</v>
      </c>
      <c r="B300" s="1860" t="s">
        <v>16</v>
      </c>
      <c r="C300" s="1860" t="s">
        <v>2747</v>
      </c>
      <c r="D300" s="1860" t="s">
        <v>2748</v>
      </c>
      <c r="E300" s="1860" t="s">
        <v>2701</v>
      </c>
      <c r="F300" s="1860" t="s">
        <v>2592</v>
      </c>
      <c r="G300" s="1860" t="s">
        <v>2702</v>
      </c>
      <c r="H300" s="1860" t="s">
        <v>22</v>
      </c>
      <c r="I300" s="1860" t="s">
        <v>918</v>
      </c>
    </row>
    <row customHeight="1" ht="11.25">
      <c r="A301" s="1860" t="s">
        <v>2528</v>
      </c>
      <c r="B301" s="1860" t="s">
        <v>16</v>
      </c>
      <c r="C301" s="1860" t="s">
        <v>2749</v>
      </c>
      <c r="D301" s="1860" t="s">
        <v>2750</v>
      </c>
      <c r="E301" s="1860" t="s">
        <v>2701</v>
      </c>
      <c r="F301" s="1860" t="s">
        <v>2751</v>
      </c>
      <c r="G301" s="1860" t="s">
        <v>2702</v>
      </c>
      <c r="H301" s="1860" t="s">
        <v>22</v>
      </c>
      <c r="I301" s="1860" t="s">
        <v>918</v>
      </c>
    </row>
    <row customHeight="1" ht="11.25">
      <c r="A302" s="1860" t="s">
        <v>2528</v>
      </c>
      <c r="B302" s="1860" t="s">
        <v>16</v>
      </c>
      <c r="C302" s="1860" t="s">
        <v>2752</v>
      </c>
      <c r="D302" s="1860" t="s">
        <v>2753</v>
      </c>
      <c r="E302" s="1860" t="s">
        <v>2701</v>
      </c>
      <c r="F302" s="1860" t="s">
        <v>2626</v>
      </c>
      <c r="G302" s="1860" t="s">
        <v>2702</v>
      </c>
      <c r="H302" s="1860" t="s">
        <v>22</v>
      </c>
      <c r="I302" s="1860" t="s">
        <v>918</v>
      </c>
    </row>
    <row customHeight="1" ht="11.25">
      <c r="A303" s="1860" t="s">
        <v>2528</v>
      </c>
      <c r="B303" s="1860" t="s">
        <v>16</v>
      </c>
      <c r="C303" s="1860" t="s">
        <v>2754</v>
      </c>
      <c r="D303" s="1860" t="s">
        <v>2755</v>
      </c>
      <c r="E303" s="1860" t="s">
        <v>2701</v>
      </c>
      <c r="F303" s="1860" t="s">
        <v>2756</v>
      </c>
      <c r="G303" s="1860" t="s">
        <v>2702</v>
      </c>
      <c r="H303" s="1860" t="s">
        <v>22</v>
      </c>
      <c r="I303" s="1860" t="s">
        <v>918</v>
      </c>
    </row>
    <row customHeight="1" ht="11.25">
      <c r="A304" s="1860" t="s">
        <v>2528</v>
      </c>
      <c r="B304" s="1860" t="s">
        <v>16</v>
      </c>
      <c r="C304" s="1860" t="s">
        <v>2757</v>
      </c>
      <c r="D304" s="1860" t="s">
        <v>2758</v>
      </c>
      <c r="E304" s="1860" t="s">
        <v>2701</v>
      </c>
      <c r="F304" s="1860" t="s">
        <v>2759</v>
      </c>
      <c r="G304" s="1860" t="s">
        <v>2702</v>
      </c>
      <c r="H304" s="1860" t="s">
        <v>22</v>
      </c>
      <c r="I304" s="1860" t="s">
        <v>918</v>
      </c>
    </row>
    <row customHeight="1" ht="11.25">
      <c r="A305" s="1860" t="s">
        <v>2528</v>
      </c>
      <c r="B305" s="1860" t="s">
        <v>16</v>
      </c>
      <c r="C305" s="1860" t="s">
        <v>2760</v>
      </c>
      <c r="D305" s="1860" t="s">
        <v>2761</v>
      </c>
      <c r="E305" s="1860" t="s">
        <v>2701</v>
      </c>
      <c r="F305" s="1860" t="s">
        <v>2762</v>
      </c>
      <c r="G305" s="1860" t="s">
        <v>2702</v>
      </c>
      <c r="H305" s="1860" t="s">
        <v>22</v>
      </c>
      <c r="I305" s="1860" t="s">
        <v>918</v>
      </c>
    </row>
    <row customHeight="1" ht="11.25">
      <c r="A306" s="1860" t="s">
        <v>2528</v>
      </c>
      <c r="B306" s="1860" t="s">
        <v>16</v>
      </c>
      <c r="C306" s="1860" t="s">
        <v>2763</v>
      </c>
      <c r="D306" s="1860" t="s">
        <v>2764</v>
      </c>
      <c r="E306" s="1860" t="s">
        <v>2701</v>
      </c>
      <c r="F306" s="1860" t="s">
        <v>2765</v>
      </c>
      <c r="G306" s="1860" t="s">
        <v>2702</v>
      </c>
      <c r="H306" s="1860" t="s">
        <v>22</v>
      </c>
      <c r="I306" s="1860" t="s">
        <v>918</v>
      </c>
    </row>
    <row customHeight="1" ht="11.25">
      <c r="A307" s="1860" t="s">
        <v>2528</v>
      </c>
      <c r="B307" s="1860" t="s">
        <v>16</v>
      </c>
      <c r="C307" s="1860" t="s">
        <v>2766</v>
      </c>
      <c r="D307" s="1860" t="s">
        <v>2767</v>
      </c>
      <c r="E307" s="1860" t="s">
        <v>2701</v>
      </c>
      <c r="F307" s="1860" t="s">
        <v>2768</v>
      </c>
      <c r="G307" s="1860" t="s">
        <v>2702</v>
      </c>
      <c r="H307" s="1860" t="s">
        <v>22</v>
      </c>
      <c r="I307" s="1860" t="s">
        <v>918</v>
      </c>
    </row>
    <row customHeight="1" ht="11.25">
      <c r="A308" s="1860" t="s">
        <v>2528</v>
      </c>
      <c r="B308" s="1860" t="s">
        <v>16</v>
      </c>
      <c r="C308" s="1860" t="s">
        <v>2769</v>
      </c>
      <c r="D308" s="1860" t="s">
        <v>2770</v>
      </c>
      <c r="E308" s="1860" t="s">
        <v>2701</v>
      </c>
      <c r="F308" s="1860" t="s">
        <v>2771</v>
      </c>
      <c r="G308" s="1860" t="s">
        <v>2702</v>
      </c>
      <c r="H308" s="1860" t="s">
        <v>22</v>
      </c>
      <c r="I308" s="1860" t="s">
        <v>918</v>
      </c>
    </row>
    <row customHeight="1" ht="11.25">
      <c r="A309" s="1860" t="s">
        <v>2528</v>
      </c>
      <c r="B309" s="1860" t="s">
        <v>16</v>
      </c>
      <c r="C309" s="1860" t="s">
        <v>2772</v>
      </c>
      <c r="D309" s="1860" t="s">
        <v>2773</v>
      </c>
      <c r="E309" s="1860" t="s">
        <v>2701</v>
      </c>
      <c r="F309" s="1860" t="s">
        <v>2774</v>
      </c>
      <c r="G309" s="1860" t="s">
        <v>2702</v>
      </c>
      <c r="H309" s="1860" t="s">
        <v>22</v>
      </c>
      <c r="I309" s="1860" t="s">
        <v>918</v>
      </c>
    </row>
    <row customHeight="1" ht="11.25">
      <c r="A310" s="1860" t="s">
        <v>2528</v>
      </c>
      <c r="B310" s="1860" t="s">
        <v>16</v>
      </c>
      <c r="C310" s="1860" t="s">
        <v>2775</v>
      </c>
      <c r="D310" s="1860" t="s">
        <v>2776</v>
      </c>
      <c r="E310" s="1860" t="s">
        <v>2701</v>
      </c>
      <c r="F310" s="1860" t="s">
        <v>2777</v>
      </c>
      <c r="G310" s="1860" t="s">
        <v>2702</v>
      </c>
      <c r="H310" s="1860" t="s">
        <v>22</v>
      </c>
      <c r="I310" s="1860" t="s">
        <v>918</v>
      </c>
    </row>
    <row customHeight="1" ht="11.25">
      <c r="A311" s="1860" t="s">
        <v>2528</v>
      </c>
      <c r="B311" s="1860" t="s">
        <v>16</v>
      </c>
      <c r="C311" s="1860" t="s">
        <v>2789</v>
      </c>
      <c r="D311" s="1860" t="s">
        <v>2790</v>
      </c>
      <c r="E311" s="1860" t="s">
        <v>2791</v>
      </c>
      <c r="F311" s="1860" t="s">
        <v>2792</v>
      </c>
      <c r="G311" s="1860" t="s">
        <v>22</v>
      </c>
      <c r="H311" s="1860" t="s">
        <v>22</v>
      </c>
      <c r="I311" s="1860" t="s">
        <v>918</v>
      </c>
    </row>
    <row customHeight="1" ht="11.25">
      <c r="A312" s="1860" t="s">
        <v>2528</v>
      </c>
      <c r="B312" s="1860" t="s">
        <v>16</v>
      </c>
      <c r="C312" s="1860" t="s">
        <v>2813</v>
      </c>
      <c r="D312" s="1860" t="s">
        <v>2814</v>
      </c>
      <c r="E312" s="1860" t="s">
        <v>2815</v>
      </c>
      <c r="F312" s="1860" t="s">
        <v>597</v>
      </c>
      <c r="G312" s="1860" t="s">
        <v>2816</v>
      </c>
      <c r="H312" s="1860" t="s">
        <v>22</v>
      </c>
      <c r="I312" s="1860" t="s">
        <v>918</v>
      </c>
    </row>
    <row customHeight="1" ht="11.25">
      <c r="A313" s="1860" t="s">
        <v>2528</v>
      </c>
      <c r="B313" s="1860" t="s">
        <v>16</v>
      </c>
      <c r="C313" s="1860" t="s">
        <v>2828</v>
      </c>
      <c r="D313" s="1860" t="s">
        <v>2829</v>
      </c>
      <c r="E313" s="1860" t="s">
        <v>2830</v>
      </c>
      <c r="F313" s="1860" t="s">
        <v>597</v>
      </c>
      <c r="G313" s="1860" t="s">
        <v>2831</v>
      </c>
      <c r="H313" s="1860" t="s">
        <v>22</v>
      </c>
      <c r="I313" s="1860" t="s">
        <v>918</v>
      </c>
    </row>
    <row customHeight="1" ht="11.25">
      <c r="A314" s="1860" t="s">
        <v>2528</v>
      </c>
      <c r="B314" s="1860" t="s">
        <v>16</v>
      </c>
      <c r="C314" s="1860" t="s">
        <v>2832</v>
      </c>
      <c r="D314" s="1860" t="s">
        <v>2833</v>
      </c>
      <c r="E314" s="1860" t="s">
        <v>2834</v>
      </c>
      <c r="F314" s="1860" t="s">
        <v>597</v>
      </c>
      <c r="G314" s="1860" t="s">
        <v>2835</v>
      </c>
      <c r="H314" s="1860" t="s">
        <v>22</v>
      </c>
      <c r="I314" s="1860" t="s">
        <v>918</v>
      </c>
    </row>
    <row customHeight="1" ht="11.25">
      <c r="A315" s="1860" t="s">
        <v>2528</v>
      </c>
      <c r="B315" s="1860" t="s">
        <v>16</v>
      </c>
      <c r="C315" s="1860" t="s">
        <v>2836</v>
      </c>
      <c r="D315" s="1860" t="s">
        <v>2837</v>
      </c>
      <c r="E315" s="1860" t="s">
        <v>2838</v>
      </c>
      <c r="F315" s="1860" t="s">
        <v>597</v>
      </c>
      <c r="G315" s="1860" t="s">
        <v>2839</v>
      </c>
      <c r="H315" s="1860" t="s">
        <v>22</v>
      </c>
      <c r="I315" s="1860" t="s">
        <v>918</v>
      </c>
    </row>
    <row customHeight="1" ht="11.25">
      <c r="A316" s="1860" t="s">
        <v>2528</v>
      </c>
      <c r="B316" s="1860" t="s">
        <v>16</v>
      </c>
      <c r="C316" s="1860" t="s">
        <v>2854</v>
      </c>
      <c r="D316" s="1860" t="s">
        <v>2855</v>
      </c>
      <c r="E316" s="1860" t="s">
        <v>2856</v>
      </c>
      <c r="F316" s="1860" t="s">
        <v>597</v>
      </c>
      <c r="G316" s="1860" t="s">
        <v>2857</v>
      </c>
      <c r="H316" s="1860" t="s">
        <v>22</v>
      </c>
      <c r="I316" s="1860" t="s">
        <v>918</v>
      </c>
    </row>
    <row customHeight="1" ht="11.25">
      <c r="A317" s="1860" t="s">
        <v>2528</v>
      </c>
      <c r="B317" s="1860" t="s">
        <v>16</v>
      </c>
      <c r="C317" s="1860" t="s">
        <v>2862</v>
      </c>
      <c r="D317" s="1860" t="s">
        <v>2863</v>
      </c>
      <c r="E317" s="1860" t="s">
        <v>2864</v>
      </c>
      <c r="F317" s="1860" t="s">
        <v>597</v>
      </c>
      <c r="G317" s="1860" t="s">
        <v>2820</v>
      </c>
      <c r="H317" s="1860" t="s">
        <v>22</v>
      </c>
      <c r="I317" s="1860" t="s">
        <v>918</v>
      </c>
    </row>
    <row customHeight="1" ht="11.25">
      <c r="A318" s="1860" t="s">
        <v>2528</v>
      </c>
      <c r="B318" s="1860" t="s">
        <v>16</v>
      </c>
      <c r="C318" s="1860" t="s">
        <v>2884</v>
      </c>
      <c r="D318" s="1860" t="s">
        <v>2885</v>
      </c>
      <c r="E318" s="1860" t="s">
        <v>2669</v>
      </c>
      <c r="F318" s="1860" t="s">
        <v>2886</v>
      </c>
      <c r="G318" s="1860" t="s">
        <v>2887</v>
      </c>
      <c r="H318" s="1860" t="s">
        <v>22</v>
      </c>
      <c r="I318" s="1860" t="s">
        <v>918</v>
      </c>
    </row>
    <row customHeight="1" ht="11.25">
      <c r="A319" s="1860" t="s">
        <v>2528</v>
      </c>
      <c r="B319" s="1860" t="s">
        <v>16</v>
      </c>
      <c r="C319" s="1860" t="s">
        <v>2888</v>
      </c>
      <c r="D319" s="1860" t="s">
        <v>2889</v>
      </c>
      <c r="E319" s="1860" t="s">
        <v>2890</v>
      </c>
      <c r="F319" s="1860" t="s">
        <v>2891</v>
      </c>
      <c r="G319" s="1860" t="s">
        <v>2892</v>
      </c>
      <c r="H319" s="1860" t="s">
        <v>22</v>
      </c>
      <c r="I319" s="1860" t="s">
        <v>918</v>
      </c>
    </row>
    <row customHeight="1" ht="11.25">
      <c r="A320" s="1860" t="s">
        <v>2528</v>
      </c>
      <c r="B320" s="1860" t="s">
        <v>16</v>
      </c>
      <c r="C320" s="1860" t="s">
        <v>2898</v>
      </c>
      <c r="D320" s="1860" t="s">
        <v>2899</v>
      </c>
      <c r="E320" s="1860" t="s">
        <v>2900</v>
      </c>
      <c r="F320" s="1860" t="s">
        <v>2577</v>
      </c>
      <c r="G320" s="1860" t="s">
        <v>2901</v>
      </c>
      <c r="H320" s="1860" t="s">
        <v>22</v>
      </c>
      <c r="I320" s="1860" t="s">
        <v>918</v>
      </c>
    </row>
    <row customHeight="1" ht="11.25">
      <c r="A321" s="1860" t="s">
        <v>2528</v>
      </c>
      <c r="B321" s="1860" t="s">
        <v>16</v>
      </c>
      <c r="C321" s="1860" t="s">
        <v>2907</v>
      </c>
      <c r="D321" s="1860" t="s">
        <v>2908</v>
      </c>
      <c r="E321" s="1860" t="s">
        <v>2909</v>
      </c>
      <c r="F321" s="1860" t="s">
        <v>2540</v>
      </c>
      <c r="G321" s="1860" t="s">
        <v>2910</v>
      </c>
      <c r="H321" s="1860" t="s">
        <v>22</v>
      </c>
      <c r="I321" s="1860" t="s">
        <v>918</v>
      </c>
    </row>
    <row customHeight="1" ht="11.25">
      <c r="A322" s="1860" t="s">
        <v>2528</v>
      </c>
      <c r="B322" s="1860" t="s">
        <v>16</v>
      </c>
      <c r="C322" s="1860" t="s">
        <v>2911</v>
      </c>
      <c r="D322" s="1860" t="s">
        <v>2912</v>
      </c>
      <c r="E322" s="1860" t="s">
        <v>2913</v>
      </c>
      <c r="F322" s="1860" t="s">
        <v>2914</v>
      </c>
      <c r="G322" s="1860" t="s">
        <v>2915</v>
      </c>
      <c r="H322" s="1860" t="s">
        <v>22</v>
      </c>
      <c r="I322" s="1860" t="s">
        <v>918</v>
      </c>
    </row>
    <row customHeight="1" ht="11.25">
      <c r="A323" s="1860" t="s">
        <v>2528</v>
      </c>
      <c r="B323" s="1860" t="s">
        <v>16</v>
      </c>
      <c r="C323" s="1860" t="s">
        <v>2916</v>
      </c>
      <c r="D323" s="1860" t="s">
        <v>2917</v>
      </c>
      <c r="E323" s="1860" t="s">
        <v>2918</v>
      </c>
      <c r="F323" s="1860" t="s">
        <v>2540</v>
      </c>
      <c r="G323" s="1860" t="s">
        <v>2919</v>
      </c>
      <c r="H323" s="1860" t="s">
        <v>22</v>
      </c>
      <c r="I323" s="1860" t="s">
        <v>918</v>
      </c>
    </row>
    <row customHeight="1" ht="11.25">
      <c r="A324" s="1860" t="s">
        <v>2528</v>
      </c>
      <c r="B324" s="1860" t="s">
        <v>16</v>
      </c>
      <c r="C324" s="1860" t="s">
        <v>2920</v>
      </c>
      <c r="D324" s="1860" t="s">
        <v>2921</v>
      </c>
      <c r="E324" s="1860" t="s">
        <v>2922</v>
      </c>
      <c r="F324" s="1860" t="s">
        <v>2540</v>
      </c>
      <c r="G324" s="1860" t="s">
        <v>2923</v>
      </c>
      <c r="H324" s="1860" t="s">
        <v>22</v>
      </c>
      <c r="I324" s="1860" t="s">
        <v>918</v>
      </c>
    </row>
    <row customHeight="1" ht="11.25">
      <c r="A325" s="1860" t="s">
        <v>2528</v>
      </c>
      <c r="B325" s="1860" t="s">
        <v>16</v>
      </c>
      <c r="C325" s="1860" t="s">
        <v>2924</v>
      </c>
      <c r="D325" s="1860" t="s">
        <v>2925</v>
      </c>
      <c r="E325" s="1860" t="s">
        <v>2926</v>
      </c>
      <c r="F325" s="1860" t="s">
        <v>2927</v>
      </c>
      <c r="G325" s="1860" t="s">
        <v>2928</v>
      </c>
      <c r="H325" s="1860" t="s">
        <v>22</v>
      </c>
      <c r="I325" s="1860" t="s">
        <v>918</v>
      </c>
    </row>
    <row customHeight="1" ht="11.25">
      <c r="A326" s="1860" t="s">
        <v>2528</v>
      </c>
      <c r="B326" s="1860" t="s">
        <v>16</v>
      </c>
      <c r="C326" s="1860" t="s">
        <v>2929</v>
      </c>
      <c r="D326" s="1860" t="s">
        <v>2930</v>
      </c>
      <c r="E326" s="1860" t="s">
        <v>2931</v>
      </c>
      <c r="F326" s="1860" t="s">
        <v>2540</v>
      </c>
      <c r="G326" s="1860" t="s">
        <v>2932</v>
      </c>
      <c r="H326" s="1860" t="s">
        <v>22</v>
      </c>
      <c r="I326" s="1860" t="s">
        <v>918</v>
      </c>
    </row>
    <row customHeight="1" ht="11.25">
      <c r="A327" s="1860" t="s">
        <v>2528</v>
      </c>
      <c r="B327" s="1860" t="s">
        <v>16</v>
      </c>
      <c r="C327" s="1860" t="s">
        <v>2933</v>
      </c>
      <c r="D327" s="1860" t="s">
        <v>2934</v>
      </c>
      <c r="E327" s="1860" t="s">
        <v>2935</v>
      </c>
      <c r="F327" s="1860" t="s">
        <v>2936</v>
      </c>
      <c r="G327" s="1860" t="s">
        <v>2937</v>
      </c>
      <c r="H327" s="1860" t="s">
        <v>22</v>
      </c>
      <c r="I327" s="1860" t="s">
        <v>918</v>
      </c>
    </row>
    <row customHeight="1" ht="11.25">
      <c r="A328" s="1860" t="s">
        <v>2528</v>
      </c>
      <c r="B328" s="1860" t="s">
        <v>16</v>
      </c>
      <c r="C328" s="1860" t="s">
        <v>2938</v>
      </c>
      <c r="D328" s="1860" t="s">
        <v>2939</v>
      </c>
      <c r="E328" s="1860" t="s">
        <v>2940</v>
      </c>
      <c r="F328" s="1860" t="s">
        <v>2540</v>
      </c>
      <c r="G328" s="1860" t="s">
        <v>2941</v>
      </c>
      <c r="H328" s="1860" t="s">
        <v>22</v>
      </c>
      <c r="I328" s="1860" t="s">
        <v>918</v>
      </c>
    </row>
    <row customHeight="1" ht="11.25">
      <c r="A329" s="1860" t="s">
        <v>2528</v>
      </c>
      <c r="B329" s="1860" t="s">
        <v>16</v>
      </c>
      <c r="C329" s="1860" t="s">
        <v>2942</v>
      </c>
      <c r="D329" s="1860" t="s">
        <v>2943</v>
      </c>
      <c r="E329" s="1860" t="s">
        <v>2944</v>
      </c>
      <c r="F329" s="1860" t="s">
        <v>2540</v>
      </c>
      <c r="G329" s="1860" t="s">
        <v>2945</v>
      </c>
      <c r="H329" s="1860" t="s">
        <v>22</v>
      </c>
      <c r="I329" s="1860" t="s">
        <v>918</v>
      </c>
    </row>
    <row customHeight="1" ht="11.25">
      <c r="A330" s="1860" t="s">
        <v>2528</v>
      </c>
      <c r="B330" s="1860" t="s">
        <v>16</v>
      </c>
      <c r="C330" s="1860" t="s">
        <v>2966</v>
      </c>
      <c r="D330" s="1860" t="s">
        <v>2967</v>
      </c>
      <c r="E330" s="1860" t="s">
        <v>2968</v>
      </c>
      <c r="F330" s="1860" t="s">
        <v>2540</v>
      </c>
      <c r="G330" s="1860" t="s">
        <v>2969</v>
      </c>
      <c r="H330" s="1860" t="s">
        <v>22</v>
      </c>
      <c r="I330" s="1860" t="s">
        <v>918</v>
      </c>
    </row>
    <row customHeight="1" ht="11.25">
      <c r="A331" s="1860" t="s">
        <v>2528</v>
      </c>
      <c r="B331" s="1860" t="s">
        <v>16</v>
      </c>
      <c r="C331" s="1860" t="s">
        <v>2970</v>
      </c>
      <c r="D331" s="1860" t="s">
        <v>2971</v>
      </c>
      <c r="E331" s="1860" t="s">
        <v>2972</v>
      </c>
      <c r="F331" s="1860" t="s">
        <v>2563</v>
      </c>
      <c r="G331" s="1860" t="s">
        <v>2973</v>
      </c>
      <c r="H331" s="1860" t="s">
        <v>22</v>
      </c>
      <c r="I331" s="1860" t="s">
        <v>918</v>
      </c>
    </row>
    <row customHeight="1" ht="11.25">
      <c r="A332" s="1860" t="s">
        <v>2528</v>
      </c>
      <c r="B332" s="1860" t="s">
        <v>16</v>
      </c>
      <c r="C332" s="1860" t="s">
        <v>2974</v>
      </c>
      <c r="D332" s="1860" t="s">
        <v>2975</v>
      </c>
      <c r="E332" s="1860" t="s">
        <v>2976</v>
      </c>
      <c r="F332" s="1860" t="s">
        <v>2977</v>
      </c>
      <c r="G332" s="1860" t="s">
        <v>2978</v>
      </c>
      <c r="H332" s="1860" t="s">
        <v>22</v>
      </c>
      <c r="I332" s="1860" t="s">
        <v>918</v>
      </c>
    </row>
    <row customHeight="1" ht="11.25">
      <c r="A333" s="1860" t="s">
        <v>2528</v>
      </c>
      <c r="B333" s="1860" t="s">
        <v>16</v>
      </c>
      <c r="C333" s="1860" t="s">
        <v>2988</v>
      </c>
      <c r="D333" s="1860" t="s">
        <v>2989</v>
      </c>
      <c r="E333" s="1860" t="s">
        <v>2990</v>
      </c>
      <c r="F333" s="1860" t="s">
        <v>2540</v>
      </c>
      <c r="G333" s="1860" t="s">
        <v>2991</v>
      </c>
      <c r="H333" s="1860" t="s">
        <v>22</v>
      </c>
      <c r="I333" s="1860" t="s">
        <v>918</v>
      </c>
    </row>
    <row customHeight="1" ht="11.25">
      <c r="A334" s="1860" t="s">
        <v>2528</v>
      </c>
      <c r="B334" s="1860" t="s">
        <v>16</v>
      </c>
      <c r="C334" s="1860" t="s">
        <v>2997</v>
      </c>
      <c r="D334" s="1860" t="s">
        <v>2998</v>
      </c>
      <c r="E334" s="1860" t="s">
        <v>2999</v>
      </c>
      <c r="F334" s="1860" t="s">
        <v>2995</v>
      </c>
      <c r="G334" s="1860" t="s">
        <v>3000</v>
      </c>
      <c r="H334" s="1860" t="s">
        <v>22</v>
      </c>
      <c r="I334" s="1860" t="s">
        <v>918</v>
      </c>
    </row>
    <row customHeight="1" ht="11.25">
      <c r="A335" s="1860" t="s">
        <v>2528</v>
      </c>
      <c r="B335" s="1860" t="s">
        <v>16</v>
      </c>
      <c r="C335" s="1860" t="s">
        <v>3001</v>
      </c>
      <c r="D335" s="1860" t="s">
        <v>3002</v>
      </c>
      <c r="E335" s="1860" t="s">
        <v>3003</v>
      </c>
      <c r="F335" s="1860" t="s">
        <v>2540</v>
      </c>
      <c r="G335" s="1860" t="s">
        <v>3004</v>
      </c>
      <c r="H335" s="1860" t="s">
        <v>22</v>
      </c>
      <c r="I335" s="1860" t="s">
        <v>918</v>
      </c>
    </row>
    <row customHeight="1" ht="11.25">
      <c r="A336" s="1860" t="s">
        <v>2528</v>
      </c>
      <c r="B336" s="1860" t="s">
        <v>16</v>
      </c>
      <c r="C336" s="1860" t="s">
        <v>3009</v>
      </c>
      <c r="D336" s="1860" t="s">
        <v>3010</v>
      </c>
      <c r="E336" s="1860" t="s">
        <v>3011</v>
      </c>
      <c r="F336" s="1860" t="s">
        <v>2886</v>
      </c>
      <c r="G336" s="1860" t="s">
        <v>22</v>
      </c>
      <c r="H336" s="1860" t="s">
        <v>22</v>
      </c>
      <c r="I336" s="1860" t="s">
        <v>918</v>
      </c>
    </row>
    <row customHeight="1" ht="11.25">
      <c r="A337" s="1860" t="s">
        <v>2528</v>
      </c>
      <c r="B337" s="1860" t="s">
        <v>16</v>
      </c>
      <c r="C337" s="1860" t="s">
        <v>3012</v>
      </c>
      <c r="D337" s="1860" t="s">
        <v>3013</v>
      </c>
      <c r="E337" s="1860" t="s">
        <v>3014</v>
      </c>
      <c r="F337" s="1860" t="s">
        <v>2896</v>
      </c>
      <c r="G337" s="1860" t="s">
        <v>3015</v>
      </c>
      <c r="H337" s="1860" t="s">
        <v>22</v>
      </c>
      <c r="I337" s="1860" t="s">
        <v>918</v>
      </c>
    </row>
    <row customHeight="1" ht="11.25">
      <c r="A338" s="1860" t="s">
        <v>2528</v>
      </c>
      <c r="B338" s="1860" t="s">
        <v>16</v>
      </c>
      <c r="C338" s="1860" t="s">
        <v>3016</v>
      </c>
      <c r="D338" s="1860" t="s">
        <v>3017</v>
      </c>
      <c r="E338" s="1860" t="s">
        <v>3018</v>
      </c>
      <c r="F338" s="1860" t="s">
        <v>2905</v>
      </c>
      <c r="G338" s="1860" t="s">
        <v>3019</v>
      </c>
      <c r="H338" s="1860" t="s">
        <v>22</v>
      </c>
      <c r="I338" s="1860" t="s">
        <v>918</v>
      </c>
    </row>
    <row customHeight="1" ht="11.25">
      <c r="A339" s="1860" t="s">
        <v>2528</v>
      </c>
      <c r="B339" s="1860" t="s">
        <v>16</v>
      </c>
      <c r="C339" s="1860" t="s">
        <v>3020</v>
      </c>
      <c r="D339" s="1860" t="s">
        <v>3021</v>
      </c>
      <c r="E339" s="1860" t="s">
        <v>3022</v>
      </c>
      <c r="F339" s="1860" t="s">
        <v>2540</v>
      </c>
      <c r="G339" s="1860" t="s">
        <v>3023</v>
      </c>
      <c r="H339" s="1860" t="s">
        <v>22</v>
      </c>
      <c r="I339" s="1860" t="s">
        <v>918</v>
      </c>
    </row>
    <row customHeight="1" ht="11.25">
      <c r="A340" s="1860" t="s">
        <v>2528</v>
      </c>
      <c r="B340" s="1860" t="s">
        <v>16</v>
      </c>
      <c r="C340" s="1860" t="s">
        <v>3024</v>
      </c>
      <c r="D340" s="1860" t="s">
        <v>3025</v>
      </c>
      <c r="E340" s="1860" t="s">
        <v>3026</v>
      </c>
      <c r="F340" s="1860" t="s">
        <v>3027</v>
      </c>
      <c r="G340" s="1860" t="s">
        <v>3028</v>
      </c>
      <c r="H340" s="1860" t="s">
        <v>22</v>
      </c>
      <c r="I340" s="1860" t="s">
        <v>918</v>
      </c>
    </row>
    <row customHeight="1" ht="11.25">
      <c r="A341" s="1860" t="s">
        <v>2528</v>
      </c>
      <c r="B341" s="1860" t="s">
        <v>16</v>
      </c>
      <c r="C341" s="1860" t="s">
        <v>3029</v>
      </c>
      <c r="D341" s="1860" t="s">
        <v>3030</v>
      </c>
      <c r="E341" s="1860" t="s">
        <v>3031</v>
      </c>
      <c r="F341" s="1860" t="s">
        <v>2540</v>
      </c>
      <c r="G341" s="1860" t="s">
        <v>3032</v>
      </c>
      <c r="H341" s="1860" t="s">
        <v>22</v>
      </c>
      <c r="I341" s="1860" t="s">
        <v>918</v>
      </c>
    </row>
    <row customHeight="1" ht="11.25">
      <c r="A342" s="1860" t="s">
        <v>2528</v>
      </c>
      <c r="B342" s="1860" t="s">
        <v>16</v>
      </c>
      <c r="C342" s="1860" t="s">
        <v>3033</v>
      </c>
      <c r="D342" s="1860" t="s">
        <v>3034</v>
      </c>
      <c r="E342" s="1860" t="s">
        <v>3035</v>
      </c>
      <c r="F342" s="1860" t="s">
        <v>2540</v>
      </c>
      <c r="G342" s="1860" t="s">
        <v>3036</v>
      </c>
      <c r="H342" s="1860" t="s">
        <v>22</v>
      </c>
      <c r="I342" s="1860" t="s">
        <v>918</v>
      </c>
    </row>
    <row customHeight="1" ht="11.25">
      <c r="A343" s="1860" t="s">
        <v>2528</v>
      </c>
      <c r="B343" s="1860" t="s">
        <v>16</v>
      </c>
      <c r="C343" s="1860" t="s">
        <v>3037</v>
      </c>
      <c r="D343" s="1860" t="s">
        <v>3038</v>
      </c>
      <c r="E343" s="1860" t="s">
        <v>3039</v>
      </c>
      <c r="F343" s="1860" t="s">
        <v>2540</v>
      </c>
      <c r="G343" s="1860" t="s">
        <v>3036</v>
      </c>
      <c r="H343" s="1860" t="s">
        <v>22</v>
      </c>
      <c r="I343" s="1860" t="s">
        <v>918</v>
      </c>
    </row>
    <row customHeight="1" ht="11.25">
      <c r="A344" s="1860" t="s">
        <v>2528</v>
      </c>
      <c r="B344" s="1860" t="s">
        <v>16</v>
      </c>
      <c r="C344" s="1860" t="s">
        <v>3040</v>
      </c>
      <c r="D344" s="1860" t="s">
        <v>3041</v>
      </c>
      <c r="E344" s="1860" t="s">
        <v>3042</v>
      </c>
      <c r="F344" s="1860" t="s">
        <v>2540</v>
      </c>
      <c r="G344" s="1860" t="s">
        <v>3043</v>
      </c>
      <c r="H344" s="1860" t="s">
        <v>22</v>
      </c>
      <c r="I344" s="1860" t="s">
        <v>918</v>
      </c>
    </row>
    <row customHeight="1" ht="11.25">
      <c r="A345" s="1860" t="s">
        <v>2528</v>
      </c>
      <c r="B345" s="1860" t="s">
        <v>16</v>
      </c>
      <c r="C345" s="1860" t="s">
        <v>3052</v>
      </c>
      <c r="D345" s="1860" t="s">
        <v>3053</v>
      </c>
      <c r="E345" s="1860" t="s">
        <v>3054</v>
      </c>
      <c r="F345" s="1860" t="s">
        <v>2927</v>
      </c>
      <c r="G345" s="1860" t="s">
        <v>3055</v>
      </c>
      <c r="H345" s="1860" t="s">
        <v>22</v>
      </c>
      <c r="I345" s="1860" t="s">
        <v>918</v>
      </c>
    </row>
    <row customHeight="1" ht="11.25">
      <c r="A346" s="1860" t="s">
        <v>2528</v>
      </c>
      <c r="B346" s="1860" t="s">
        <v>16</v>
      </c>
      <c r="C346" s="1860" t="s">
        <v>3064</v>
      </c>
      <c r="D346" s="1860" t="s">
        <v>3065</v>
      </c>
      <c r="E346" s="1860" t="s">
        <v>3066</v>
      </c>
      <c r="F346" s="1860" t="s">
        <v>2540</v>
      </c>
      <c r="G346" s="1860" t="s">
        <v>3067</v>
      </c>
      <c r="H346" s="1860" t="s">
        <v>22</v>
      </c>
      <c r="I346" s="1860" t="s">
        <v>918</v>
      </c>
    </row>
    <row customHeight="1" ht="11.25">
      <c r="A347" s="1860" t="s">
        <v>2528</v>
      </c>
      <c r="B347" s="1860" t="s">
        <v>16</v>
      </c>
      <c r="C347" s="1860" t="s">
        <v>3068</v>
      </c>
      <c r="D347" s="1860" t="s">
        <v>3069</v>
      </c>
      <c r="E347" s="1860" t="s">
        <v>3070</v>
      </c>
      <c r="F347" s="1860" t="s">
        <v>3071</v>
      </c>
      <c r="G347" s="1860" t="s">
        <v>3072</v>
      </c>
      <c r="H347" s="1860" t="s">
        <v>22</v>
      </c>
      <c r="I347" s="1860" t="s">
        <v>918</v>
      </c>
    </row>
    <row customHeight="1" ht="11.25">
      <c r="A348" s="1860" t="s">
        <v>2528</v>
      </c>
      <c r="B348" s="1860" t="s">
        <v>16</v>
      </c>
      <c r="C348" s="1860" t="s">
        <v>3073</v>
      </c>
      <c r="D348" s="1860" t="s">
        <v>3074</v>
      </c>
      <c r="E348" s="1860" t="s">
        <v>3075</v>
      </c>
      <c r="F348" s="1860" t="s">
        <v>2949</v>
      </c>
      <c r="G348" s="1860" t="s">
        <v>3076</v>
      </c>
      <c r="H348" s="1860" t="s">
        <v>22</v>
      </c>
      <c r="I348" s="1860" t="s">
        <v>918</v>
      </c>
    </row>
    <row customHeight="1" ht="11.25">
      <c r="A349" s="1860" t="s">
        <v>2528</v>
      </c>
      <c r="B349" s="1860" t="s">
        <v>16</v>
      </c>
      <c r="C349" s="1860" t="s">
        <v>3089</v>
      </c>
      <c r="D349" s="1860" t="s">
        <v>3090</v>
      </c>
      <c r="E349" s="1860" t="s">
        <v>3091</v>
      </c>
      <c r="F349" s="1860" t="s">
        <v>2540</v>
      </c>
      <c r="G349" s="1860" t="s">
        <v>2897</v>
      </c>
      <c r="H349" s="1860" t="s">
        <v>22</v>
      </c>
      <c r="I349" s="1860" t="s">
        <v>918</v>
      </c>
    </row>
    <row customHeight="1" ht="11.25">
      <c r="A350" s="1860" t="s">
        <v>2528</v>
      </c>
      <c r="B350" s="1860" t="s">
        <v>16</v>
      </c>
      <c r="C350" s="1860" t="s">
        <v>3092</v>
      </c>
      <c r="D350" s="1860" t="s">
        <v>3093</v>
      </c>
      <c r="E350" s="1860" t="s">
        <v>3094</v>
      </c>
      <c r="F350" s="1860" t="s">
        <v>2540</v>
      </c>
      <c r="G350" s="1860" t="s">
        <v>3095</v>
      </c>
      <c r="H350" s="1860" t="s">
        <v>22</v>
      </c>
      <c r="I350" s="1860" t="s">
        <v>918</v>
      </c>
    </row>
    <row customHeight="1" ht="11.25">
      <c r="A351" s="1860" t="s">
        <v>2528</v>
      </c>
      <c r="B351" s="1860" t="s">
        <v>16</v>
      </c>
      <c r="C351" s="1860" t="s">
        <v>3096</v>
      </c>
      <c r="D351" s="1860" t="s">
        <v>3097</v>
      </c>
      <c r="E351" s="1860" t="s">
        <v>3098</v>
      </c>
      <c r="F351" s="1860" t="s">
        <v>2577</v>
      </c>
      <c r="G351" s="1860" t="s">
        <v>3099</v>
      </c>
      <c r="H351" s="1860" t="s">
        <v>22</v>
      </c>
      <c r="I351" s="1860" t="s">
        <v>918</v>
      </c>
    </row>
    <row customHeight="1" ht="11.25">
      <c r="A352" s="1860" t="s">
        <v>2528</v>
      </c>
      <c r="B352" s="1860" t="s">
        <v>16</v>
      </c>
      <c r="C352" s="1860" t="s">
        <v>3108</v>
      </c>
      <c r="D352" s="1860" t="s">
        <v>3109</v>
      </c>
      <c r="E352" s="1860" t="s">
        <v>3110</v>
      </c>
      <c r="F352" s="1860" t="s">
        <v>2914</v>
      </c>
      <c r="G352" s="1860" t="s">
        <v>3111</v>
      </c>
      <c r="H352" s="1860" t="s">
        <v>22</v>
      </c>
      <c r="I352" s="1860" t="s">
        <v>918</v>
      </c>
    </row>
    <row customHeight="1" ht="11.25">
      <c r="A353" s="1860" t="s">
        <v>2528</v>
      </c>
      <c r="B353" s="1860" t="s">
        <v>16</v>
      </c>
      <c r="C353" s="1860" t="s">
        <v>3112</v>
      </c>
      <c r="D353" s="1860" t="s">
        <v>3113</v>
      </c>
      <c r="E353" s="1860" t="s">
        <v>3114</v>
      </c>
      <c r="F353" s="1860" t="s">
        <v>2577</v>
      </c>
      <c r="G353" s="1860" t="s">
        <v>3115</v>
      </c>
      <c r="H353" s="1860" t="s">
        <v>22</v>
      </c>
      <c r="I353" s="1860" t="s">
        <v>918</v>
      </c>
    </row>
    <row customHeight="1" ht="11.25">
      <c r="A354" s="1860" t="s">
        <v>2528</v>
      </c>
      <c r="B354" s="1860" t="s">
        <v>16</v>
      </c>
      <c r="C354" s="1860" t="s">
        <v>3116</v>
      </c>
      <c r="D354" s="1860" t="s">
        <v>3117</v>
      </c>
      <c r="E354" s="1860" t="s">
        <v>3118</v>
      </c>
      <c r="F354" s="1860" t="s">
        <v>3119</v>
      </c>
      <c r="G354" s="1860" t="s">
        <v>3120</v>
      </c>
      <c r="H354" s="1860" t="s">
        <v>22</v>
      </c>
      <c r="I354" s="1860" t="s">
        <v>918</v>
      </c>
    </row>
    <row customHeight="1" ht="11.25">
      <c r="A355" s="1860" t="s">
        <v>2528</v>
      </c>
      <c r="B355" s="1860" t="s">
        <v>16</v>
      </c>
      <c r="C355" s="1860" t="s">
        <v>3121</v>
      </c>
      <c r="D355" s="1860" t="s">
        <v>3122</v>
      </c>
      <c r="E355" s="1860" t="s">
        <v>3123</v>
      </c>
      <c r="F355" s="1860" t="s">
        <v>3124</v>
      </c>
      <c r="G355" s="1860" t="s">
        <v>3125</v>
      </c>
      <c r="H355" s="1860" t="s">
        <v>22</v>
      </c>
      <c r="I355" s="1860" t="s">
        <v>918</v>
      </c>
    </row>
    <row customHeight="1" ht="11.25">
      <c r="A356" s="1860" t="s">
        <v>2528</v>
      </c>
      <c r="B356" s="1860" t="s">
        <v>16</v>
      </c>
      <c r="C356" s="1860" t="s">
        <v>3126</v>
      </c>
      <c r="D356" s="1860" t="s">
        <v>3127</v>
      </c>
      <c r="E356" s="1860" t="s">
        <v>3128</v>
      </c>
      <c r="F356" s="1860" t="s">
        <v>3027</v>
      </c>
      <c r="G356" s="1860" t="s">
        <v>3129</v>
      </c>
      <c r="H356" s="1860" t="s">
        <v>22</v>
      </c>
      <c r="I356" s="1860" t="s">
        <v>918</v>
      </c>
    </row>
    <row customHeight="1" ht="11.25">
      <c r="A357" s="1860" t="s">
        <v>2528</v>
      </c>
      <c r="B357" s="1860" t="s">
        <v>16</v>
      </c>
      <c r="C357" s="1860" t="s">
        <v>3130</v>
      </c>
      <c r="D357" s="1860" t="s">
        <v>3131</v>
      </c>
      <c r="E357" s="1860" t="s">
        <v>3132</v>
      </c>
      <c r="F357" s="1860" t="s">
        <v>2540</v>
      </c>
      <c r="G357" s="1860" t="s">
        <v>3133</v>
      </c>
      <c r="H357" s="1860" t="s">
        <v>22</v>
      </c>
      <c r="I357" s="1860" t="s">
        <v>918</v>
      </c>
    </row>
    <row customHeight="1" ht="11.25">
      <c r="A358" s="1860" t="s">
        <v>2528</v>
      </c>
      <c r="B358" s="1860" t="s">
        <v>16</v>
      </c>
      <c r="C358" s="1860" t="s">
        <v>3134</v>
      </c>
      <c r="D358" s="1860" t="s">
        <v>3135</v>
      </c>
      <c r="E358" s="1860" t="s">
        <v>3136</v>
      </c>
      <c r="F358" s="1860" t="s">
        <v>2577</v>
      </c>
      <c r="G358" s="1860" t="s">
        <v>3137</v>
      </c>
      <c r="H358" s="1860" t="s">
        <v>22</v>
      </c>
      <c r="I358" s="1860" t="s">
        <v>918</v>
      </c>
    </row>
    <row customHeight="1" ht="11.25">
      <c r="A359" s="1860" t="s">
        <v>2528</v>
      </c>
      <c r="B359" s="1860" t="s">
        <v>16</v>
      </c>
      <c r="C359" s="1860" t="s">
        <v>3138</v>
      </c>
      <c r="D359" s="1860" t="s">
        <v>3139</v>
      </c>
      <c r="E359" s="1860" t="s">
        <v>3140</v>
      </c>
      <c r="F359" s="1860" t="s">
        <v>2540</v>
      </c>
      <c r="G359" s="1860" t="s">
        <v>3141</v>
      </c>
      <c r="H359" s="1860" t="s">
        <v>22</v>
      </c>
      <c r="I359" s="1860" t="s">
        <v>918</v>
      </c>
    </row>
    <row customHeight="1" ht="11.25">
      <c r="A360" s="1860" t="s">
        <v>2528</v>
      </c>
      <c r="B360" s="1860" t="s">
        <v>16</v>
      </c>
      <c r="C360" s="1860" t="s">
        <v>3145</v>
      </c>
      <c r="D360" s="1860" t="s">
        <v>3146</v>
      </c>
      <c r="E360" s="1860" t="s">
        <v>3147</v>
      </c>
      <c r="F360" s="1860" t="s">
        <v>2949</v>
      </c>
      <c r="G360" s="1860" t="s">
        <v>3148</v>
      </c>
      <c r="H360" s="1860" t="s">
        <v>22</v>
      </c>
      <c r="I360" s="1860" t="s">
        <v>918</v>
      </c>
    </row>
    <row customHeight="1" ht="11.25">
      <c r="A361" s="1860" t="s">
        <v>2528</v>
      </c>
      <c r="B361" s="1860" t="s">
        <v>16</v>
      </c>
      <c r="C361" s="1860" t="s">
        <v>3149</v>
      </c>
      <c r="D361" s="1860" t="s">
        <v>3150</v>
      </c>
      <c r="E361" s="1860" t="s">
        <v>3151</v>
      </c>
      <c r="F361" s="1860" t="s">
        <v>2896</v>
      </c>
      <c r="G361" s="1860" t="s">
        <v>3152</v>
      </c>
      <c r="H361" s="1860" t="s">
        <v>22</v>
      </c>
      <c r="I361" s="1860" t="s">
        <v>918</v>
      </c>
    </row>
    <row customHeight="1" ht="11.25">
      <c r="A362" s="1860" t="s">
        <v>2528</v>
      </c>
      <c r="B362" s="1860" t="s">
        <v>16</v>
      </c>
      <c r="C362" s="1860" t="s">
        <v>3153</v>
      </c>
      <c r="D362" s="1860" t="s">
        <v>3154</v>
      </c>
      <c r="E362" s="1860" t="s">
        <v>3155</v>
      </c>
      <c r="F362" s="1860" t="s">
        <v>2540</v>
      </c>
      <c r="G362" s="1860" t="s">
        <v>3156</v>
      </c>
      <c r="H362" s="1860" t="s">
        <v>22</v>
      </c>
      <c r="I362" s="1860" t="s">
        <v>918</v>
      </c>
    </row>
    <row customHeight="1" ht="11.25">
      <c r="A363" s="1860" t="s">
        <v>2528</v>
      </c>
      <c r="B363" s="1860" t="s">
        <v>16</v>
      </c>
      <c r="C363" s="1860" t="s">
        <v>3157</v>
      </c>
      <c r="D363" s="1860" t="s">
        <v>3158</v>
      </c>
      <c r="E363" s="1860" t="s">
        <v>3159</v>
      </c>
      <c r="F363" s="1860" t="s">
        <v>2540</v>
      </c>
      <c r="G363" s="1860" t="s">
        <v>3160</v>
      </c>
      <c r="H363" s="1860" t="s">
        <v>22</v>
      </c>
      <c r="I363" s="1860" t="s">
        <v>918</v>
      </c>
    </row>
    <row customHeight="1" ht="11.25">
      <c r="A364" s="1860" t="s">
        <v>2528</v>
      </c>
      <c r="B364" s="1860" t="s">
        <v>16</v>
      </c>
      <c r="C364" s="1860" t="s">
        <v>3161</v>
      </c>
      <c r="D364" s="1860" t="s">
        <v>3162</v>
      </c>
      <c r="E364" s="1860" t="s">
        <v>3163</v>
      </c>
      <c r="F364" s="1860" t="s">
        <v>2577</v>
      </c>
      <c r="G364" s="1860" t="s">
        <v>3164</v>
      </c>
      <c r="H364" s="1860" t="s">
        <v>22</v>
      </c>
      <c r="I364" s="1860" t="s">
        <v>918</v>
      </c>
    </row>
    <row customHeight="1" ht="11.25">
      <c r="A365" s="1860" t="s">
        <v>2528</v>
      </c>
      <c r="B365" s="1860" t="s">
        <v>16</v>
      </c>
      <c r="C365" s="1860" t="s">
        <v>3165</v>
      </c>
      <c r="D365" s="1860" t="s">
        <v>3166</v>
      </c>
      <c r="E365" s="1860" t="s">
        <v>3167</v>
      </c>
      <c r="F365" s="1860" t="s">
        <v>2936</v>
      </c>
      <c r="G365" s="1860" t="s">
        <v>3168</v>
      </c>
      <c r="H365" s="1860" t="s">
        <v>22</v>
      </c>
      <c r="I365" s="1860" t="s">
        <v>918</v>
      </c>
    </row>
    <row customHeight="1" ht="11.25">
      <c r="A366" s="1860" t="s">
        <v>2528</v>
      </c>
      <c r="B366" s="1860" t="s">
        <v>16</v>
      </c>
      <c r="C366" s="1860" t="s">
        <v>3173</v>
      </c>
      <c r="D366" s="1860" t="s">
        <v>3174</v>
      </c>
      <c r="E366" s="1860" t="s">
        <v>3175</v>
      </c>
      <c r="F366" s="1860" t="s">
        <v>2905</v>
      </c>
      <c r="G366" s="1860" t="s">
        <v>3176</v>
      </c>
      <c r="H366" s="1860" t="s">
        <v>22</v>
      </c>
      <c r="I366" s="1860" t="s">
        <v>918</v>
      </c>
    </row>
    <row customHeight="1" ht="11.25">
      <c r="A367" s="1860" t="s">
        <v>2528</v>
      </c>
      <c r="B367" s="1860" t="s">
        <v>16</v>
      </c>
      <c r="C367" s="1860" t="s">
        <v>3196</v>
      </c>
      <c r="D367" s="1860" t="s">
        <v>3197</v>
      </c>
      <c r="E367" s="1860" t="s">
        <v>3198</v>
      </c>
      <c r="F367" s="1860" t="s">
        <v>2949</v>
      </c>
      <c r="G367" s="1860" t="s">
        <v>3199</v>
      </c>
      <c r="H367" s="1860" t="s">
        <v>22</v>
      </c>
      <c r="I367" s="1860" t="s">
        <v>918</v>
      </c>
    </row>
    <row customHeight="1" ht="11.25">
      <c r="A368" s="1860" t="s">
        <v>2528</v>
      </c>
      <c r="B368" s="1860" t="s">
        <v>16</v>
      </c>
      <c r="C368" s="1860" t="s">
        <v>3207</v>
      </c>
      <c r="D368" s="1860" t="s">
        <v>3208</v>
      </c>
      <c r="E368" s="1860" t="s">
        <v>3209</v>
      </c>
      <c r="F368" s="1860" t="s">
        <v>2886</v>
      </c>
      <c r="G368" s="1860" t="s">
        <v>3210</v>
      </c>
      <c r="H368" s="1860" t="s">
        <v>22</v>
      </c>
      <c r="I368" s="1860" t="s">
        <v>918</v>
      </c>
    </row>
    <row customHeight="1" ht="11.25">
      <c r="A369" s="1860" t="s">
        <v>2528</v>
      </c>
      <c r="B369" s="1860" t="s">
        <v>16</v>
      </c>
      <c r="C369" s="1860" t="s">
        <v>3215</v>
      </c>
      <c r="D369" s="1860" t="s">
        <v>3216</v>
      </c>
      <c r="E369" s="1860" t="s">
        <v>3217</v>
      </c>
      <c r="F369" s="1860" t="s">
        <v>2540</v>
      </c>
      <c r="G369" s="1860" t="s">
        <v>3218</v>
      </c>
      <c r="H369" s="1860" t="s">
        <v>22</v>
      </c>
      <c r="I369" s="1860" t="s">
        <v>918</v>
      </c>
    </row>
    <row customHeight="1" ht="11.25">
      <c r="A370" s="1860" t="s">
        <v>2528</v>
      </c>
      <c r="B370" s="1860" t="s">
        <v>16</v>
      </c>
      <c r="C370" s="1860" t="s">
        <v>3223</v>
      </c>
      <c r="D370" s="1860" t="s">
        <v>3224</v>
      </c>
      <c r="E370" s="1860" t="s">
        <v>3225</v>
      </c>
      <c r="F370" s="1860" t="s">
        <v>2896</v>
      </c>
      <c r="G370" s="1860" t="s">
        <v>3226</v>
      </c>
      <c r="H370" s="1860" t="s">
        <v>22</v>
      </c>
      <c r="I370" s="1860" t="s">
        <v>918</v>
      </c>
    </row>
    <row customHeight="1" ht="11.25">
      <c r="A371" s="1860" t="s">
        <v>2528</v>
      </c>
      <c r="B371" s="1860" t="s">
        <v>16</v>
      </c>
      <c r="C371" s="1860" t="s">
        <v>3227</v>
      </c>
      <c r="D371" s="1860" t="s">
        <v>3228</v>
      </c>
      <c r="E371" s="1860" t="s">
        <v>3229</v>
      </c>
      <c r="F371" s="1860" t="s">
        <v>2886</v>
      </c>
      <c r="G371" s="1860" t="s">
        <v>22</v>
      </c>
      <c r="H371" s="1860" t="s">
        <v>22</v>
      </c>
      <c r="I371" s="1860" t="s">
        <v>918</v>
      </c>
    </row>
    <row customHeight="1" ht="11.25">
      <c r="A372" s="1860" t="s">
        <v>2528</v>
      </c>
      <c r="B372" s="1860" t="s">
        <v>16</v>
      </c>
      <c r="C372" s="1860" t="s">
        <v>3230</v>
      </c>
      <c r="D372" s="1860" t="s">
        <v>3231</v>
      </c>
      <c r="E372" s="1860" t="s">
        <v>3232</v>
      </c>
      <c r="F372" s="1860" t="s">
        <v>2896</v>
      </c>
      <c r="G372" s="1860" t="s">
        <v>3233</v>
      </c>
      <c r="H372" s="1860" t="s">
        <v>22</v>
      </c>
      <c r="I372" s="1860" t="s">
        <v>918</v>
      </c>
    </row>
    <row customHeight="1" ht="11.25">
      <c r="A373" s="1860" t="s">
        <v>2528</v>
      </c>
      <c r="B373" s="1860" t="s">
        <v>16</v>
      </c>
      <c r="C373" s="1860" t="s">
        <v>3247</v>
      </c>
      <c r="D373" s="1860" t="s">
        <v>3248</v>
      </c>
      <c r="E373" s="1860" t="s">
        <v>3249</v>
      </c>
      <c r="F373" s="1860" t="s">
        <v>3250</v>
      </c>
      <c r="G373" s="1860" t="s">
        <v>3251</v>
      </c>
      <c r="H373" s="1860" t="s">
        <v>22</v>
      </c>
      <c r="I373" s="1860" t="s">
        <v>918</v>
      </c>
    </row>
    <row customHeight="1" ht="11.25">
      <c r="A374" s="1860" t="s">
        <v>2528</v>
      </c>
      <c r="B374" s="1860" t="s">
        <v>16</v>
      </c>
      <c r="C374" s="1860" t="s">
        <v>3256</v>
      </c>
      <c r="D374" s="1860" t="s">
        <v>3257</v>
      </c>
      <c r="E374" s="1860" t="s">
        <v>3258</v>
      </c>
      <c r="F374" s="1860" t="s">
        <v>2896</v>
      </c>
      <c r="G374" s="1860" t="s">
        <v>3259</v>
      </c>
      <c r="H374" s="1860" t="s">
        <v>22</v>
      </c>
      <c r="I374" s="1860" t="s">
        <v>918</v>
      </c>
    </row>
    <row customHeight="1" ht="11.25">
      <c r="A375" s="1860" t="s">
        <v>2528</v>
      </c>
      <c r="B375" s="1860" t="s">
        <v>16</v>
      </c>
      <c r="C375" s="1860" t="s">
        <v>3260</v>
      </c>
      <c r="D375" s="1860" t="s">
        <v>3261</v>
      </c>
      <c r="E375" s="1860" t="s">
        <v>3262</v>
      </c>
      <c r="F375" s="1860" t="s">
        <v>2886</v>
      </c>
      <c r="G375" s="1860" t="s">
        <v>3263</v>
      </c>
      <c r="H375" s="1860" t="s">
        <v>22</v>
      </c>
      <c r="I375" s="1860" t="s">
        <v>918</v>
      </c>
    </row>
    <row customHeight="1" ht="11.25">
      <c r="A376" s="1860" t="s">
        <v>2528</v>
      </c>
      <c r="B376" s="1860" t="s">
        <v>16</v>
      </c>
      <c r="C376" s="1860" t="s">
        <v>3264</v>
      </c>
      <c r="D376" s="1860" t="s">
        <v>3265</v>
      </c>
      <c r="E376" s="1860" t="s">
        <v>3266</v>
      </c>
      <c r="F376" s="1860" t="s">
        <v>2540</v>
      </c>
      <c r="G376" s="1860" t="s">
        <v>3267</v>
      </c>
      <c r="H376" s="1860" t="s">
        <v>22</v>
      </c>
      <c r="I376" s="1860" t="s">
        <v>918</v>
      </c>
    </row>
    <row customHeight="1" ht="11.25">
      <c r="A377" s="1860" t="s">
        <v>2528</v>
      </c>
      <c r="B377" s="1860" t="s">
        <v>16</v>
      </c>
      <c r="C377" s="1860" t="s">
        <v>3276</v>
      </c>
      <c r="D377" s="1860" t="s">
        <v>3277</v>
      </c>
      <c r="E377" s="1860" t="s">
        <v>3278</v>
      </c>
      <c r="F377" s="1860" t="s">
        <v>2540</v>
      </c>
      <c r="G377" s="1860" t="s">
        <v>3279</v>
      </c>
      <c r="H377" s="1860" t="s">
        <v>22</v>
      </c>
      <c r="I377" s="1860" t="s">
        <v>918</v>
      </c>
    </row>
    <row customHeight="1" ht="11.25">
      <c r="A378" s="1860" t="s">
        <v>2528</v>
      </c>
      <c r="B378" s="1860" t="s">
        <v>16</v>
      </c>
      <c r="C378" s="1860" t="s">
        <v>3292</v>
      </c>
      <c r="D378" s="1860" t="s">
        <v>3293</v>
      </c>
      <c r="E378" s="1860" t="s">
        <v>3294</v>
      </c>
      <c r="F378" s="1860" t="s">
        <v>2540</v>
      </c>
      <c r="G378" s="1860" t="s">
        <v>3295</v>
      </c>
      <c r="H378" s="1860" t="s">
        <v>22</v>
      </c>
      <c r="I378" s="1860" t="s">
        <v>918</v>
      </c>
    </row>
    <row customHeight="1" ht="11.25">
      <c r="A379" s="1860" t="s">
        <v>2528</v>
      </c>
      <c r="B379" s="1860" t="s">
        <v>16</v>
      </c>
      <c r="C379" s="1860" t="s">
        <v>3296</v>
      </c>
      <c r="D379" s="1860" t="s">
        <v>3297</v>
      </c>
      <c r="E379" s="1860" t="s">
        <v>3298</v>
      </c>
      <c r="F379" s="1860" t="s">
        <v>2540</v>
      </c>
      <c r="G379" s="1860" t="s">
        <v>3299</v>
      </c>
      <c r="H379" s="1860" t="s">
        <v>22</v>
      </c>
      <c r="I379" s="1860" t="s">
        <v>918</v>
      </c>
    </row>
    <row customHeight="1" ht="11.25">
      <c r="A380" s="1860" t="s">
        <v>2528</v>
      </c>
      <c r="B380" s="1860" t="s">
        <v>16</v>
      </c>
      <c r="C380" s="1860" t="s">
        <v>3300</v>
      </c>
      <c r="D380" s="1860" t="s">
        <v>3301</v>
      </c>
      <c r="E380" s="1860" t="s">
        <v>3302</v>
      </c>
      <c r="F380" s="1860" t="s">
        <v>2540</v>
      </c>
      <c r="G380" s="1860" t="s">
        <v>3303</v>
      </c>
      <c r="H380" s="1860" t="s">
        <v>22</v>
      </c>
      <c r="I380" s="1860" t="s">
        <v>918</v>
      </c>
    </row>
    <row customHeight="1" ht="11.25">
      <c r="A381" s="1860" t="s">
        <v>2528</v>
      </c>
      <c r="B381" s="1860" t="s">
        <v>16</v>
      </c>
      <c r="C381" s="1860" t="s">
        <v>3304</v>
      </c>
      <c r="D381" s="1860" t="s">
        <v>3305</v>
      </c>
      <c r="E381" s="1860" t="s">
        <v>3306</v>
      </c>
      <c r="F381" s="1860" t="s">
        <v>2540</v>
      </c>
      <c r="G381" s="1860" t="s">
        <v>3307</v>
      </c>
      <c r="H381" s="1860" t="s">
        <v>22</v>
      </c>
      <c r="I381" s="1860" t="s">
        <v>918</v>
      </c>
    </row>
    <row customHeight="1" ht="11.25">
      <c r="A382" s="1860" t="s">
        <v>2528</v>
      </c>
      <c r="B382" s="1860" t="s">
        <v>16</v>
      </c>
      <c r="C382" s="1860" t="s">
        <v>3308</v>
      </c>
      <c r="D382" s="1860" t="s">
        <v>3309</v>
      </c>
      <c r="E382" s="1860" t="s">
        <v>3310</v>
      </c>
      <c r="F382" s="1860" t="s">
        <v>2540</v>
      </c>
      <c r="G382" s="1860" t="s">
        <v>3311</v>
      </c>
      <c r="H382" s="1860" t="s">
        <v>22</v>
      </c>
      <c r="I382" s="1860" t="s">
        <v>918</v>
      </c>
    </row>
    <row customHeight="1" ht="11.25">
      <c r="A383" s="1860" t="s">
        <v>2528</v>
      </c>
      <c r="B383" s="1860" t="s">
        <v>16</v>
      </c>
      <c r="C383" s="1860" t="s">
        <v>3312</v>
      </c>
      <c r="D383" s="1860" t="s">
        <v>3313</v>
      </c>
      <c r="E383" s="1860" t="s">
        <v>3314</v>
      </c>
      <c r="F383" s="1860" t="s">
        <v>2540</v>
      </c>
      <c r="G383" s="1860" t="s">
        <v>3315</v>
      </c>
      <c r="H383" s="1860" t="s">
        <v>22</v>
      </c>
      <c r="I383" s="1860" t="s">
        <v>918</v>
      </c>
    </row>
    <row customHeight="1" ht="11.25">
      <c r="A384" s="1860" t="s">
        <v>2528</v>
      </c>
      <c r="B384" s="1860" t="s">
        <v>16</v>
      </c>
      <c r="C384" s="1860" t="s">
        <v>3320</v>
      </c>
      <c r="D384" s="1860" t="s">
        <v>3321</v>
      </c>
      <c r="E384" s="1860" t="s">
        <v>3322</v>
      </c>
      <c r="F384" s="1860" t="s">
        <v>2886</v>
      </c>
      <c r="G384" s="1860" t="s">
        <v>3323</v>
      </c>
      <c r="H384" s="1860" t="s">
        <v>22</v>
      </c>
      <c r="I384" s="1860" t="s">
        <v>918</v>
      </c>
    </row>
    <row customHeight="1" ht="11.25">
      <c r="A385" s="1860" t="s">
        <v>2528</v>
      </c>
      <c r="B385" s="1860" t="s">
        <v>16</v>
      </c>
      <c r="C385" s="1860" t="s">
        <v>3329</v>
      </c>
      <c r="D385" s="1860" t="s">
        <v>3330</v>
      </c>
      <c r="E385" s="1860" t="s">
        <v>3331</v>
      </c>
      <c r="F385" s="1860" t="s">
        <v>2540</v>
      </c>
      <c r="G385" s="1860" t="s">
        <v>3332</v>
      </c>
      <c r="H385" s="1860" t="s">
        <v>22</v>
      </c>
      <c r="I385" s="1860" t="s">
        <v>918</v>
      </c>
    </row>
    <row customHeight="1" ht="11.25">
      <c r="A386" s="1860" t="s">
        <v>2528</v>
      </c>
      <c r="B386" s="1860" t="s">
        <v>16</v>
      </c>
      <c r="C386" s="1860" t="s">
        <v>3333</v>
      </c>
      <c r="D386" s="1860" t="s">
        <v>3334</v>
      </c>
      <c r="E386" s="1860" t="s">
        <v>3335</v>
      </c>
      <c r="F386" s="1860" t="s">
        <v>2577</v>
      </c>
      <c r="G386" s="1860" t="s">
        <v>3336</v>
      </c>
      <c r="H386" s="1860" t="s">
        <v>22</v>
      </c>
      <c r="I386" s="1860" t="s">
        <v>918</v>
      </c>
    </row>
    <row customHeight="1" ht="11.25">
      <c r="A387" s="1860" t="s">
        <v>2528</v>
      </c>
      <c r="B387" s="1860" t="s">
        <v>16</v>
      </c>
      <c r="C387" s="1860" t="s">
        <v>3337</v>
      </c>
      <c r="D387" s="1860" t="s">
        <v>3338</v>
      </c>
      <c r="E387" s="1860" t="s">
        <v>3339</v>
      </c>
      <c r="F387" s="1860" t="s">
        <v>3340</v>
      </c>
      <c r="G387" s="1860" t="s">
        <v>22</v>
      </c>
      <c r="H387" s="1860" t="s">
        <v>22</v>
      </c>
      <c r="I387" s="1860" t="s">
        <v>918</v>
      </c>
    </row>
    <row customHeight="1" ht="11.25">
      <c r="A388" s="1860" t="s">
        <v>2528</v>
      </c>
      <c r="B388" s="1860" t="s">
        <v>16</v>
      </c>
      <c r="C388" s="1860" t="s">
        <v>3345</v>
      </c>
      <c r="D388" s="1860" t="s">
        <v>3346</v>
      </c>
      <c r="E388" s="1860" t="s">
        <v>3347</v>
      </c>
      <c r="F388" s="1860" t="s">
        <v>2886</v>
      </c>
      <c r="G388" s="1860" t="s">
        <v>3348</v>
      </c>
      <c r="H388" s="1860" t="s">
        <v>22</v>
      </c>
      <c r="I388" s="1860" t="s">
        <v>918</v>
      </c>
    </row>
    <row customHeight="1" ht="11.25">
      <c r="A389" s="1860" t="s">
        <v>2528</v>
      </c>
      <c r="B389" s="1860" t="s">
        <v>16</v>
      </c>
      <c r="C389" s="1860" t="s">
        <v>3349</v>
      </c>
      <c r="D389" s="1860" t="s">
        <v>3350</v>
      </c>
      <c r="E389" s="1860" t="s">
        <v>3351</v>
      </c>
      <c r="F389" s="1860" t="s">
        <v>2995</v>
      </c>
      <c r="G389" s="1860" t="s">
        <v>3352</v>
      </c>
      <c r="H389" s="1860" t="s">
        <v>22</v>
      </c>
      <c r="I389" s="1860" t="s">
        <v>918</v>
      </c>
    </row>
    <row customHeight="1" ht="11.25">
      <c r="A390" s="1860" t="s">
        <v>2528</v>
      </c>
      <c r="B390" s="1860" t="s">
        <v>16</v>
      </c>
      <c r="C390" s="1860" t="s">
        <v>3478</v>
      </c>
      <c r="D390" s="1860" t="s">
        <v>3479</v>
      </c>
      <c r="E390" s="1860" t="s">
        <v>3480</v>
      </c>
      <c r="F390" s="1860" t="s">
        <v>2914</v>
      </c>
      <c r="G390" s="1860" t="s">
        <v>3481</v>
      </c>
      <c r="H390" s="1860" t="s">
        <v>22</v>
      </c>
      <c r="I390" s="1860" t="s">
        <v>918</v>
      </c>
    </row>
    <row customHeight="1" ht="11.25">
      <c r="A391" s="1860" t="s">
        <v>2528</v>
      </c>
      <c r="B391" s="1860" t="s">
        <v>16</v>
      </c>
      <c r="C391" s="1860" t="s">
        <v>3353</v>
      </c>
      <c r="D391" s="1860" t="s">
        <v>3354</v>
      </c>
      <c r="E391" s="1860" t="s">
        <v>3355</v>
      </c>
      <c r="F391" s="1860" t="s">
        <v>3327</v>
      </c>
      <c r="G391" s="1860" t="s">
        <v>3356</v>
      </c>
      <c r="H391" s="1860" t="s">
        <v>22</v>
      </c>
      <c r="I391" s="1860" t="s">
        <v>918</v>
      </c>
    </row>
    <row customHeight="1" ht="11.25">
      <c r="A392" s="1860" t="s">
        <v>2528</v>
      </c>
      <c r="B392" s="1860" t="s">
        <v>16</v>
      </c>
      <c r="C392" s="1860" t="s">
        <v>3357</v>
      </c>
      <c r="D392" s="1860" t="s">
        <v>3358</v>
      </c>
      <c r="E392" s="1860" t="s">
        <v>3359</v>
      </c>
      <c r="F392" s="1860" t="s">
        <v>2540</v>
      </c>
      <c r="G392" s="1860" t="s">
        <v>3360</v>
      </c>
      <c r="H392" s="1860" t="s">
        <v>22</v>
      </c>
      <c r="I392" s="1860" t="s">
        <v>918</v>
      </c>
    </row>
    <row customHeight="1" ht="11.25">
      <c r="A393" s="1860" t="s">
        <v>2528</v>
      </c>
      <c r="B393" s="1860" t="s">
        <v>16</v>
      </c>
      <c r="C393" s="1860" t="s">
        <v>3361</v>
      </c>
      <c r="D393" s="1860" t="s">
        <v>3362</v>
      </c>
      <c r="E393" s="1860" t="s">
        <v>3363</v>
      </c>
      <c r="F393" s="1860" t="s">
        <v>2540</v>
      </c>
      <c r="G393" s="1860" t="s">
        <v>3364</v>
      </c>
      <c r="H393" s="1860" t="s">
        <v>22</v>
      </c>
      <c r="I393" s="1860" t="s">
        <v>918</v>
      </c>
    </row>
    <row customHeight="1" ht="11.25">
      <c r="A394" s="1860" t="s">
        <v>2528</v>
      </c>
      <c r="B394" s="1860" t="s">
        <v>16</v>
      </c>
      <c r="C394" s="1860" t="s">
        <v>3365</v>
      </c>
      <c r="D394" s="1860" t="s">
        <v>3366</v>
      </c>
      <c r="E394" s="1860" t="s">
        <v>3367</v>
      </c>
      <c r="F394" s="1860" t="s">
        <v>2644</v>
      </c>
      <c r="G394" s="1860" t="s">
        <v>3368</v>
      </c>
      <c r="H394" s="1860" t="s">
        <v>22</v>
      </c>
      <c r="I394" s="1860" t="s">
        <v>918</v>
      </c>
    </row>
    <row customHeight="1" ht="11.25">
      <c r="A395" s="1860" t="s">
        <v>2528</v>
      </c>
      <c r="B395" s="1860" t="s">
        <v>16</v>
      </c>
      <c r="C395" s="1860" t="s">
        <v>3369</v>
      </c>
      <c r="D395" s="1860" t="s">
        <v>3370</v>
      </c>
      <c r="E395" s="1860" t="s">
        <v>3371</v>
      </c>
      <c r="F395" s="1860" t="s">
        <v>2540</v>
      </c>
      <c r="G395" s="1860" t="s">
        <v>3372</v>
      </c>
      <c r="H395" s="1860" t="s">
        <v>22</v>
      </c>
      <c r="I395" s="1860" t="s">
        <v>918</v>
      </c>
    </row>
    <row customHeight="1" ht="11.25">
      <c r="A396" s="1860" t="s">
        <v>2528</v>
      </c>
      <c r="B396" s="1860" t="s">
        <v>16</v>
      </c>
      <c r="C396" s="1860" t="s">
        <v>3377</v>
      </c>
      <c r="D396" s="1860" t="s">
        <v>3378</v>
      </c>
      <c r="E396" s="1860" t="s">
        <v>2669</v>
      </c>
      <c r="F396" s="1860" t="s">
        <v>2620</v>
      </c>
      <c r="G396" s="1860" t="s">
        <v>3379</v>
      </c>
      <c r="H396" s="1860" t="s">
        <v>22</v>
      </c>
      <c r="I396" s="1860" t="s">
        <v>918</v>
      </c>
    </row>
    <row customHeight="1" ht="11.25">
      <c r="A397" s="1860" t="s">
        <v>2528</v>
      </c>
      <c r="B397" s="1860" t="s">
        <v>16</v>
      </c>
      <c r="C397" s="1860" t="s">
        <v>3388</v>
      </c>
      <c r="D397" s="1860" t="s">
        <v>3389</v>
      </c>
      <c r="E397" s="1860" t="s">
        <v>3390</v>
      </c>
      <c r="F397" s="1860" t="s">
        <v>3391</v>
      </c>
      <c r="G397" s="1860" t="s">
        <v>3392</v>
      </c>
      <c r="H397" s="1860" t="s">
        <v>22</v>
      </c>
      <c r="I397" s="1860" t="s">
        <v>918</v>
      </c>
    </row>
    <row customHeight="1" ht="11.25">
      <c r="A398" s="1860" t="s">
        <v>2528</v>
      </c>
      <c r="B398" s="1860" t="s">
        <v>16</v>
      </c>
      <c r="C398" s="1860" t="s">
        <v>3395</v>
      </c>
      <c r="D398" s="1860" t="s">
        <v>3396</v>
      </c>
      <c r="E398" s="1860" t="s">
        <v>3390</v>
      </c>
      <c r="F398" s="1860" t="s">
        <v>3397</v>
      </c>
      <c r="G398" s="1860" t="s">
        <v>3398</v>
      </c>
      <c r="H398" s="1860" t="s">
        <v>22</v>
      </c>
      <c r="I398" s="1860" t="s">
        <v>918</v>
      </c>
    </row>
    <row customHeight="1" ht="11.25">
      <c r="A399" s="1860" t="s">
        <v>2528</v>
      </c>
      <c r="B399" s="1860" t="s">
        <v>16</v>
      </c>
      <c r="C399" s="1860" t="s">
        <v>3404</v>
      </c>
      <c r="D399" s="1860" t="s">
        <v>3405</v>
      </c>
      <c r="E399" s="1860" t="s">
        <v>3406</v>
      </c>
      <c r="F399" s="1860" t="s">
        <v>2540</v>
      </c>
      <c r="G399" s="1860" t="s">
        <v>3407</v>
      </c>
      <c r="H399" s="1860" t="s">
        <v>22</v>
      </c>
      <c r="I399" s="1860" t="s">
        <v>918</v>
      </c>
    </row>
    <row customHeight="1" ht="11.25">
      <c r="A400" s="1860" t="s">
        <v>2528</v>
      </c>
      <c r="B400" s="1860" t="s">
        <v>16</v>
      </c>
      <c r="C400" s="1860" t="s">
        <v>3408</v>
      </c>
      <c r="D400" s="1860" t="s">
        <v>3409</v>
      </c>
      <c r="E400" s="1860" t="s">
        <v>3410</v>
      </c>
      <c r="F400" s="1860" t="s">
        <v>2927</v>
      </c>
      <c r="G400" s="1860" t="s">
        <v>3411</v>
      </c>
      <c r="H400" s="1860" t="s">
        <v>22</v>
      </c>
      <c r="I400" s="1860" t="s">
        <v>918</v>
      </c>
    </row>
    <row customHeight="1" ht="11.25">
      <c r="A401" s="1860" t="s">
        <v>2528</v>
      </c>
      <c r="B401" s="1860" t="s">
        <v>16</v>
      </c>
      <c r="C401" s="1860" t="s">
        <v>3419</v>
      </c>
      <c r="D401" s="1860" t="s">
        <v>3420</v>
      </c>
      <c r="E401" s="1860" t="s">
        <v>3421</v>
      </c>
      <c r="F401" s="1860" t="s">
        <v>2540</v>
      </c>
      <c r="G401" s="1860" t="s">
        <v>3422</v>
      </c>
      <c r="H401" s="1860" t="s">
        <v>22</v>
      </c>
      <c r="I401" s="1860" t="s">
        <v>918</v>
      </c>
    </row>
    <row customHeight="1" ht="11.25">
      <c r="A402" s="1860" t="s">
        <v>2528</v>
      </c>
      <c r="B402" s="1860" t="s">
        <v>16</v>
      </c>
      <c r="C402" s="1860" t="s">
        <v>3428</v>
      </c>
      <c r="D402" s="1860" t="s">
        <v>3429</v>
      </c>
      <c r="E402" s="1860" t="s">
        <v>3430</v>
      </c>
      <c r="F402" s="1860" t="s">
        <v>2905</v>
      </c>
      <c r="G402" s="1860" t="s">
        <v>3431</v>
      </c>
      <c r="H402" s="1860" t="s">
        <v>22</v>
      </c>
      <c r="I402" s="1860" t="s">
        <v>918</v>
      </c>
    </row>
    <row customHeight="1" ht="11.25">
      <c r="A403" s="1860" t="s">
        <v>2528</v>
      </c>
      <c r="B403" s="1860" t="s">
        <v>16</v>
      </c>
      <c r="C403" s="1860" t="s">
        <v>3432</v>
      </c>
      <c r="D403" s="1860" t="s">
        <v>3433</v>
      </c>
      <c r="E403" s="1860" t="s">
        <v>3425</v>
      </c>
      <c r="F403" s="1860" t="s">
        <v>2727</v>
      </c>
      <c r="G403" s="1860" t="s">
        <v>3434</v>
      </c>
      <c r="H403" s="1860" t="s">
        <v>22</v>
      </c>
      <c r="I403" s="1860" t="s">
        <v>918</v>
      </c>
    </row>
    <row customHeight="1" ht="11.25">
      <c r="A404" s="1860" t="s">
        <v>2528</v>
      </c>
      <c r="B404" s="1860" t="s">
        <v>16</v>
      </c>
      <c r="C404" s="1860" t="s">
        <v>3435</v>
      </c>
      <c r="D404" s="1860" t="s">
        <v>3436</v>
      </c>
      <c r="E404" s="1860" t="s">
        <v>2669</v>
      </c>
      <c r="F404" s="1860" t="s">
        <v>3437</v>
      </c>
      <c r="G404" s="1860" t="s">
        <v>2680</v>
      </c>
      <c r="H404" s="1860" t="s">
        <v>22</v>
      </c>
      <c r="I404" s="1860" t="s">
        <v>918</v>
      </c>
    </row>
    <row customHeight="1" ht="11.25">
      <c r="A405" s="1860" t="s">
        <v>2528</v>
      </c>
      <c r="B405" s="1860" t="s">
        <v>16</v>
      </c>
      <c r="C405" s="1860" t="s">
        <v>3438</v>
      </c>
      <c r="D405" s="1860" t="s">
        <v>3439</v>
      </c>
      <c r="E405" s="1860" t="s">
        <v>2669</v>
      </c>
      <c r="F405" s="1860" t="s">
        <v>3440</v>
      </c>
      <c r="G405" s="1860" t="s">
        <v>2680</v>
      </c>
      <c r="H405" s="1860" t="s">
        <v>22</v>
      </c>
      <c r="I405" s="1860" t="s">
        <v>918</v>
      </c>
    </row>
    <row customHeight="1" ht="11.25">
      <c r="A406" s="1860" t="s">
        <v>2528</v>
      </c>
      <c r="B406" s="1860" t="s">
        <v>16</v>
      </c>
      <c r="C406" s="1860" t="s">
        <v>3441</v>
      </c>
      <c r="D406" s="1860" t="s">
        <v>3442</v>
      </c>
      <c r="E406" s="1860" t="s">
        <v>3443</v>
      </c>
      <c r="F406" s="1860" t="s">
        <v>2540</v>
      </c>
      <c r="G406" s="1860" t="s">
        <v>3444</v>
      </c>
      <c r="H406" s="1860" t="s">
        <v>22</v>
      </c>
      <c r="I406" s="1860" t="s">
        <v>918</v>
      </c>
    </row>
    <row customHeight="1" ht="11.25">
      <c r="A407" s="1860" t="s">
        <v>2528</v>
      </c>
      <c r="B407" s="1860" t="s">
        <v>16</v>
      </c>
      <c r="C407" s="1860" t="s">
        <v>3445</v>
      </c>
      <c r="D407" s="1860" t="s">
        <v>3446</v>
      </c>
      <c r="E407" s="1860" t="s">
        <v>3447</v>
      </c>
      <c r="F407" s="1860" t="s">
        <v>2891</v>
      </c>
      <c r="G407" s="1860" t="s">
        <v>22</v>
      </c>
      <c r="H407" s="1860" t="s">
        <v>22</v>
      </c>
      <c r="I407" s="1860" t="s">
        <v>918</v>
      </c>
    </row>
    <row customHeight="1" ht="11.25">
      <c r="A408" s="1860" t="s">
        <v>2528</v>
      </c>
      <c r="B408" s="1860" t="s">
        <v>16</v>
      </c>
      <c r="C408" s="1860" t="s">
        <v>3448</v>
      </c>
      <c r="D408" s="1860" t="s">
        <v>3449</v>
      </c>
      <c r="E408" s="1860" t="s">
        <v>2791</v>
      </c>
      <c r="F408" s="1860" t="s">
        <v>3450</v>
      </c>
      <c r="G408" s="1860" t="s">
        <v>3451</v>
      </c>
      <c r="H408" s="1860" t="s">
        <v>22</v>
      </c>
      <c r="I408" s="1860" t="s">
        <v>918</v>
      </c>
    </row>
    <row customHeight="1" ht="11.25">
      <c r="A409" s="1860" t="s">
        <v>2528</v>
      </c>
      <c r="B409" s="1860" t="s">
        <v>16</v>
      </c>
      <c r="C409" s="1860" t="s">
        <v>3452</v>
      </c>
      <c r="D409" s="1860" t="s">
        <v>3453</v>
      </c>
      <c r="E409" s="1860" t="s">
        <v>3454</v>
      </c>
      <c r="F409" s="1860" t="s">
        <v>2540</v>
      </c>
      <c r="G409" s="1860" t="s">
        <v>3455</v>
      </c>
      <c r="H409" s="1860" t="s">
        <v>22</v>
      </c>
      <c r="I409" s="1860" t="s">
        <v>918</v>
      </c>
    </row>
    <row customHeight="1" ht="11.25">
      <c r="A410" s="1860" t="s">
        <v>2528</v>
      </c>
      <c r="B410" s="1860" t="s">
        <v>16</v>
      </c>
      <c r="C410" s="1860" t="s">
        <v>3456</v>
      </c>
      <c r="D410" s="1860" t="s">
        <v>3457</v>
      </c>
      <c r="E410" s="1860" t="s">
        <v>3454</v>
      </c>
      <c r="F410" s="1860" t="s">
        <v>2886</v>
      </c>
      <c r="G410" s="1860" t="s">
        <v>22</v>
      </c>
      <c r="H410" s="1860" t="s">
        <v>22</v>
      </c>
      <c r="I410" s="1860" t="s">
        <v>918</v>
      </c>
    </row>
    <row customHeight="1" ht="11.25">
      <c r="A411" s="1860" t="s">
        <v>2528</v>
      </c>
      <c r="B411" s="1860" t="s">
        <v>16</v>
      </c>
      <c r="C411" s="1860" t="s">
        <v>3474</v>
      </c>
      <c r="D411" s="1860" t="s">
        <v>3475</v>
      </c>
      <c r="E411" s="1860" t="s">
        <v>2674</v>
      </c>
      <c r="F411" s="1860" t="s">
        <v>2644</v>
      </c>
      <c r="G411" s="1860" t="s">
        <v>2676</v>
      </c>
      <c r="H411" s="1860" t="s">
        <v>22</v>
      </c>
      <c r="I411" s="1860" t="s">
        <v>918</v>
      </c>
    </row>
    <row customHeight="1" ht="11.25">
      <c r="A412" s="1860" t="s">
        <v>2528</v>
      </c>
      <c r="B412" s="1860" t="s">
        <v>16</v>
      </c>
      <c r="C412" s="1860" t="s">
        <v>2534</v>
      </c>
      <c r="D412" s="1860" t="s">
        <v>2535</v>
      </c>
      <c r="E412" s="1860" t="s">
        <v>2531</v>
      </c>
      <c r="F412" s="1860" t="s">
        <v>2536</v>
      </c>
      <c r="G412" s="1860" t="s">
        <v>2533</v>
      </c>
      <c r="H412" s="1860" t="s">
        <v>22</v>
      </c>
      <c r="I412" s="1860" t="s">
        <v>878</v>
      </c>
    </row>
    <row customHeight="1" ht="11.25">
      <c r="A413" s="1860" t="s">
        <v>2528</v>
      </c>
      <c r="B413" s="1860" t="s">
        <v>16</v>
      </c>
      <c r="C413" s="1860" t="s">
        <v>2537</v>
      </c>
      <c r="D413" s="1860" t="s">
        <v>2538</v>
      </c>
      <c r="E413" s="1860" t="s">
        <v>2539</v>
      </c>
      <c r="F413" s="1860" t="s">
        <v>2540</v>
      </c>
      <c r="G413" s="1860" t="s">
        <v>2541</v>
      </c>
      <c r="H413" s="1860" t="s">
        <v>22</v>
      </c>
      <c r="I413" s="1860" t="s">
        <v>878</v>
      </c>
    </row>
    <row customHeight="1" ht="11.25">
      <c r="A414" s="1860" t="s">
        <v>2528</v>
      </c>
      <c r="B414" s="1860" t="s">
        <v>16</v>
      </c>
      <c r="C414" s="1860" t="s">
        <v>2542</v>
      </c>
      <c r="D414" s="1860" t="s">
        <v>2543</v>
      </c>
      <c r="E414" s="1860" t="s">
        <v>2544</v>
      </c>
      <c r="F414" s="1860" t="s">
        <v>2545</v>
      </c>
      <c r="G414" s="1860" t="s">
        <v>22</v>
      </c>
      <c r="H414" s="1860" t="s">
        <v>22</v>
      </c>
      <c r="I414" s="1860" t="s">
        <v>878</v>
      </c>
    </row>
    <row customHeight="1" ht="11.25">
      <c r="A415" s="1860" t="s">
        <v>2528</v>
      </c>
      <c r="B415" s="1860" t="s">
        <v>16</v>
      </c>
      <c r="C415" s="1860" t="s">
        <v>2546</v>
      </c>
      <c r="D415" s="1860" t="s">
        <v>2543</v>
      </c>
      <c r="E415" s="1860" t="s">
        <v>2544</v>
      </c>
      <c r="F415" s="1860" t="s">
        <v>2547</v>
      </c>
      <c r="G415" s="1860" t="s">
        <v>22</v>
      </c>
      <c r="H415" s="1860" t="s">
        <v>22</v>
      </c>
      <c r="I415" s="1860" t="s">
        <v>878</v>
      </c>
    </row>
    <row customHeight="1" ht="11.25">
      <c r="A416" s="1860" t="s">
        <v>2528</v>
      </c>
      <c r="B416" s="1860" t="s">
        <v>16</v>
      </c>
      <c r="C416" s="1860" t="s">
        <v>3482</v>
      </c>
      <c r="D416" s="1860" t="s">
        <v>2543</v>
      </c>
      <c r="E416" s="1860" t="s">
        <v>2544</v>
      </c>
      <c r="F416" s="1860" t="s">
        <v>3483</v>
      </c>
      <c r="G416" s="1860" t="s">
        <v>3484</v>
      </c>
      <c r="H416" s="1860" t="s">
        <v>22</v>
      </c>
      <c r="I416" s="1860" t="s">
        <v>878</v>
      </c>
    </row>
    <row customHeight="1" ht="11.25">
      <c r="A417" s="1860" t="s">
        <v>2528</v>
      </c>
      <c r="B417" s="1860" t="s">
        <v>16</v>
      </c>
      <c r="C417" s="1860" t="s">
        <v>2556</v>
      </c>
      <c r="D417" s="1860" t="s">
        <v>2557</v>
      </c>
      <c r="E417" s="1860" t="s">
        <v>2558</v>
      </c>
      <c r="F417" s="1860" t="s">
        <v>2540</v>
      </c>
      <c r="G417" s="1860" t="s">
        <v>2559</v>
      </c>
      <c r="H417" s="1860" t="s">
        <v>22</v>
      </c>
      <c r="I417" s="1860" t="s">
        <v>878</v>
      </c>
    </row>
    <row customHeight="1" ht="11.25">
      <c r="A418" s="1860" t="s">
        <v>2528</v>
      </c>
      <c r="B418" s="1860" t="s">
        <v>16</v>
      </c>
      <c r="C418" s="1860" t="s">
        <v>2569</v>
      </c>
      <c r="D418" s="1860" t="s">
        <v>2570</v>
      </c>
      <c r="E418" s="1860" t="s">
        <v>2571</v>
      </c>
      <c r="F418" s="1860" t="s">
        <v>2572</v>
      </c>
      <c r="G418" s="1860" t="s">
        <v>2573</v>
      </c>
      <c r="H418" s="1860" t="s">
        <v>22</v>
      </c>
      <c r="I418" s="1860" t="s">
        <v>878</v>
      </c>
    </row>
    <row customHeight="1" ht="11.25">
      <c r="A419" s="1860" t="s">
        <v>2528</v>
      </c>
      <c r="B419" s="1860" t="s">
        <v>16</v>
      </c>
      <c r="C419" s="1860" t="s">
        <v>3485</v>
      </c>
      <c r="D419" s="1860" t="s">
        <v>3486</v>
      </c>
      <c r="E419" s="1860" t="s">
        <v>3487</v>
      </c>
      <c r="F419" s="1860" t="s">
        <v>3071</v>
      </c>
      <c r="G419" s="1860" t="s">
        <v>3488</v>
      </c>
      <c r="H419" s="1860" t="s">
        <v>22</v>
      </c>
      <c r="I419" s="1860" t="s">
        <v>878</v>
      </c>
    </row>
    <row customHeight="1" ht="11.25">
      <c r="A420" s="1860" t="s">
        <v>2528</v>
      </c>
      <c r="B420" s="1860" t="s">
        <v>16</v>
      </c>
      <c r="C420" s="1860" t="s">
        <v>2579</v>
      </c>
      <c r="D420" s="1860" t="s">
        <v>2580</v>
      </c>
      <c r="E420" s="1860" t="s">
        <v>2581</v>
      </c>
      <c r="F420" s="1860" t="s">
        <v>2582</v>
      </c>
      <c r="G420" s="1860" t="s">
        <v>2583</v>
      </c>
      <c r="H420" s="1860" t="s">
        <v>22</v>
      </c>
      <c r="I420" s="1860" t="s">
        <v>878</v>
      </c>
    </row>
    <row customHeight="1" ht="11.25">
      <c r="A421" s="1860" t="s">
        <v>2528</v>
      </c>
      <c r="B421" s="1860" t="s">
        <v>16</v>
      </c>
      <c r="C421" s="1860" t="s">
        <v>2590</v>
      </c>
      <c r="D421" s="1860" t="s">
        <v>2591</v>
      </c>
      <c r="E421" s="1860" t="s">
        <v>2581</v>
      </c>
      <c r="F421" s="1860" t="s">
        <v>2592</v>
      </c>
      <c r="G421" s="1860" t="s">
        <v>2583</v>
      </c>
      <c r="H421" s="1860" t="s">
        <v>22</v>
      </c>
      <c r="I421" s="1860" t="s">
        <v>878</v>
      </c>
    </row>
    <row customHeight="1" ht="11.25">
      <c r="A422" s="1860" t="s">
        <v>2528</v>
      </c>
      <c r="B422" s="1860" t="s">
        <v>16</v>
      </c>
      <c r="C422" s="1860" t="s">
        <v>2593</v>
      </c>
      <c r="D422" s="1860" t="s">
        <v>2594</v>
      </c>
      <c r="E422" s="1860" t="s">
        <v>2581</v>
      </c>
      <c r="F422" s="1860" t="s">
        <v>2595</v>
      </c>
      <c r="G422" s="1860" t="s">
        <v>2583</v>
      </c>
      <c r="H422" s="1860" t="s">
        <v>22</v>
      </c>
      <c r="I422" s="1860" t="s">
        <v>878</v>
      </c>
    </row>
    <row customHeight="1" ht="11.25">
      <c r="A423" s="1860" t="s">
        <v>2528</v>
      </c>
      <c r="B423" s="1860" t="s">
        <v>16</v>
      </c>
      <c r="C423" s="1860" t="s">
        <v>2605</v>
      </c>
      <c r="D423" s="1860" t="s">
        <v>2606</v>
      </c>
      <c r="E423" s="1860" t="s">
        <v>2607</v>
      </c>
      <c r="F423" s="1860" t="s">
        <v>2582</v>
      </c>
      <c r="G423" s="1860" t="s">
        <v>2608</v>
      </c>
      <c r="H423" s="1860" t="s">
        <v>22</v>
      </c>
      <c r="I423" s="1860" t="s">
        <v>878</v>
      </c>
    </row>
    <row customHeight="1" ht="11.25">
      <c r="A424" s="1860" t="s">
        <v>2528</v>
      </c>
      <c r="B424" s="1860" t="s">
        <v>16</v>
      </c>
      <c r="C424" s="1860" t="s">
        <v>3489</v>
      </c>
      <c r="D424" s="1860" t="s">
        <v>3490</v>
      </c>
      <c r="E424" s="1860" t="s">
        <v>2607</v>
      </c>
      <c r="F424" s="1860" t="s">
        <v>2724</v>
      </c>
      <c r="G424" s="1860" t="s">
        <v>3491</v>
      </c>
      <c r="H424" s="1860" t="s">
        <v>22</v>
      </c>
      <c r="I424" s="1860" t="s">
        <v>878</v>
      </c>
    </row>
    <row customHeight="1" ht="11.25">
      <c r="A425" s="1860" t="s">
        <v>2528</v>
      </c>
      <c r="B425" s="1860" t="s">
        <v>16</v>
      </c>
      <c r="C425" s="1860" t="s">
        <v>2612</v>
      </c>
      <c r="D425" s="1860" t="s">
        <v>2613</v>
      </c>
      <c r="E425" s="1860" t="s">
        <v>2607</v>
      </c>
      <c r="F425" s="1860" t="s">
        <v>2614</v>
      </c>
      <c r="G425" s="1860" t="s">
        <v>2608</v>
      </c>
      <c r="H425" s="1860" t="s">
        <v>22</v>
      </c>
      <c r="I425" s="1860" t="s">
        <v>878</v>
      </c>
    </row>
    <row customHeight="1" ht="11.25">
      <c r="A426" s="1860" t="s">
        <v>2528</v>
      </c>
      <c r="B426" s="1860" t="s">
        <v>16</v>
      </c>
      <c r="C426" s="1860" t="s">
        <v>2618</v>
      </c>
      <c r="D426" s="1860" t="s">
        <v>2619</v>
      </c>
      <c r="E426" s="1860" t="s">
        <v>2607</v>
      </c>
      <c r="F426" s="1860" t="s">
        <v>2620</v>
      </c>
      <c r="G426" s="1860" t="s">
        <v>2608</v>
      </c>
      <c r="H426" s="1860" t="s">
        <v>22</v>
      </c>
      <c r="I426" s="1860" t="s">
        <v>878</v>
      </c>
    </row>
    <row customHeight="1" ht="11.25">
      <c r="A427" s="1860" t="s">
        <v>2528</v>
      </c>
      <c r="B427" s="1860" t="s">
        <v>16</v>
      </c>
      <c r="C427" s="1860" t="s">
        <v>2621</v>
      </c>
      <c r="D427" s="1860" t="s">
        <v>2622</v>
      </c>
      <c r="E427" s="1860" t="s">
        <v>2607</v>
      </c>
      <c r="F427" s="1860" t="s">
        <v>2623</v>
      </c>
      <c r="G427" s="1860" t="s">
        <v>2608</v>
      </c>
      <c r="H427" s="1860" t="s">
        <v>22</v>
      </c>
      <c r="I427" s="1860" t="s">
        <v>878</v>
      </c>
    </row>
    <row customHeight="1" ht="11.25">
      <c r="A428" s="1860" t="s">
        <v>2528</v>
      </c>
      <c r="B428" s="1860" t="s">
        <v>16</v>
      </c>
      <c r="C428" s="1860" t="s">
        <v>2624</v>
      </c>
      <c r="D428" s="1860" t="s">
        <v>2625</v>
      </c>
      <c r="E428" s="1860" t="s">
        <v>2607</v>
      </c>
      <c r="F428" s="1860" t="s">
        <v>2626</v>
      </c>
      <c r="G428" s="1860" t="s">
        <v>2608</v>
      </c>
      <c r="H428" s="1860" t="s">
        <v>22</v>
      </c>
      <c r="I428" s="1860" t="s">
        <v>878</v>
      </c>
    </row>
    <row customHeight="1" ht="11.25">
      <c r="A429" s="1860" t="s">
        <v>2528</v>
      </c>
      <c r="B429" s="1860" t="s">
        <v>16</v>
      </c>
      <c r="C429" s="1860" t="s">
        <v>2627</v>
      </c>
      <c r="D429" s="1860" t="s">
        <v>2628</v>
      </c>
      <c r="E429" s="1860" t="s">
        <v>2607</v>
      </c>
      <c r="F429" s="1860" t="s">
        <v>2629</v>
      </c>
      <c r="G429" s="1860" t="s">
        <v>2608</v>
      </c>
      <c r="H429" s="1860" t="s">
        <v>22</v>
      </c>
      <c r="I429" s="1860" t="s">
        <v>878</v>
      </c>
    </row>
    <row customHeight="1" ht="11.25">
      <c r="A430" s="1860" t="s">
        <v>2528</v>
      </c>
      <c r="B430" s="1860" t="s">
        <v>16</v>
      </c>
      <c r="C430" s="1860" t="s">
        <v>2630</v>
      </c>
      <c r="D430" s="1860" t="s">
        <v>2631</v>
      </c>
      <c r="E430" s="1860" t="s">
        <v>2607</v>
      </c>
      <c r="F430" s="1860" t="s">
        <v>2598</v>
      </c>
      <c r="G430" s="1860" t="s">
        <v>2608</v>
      </c>
      <c r="H430" s="1860" t="s">
        <v>22</v>
      </c>
      <c r="I430" s="1860" t="s">
        <v>878</v>
      </c>
    </row>
    <row customHeight="1" ht="11.25">
      <c r="A431" s="1860" t="s">
        <v>2528</v>
      </c>
      <c r="B431" s="1860" t="s">
        <v>16</v>
      </c>
      <c r="C431" s="1860" t="s">
        <v>2637</v>
      </c>
      <c r="D431" s="1860" t="s">
        <v>2638</v>
      </c>
      <c r="E431" s="1860" t="s">
        <v>2639</v>
      </c>
      <c r="F431" s="1860" t="s">
        <v>2540</v>
      </c>
      <c r="G431" s="1860" t="s">
        <v>2640</v>
      </c>
      <c r="H431" s="1860" t="s">
        <v>22</v>
      </c>
      <c r="I431" s="1860" t="s">
        <v>878</v>
      </c>
    </row>
    <row customHeight="1" ht="11.25">
      <c r="A432" s="1860" t="s">
        <v>2528</v>
      </c>
      <c r="B432" s="1860" t="s">
        <v>16</v>
      </c>
      <c r="C432" s="1860" t="s">
        <v>2641</v>
      </c>
      <c r="D432" s="1860" t="s">
        <v>2642</v>
      </c>
      <c r="E432" s="1860" t="s">
        <v>2643</v>
      </c>
      <c r="F432" s="1860" t="s">
        <v>2644</v>
      </c>
      <c r="G432" s="1860" t="s">
        <v>2645</v>
      </c>
      <c r="H432" s="1860" t="s">
        <v>22</v>
      </c>
      <c r="I432" s="1860" t="s">
        <v>878</v>
      </c>
    </row>
    <row customHeight="1" ht="11.25">
      <c r="A433" s="1860" t="s">
        <v>2528</v>
      </c>
      <c r="B433" s="1860" t="s">
        <v>16</v>
      </c>
      <c r="C433" s="1860" t="s">
        <v>13</v>
      </c>
      <c r="D433" s="1860" t="s">
        <v>46</v>
      </c>
      <c r="E433" s="1860" t="s">
        <v>49</v>
      </c>
      <c r="F433" s="1860" t="s">
        <v>51</v>
      </c>
      <c r="G433" s="1860" t="s">
        <v>2555</v>
      </c>
      <c r="H433" s="1860" t="s">
        <v>22</v>
      </c>
      <c r="I433" s="1860" t="s">
        <v>878</v>
      </c>
    </row>
    <row customHeight="1" ht="11.25">
      <c r="A434" s="1860" t="s">
        <v>2528</v>
      </c>
      <c r="B434" s="1860" t="s">
        <v>16</v>
      </c>
      <c r="C434" s="1860" t="s">
        <v>2663</v>
      </c>
      <c r="D434" s="1860" t="s">
        <v>2664</v>
      </c>
      <c r="E434" s="1860" t="s">
        <v>2665</v>
      </c>
      <c r="F434" s="1860" t="s">
        <v>2644</v>
      </c>
      <c r="G434" s="1860" t="s">
        <v>2666</v>
      </c>
      <c r="H434" s="1860" t="s">
        <v>22</v>
      </c>
      <c r="I434" s="1860" t="s">
        <v>878</v>
      </c>
    </row>
    <row customHeight="1" ht="11.25">
      <c r="A435" s="1860" t="s">
        <v>2528</v>
      </c>
      <c r="B435" s="1860" t="s">
        <v>16</v>
      </c>
      <c r="C435" s="1860" t="s">
        <v>2667</v>
      </c>
      <c r="D435" s="1860" t="s">
        <v>2668</v>
      </c>
      <c r="E435" s="1860" t="s">
        <v>2669</v>
      </c>
      <c r="F435" s="1860" t="s">
        <v>2670</v>
      </c>
      <c r="G435" s="1860" t="s">
        <v>2671</v>
      </c>
      <c r="H435" s="1860" t="s">
        <v>22</v>
      </c>
      <c r="I435" s="1860" t="s">
        <v>878</v>
      </c>
    </row>
    <row customHeight="1" ht="11.25">
      <c r="A436" s="1860" t="s">
        <v>2528</v>
      </c>
      <c r="B436" s="1860" t="s">
        <v>16</v>
      </c>
      <c r="C436" s="1860" t="s">
        <v>2672</v>
      </c>
      <c r="D436" s="1860" t="s">
        <v>2673</v>
      </c>
      <c r="E436" s="1860" t="s">
        <v>2674</v>
      </c>
      <c r="F436" s="1860" t="s">
        <v>2675</v>
      </c>
      <c r="G436" s="1860" t="s">
        <v>2676</v>
      </c>
      <c r="H436" s="1860" t="s">
        <v>22</v>
      </c>
      <c r="I436" s="1860" t="s">
        <v>878</v>
      </c>
    </row>
    <row customHeight="1" ht="11.25">
      <c r="A437" s="1860" t="s">
        <v>2528</v>
      </c>
      <c r="B437" s="1860" t="s">
        <v>16</v>
      </c>
      <c r="C437" s="1860" t="s">
        <v>2677</v>
      </c>
      <c r="D437" s="1860" t="s">
        <v>2678</v>
      </c>
      <c r="E437" s="1860" t="s">
        <v>2669</v>
      </c>
      <c r="F437" s="1860" t="s">
        <v>2679</v>
      </c>
      <c r="G437" s="1860" t="s">
        <v>2680</v>
      </c>
      <c r="H437" s="1860" t="s">
        <v>22</v>
      </c>
      <c r="I437" s="1860" t="s">
        <v>878</v>
      </c>
    </row>
    <row customHeight="1" ht="11.25">
      <c r="A438" s="1860" t="s">
        <v>2528</v>
      </c>
      <c r="B438" s="1860" t="s">
        <v>16</v>
      </c>
      <c r="C438" s="1860" t="s">
        <v>2681</v>
      </c>
      <c r="D438" s="1860" t="s">
        <v>2682</v>
      </c>
      <c r="E438" s="1860" t="s">
        <v>2683</v>
      </c>
      <c r="F438" s="1860" t="s">
        <v>2540</v>
      </c>
      <c r="G438" s="1860" t="s">
        <v>2684</v>
      </c>
      <c r="H438" s="1860" t="s">
        <v>22</v>
      </c>
      <c r="I438" s="1860" t="s">
        <v>878</v>
      </c>
    </row>
    <row customHeight="1" ht="11.25">
      <c r="A439" s="1860" t="s">
        <v>2528</v>
      </c>
      <c r="B439" s="1860" t="s">
        <v>16</v>
      </c>
      <c r="C439" s="1860" t="s">
        <v>3492</v>
      </c>
      <c r="D439" s="1860" t="s">
        <v>3493</v>
      </c>
      <c r="E439" s="1860" t="s">
        <v>3494</v>
      </c>
      <c r="F439" s="1860" t="s">
        <v>2540</v>
      </c>
      <c r="G439" s="1860" t="s">
        <v>2559</v>
      </c>
      <c r="H439" s="1860" t="s">
        <v>22</v>
      </c>
      <c r="I439" s="1860" t="s">
        <v>878</v>
      </c>
    </row>
    <row customHeight="1" ht="11.25">
      <c r="A440" s="1860" t="s">
        <v>2528</v>
      </c>
      <c r="B440" s="1860" t="s">
        <v>16</v>
      </c>
      <c r="C440" s="1860" t="s">
        <v>22</v>
      </c>
      <c r="D440" s="1860" t="s">
        <v>2697</v>
      </c>
      <c r="E440" s="1860" t="s">
        <v>2698</v>
      </c>
      <c r="F440" s="1860" t="s">
        <v>2540</v>
      </c>
      <c r="G440" s="1860" t="s">
        <v>22</v>
      </c>
      <c r="H440" s="1860" t="s">
        <v>22</v>
      </c>
      <c r="I440" s="1860" t="s">
        <v>878</v>
      </c>
    </row>
    <row customHeight="1" ht="11.25">
      <c r="A441" s="1860" t="s">
        <v>2528</v>
      </c>
      <c r="B441" s="1860" t="s">
        <v>16</v>
      </c>
      <c r="C441" s="1860" t="s">
        <v>2699</v>
      </c>
      <c r="D441" s="1860" t="s">
        <v>2700</v>
      </c>
      <c r="E441" s="1860" t="s">
        <v>2701</v>
      </c>
      <c r="F441" s="1860" t="s">
        <v>2540</v>
      </c>
      <c r="G441" s="1860" t="s">
        <v>2702</v>
      </c>
      <c r="H441" s="1860" t="s">
        <v>22</v>
      </c>
      <c r="I441" s="1860" t="s">
        <v>878</v>
      </c>
    </row>
    <row customHeight="1" ht="11.25">
      <c r="A442" s="1860" t="s">
        <v>2528</v>
      </c>
      <c r="B442" s="1860" t="s">
        <v>16</v>
      </c>
      <c r="C442" s="1860" t="s">
        <v>2703</v>
      </c>
      <c r="D442" s="1860" t="s">
        <v>2704</v>
      </c>
      <c r="E442" s="1860" t="s">
        <v>2701</v>
      </c>
      <c r="F442" s="1860" t="s">
        <v>2582</v>
      </c>
      <c r="G442" s="1860" t="s">
        <v>2702</v>
      </c>
      <c r="H442" s="1860" t="s">
        <v>22</v>
      </c>
      <c r="I442" s="1860" t="s">
        <v>878</v>
      </c>
    </row>
    <row customHeight="1" ht="11.25">
      <c r="A443" s="1860" t="s">
        <v>2528</v>
      </c>
      <c r="B443" s="1860" t="s">
        <v>16</v>
      </c>
      <c r="C443" s="1860" t="s">
        <v>2705</v>
      </c>
      <c r="D443" s="1860" t="s">
        <v>2706</v>
      </c>
      <c r="E443" s="1860" t="s">
        <v>2701</v>
      </c>
      <c r="F443" s="1860" t="s">
        <v>2629</v>
      </c>
      <c r="G443" s="1860" t="s">
        <v>2702</v>
      </c>
      <c r="H443" s="1860" t="s">
        <v>22</v>
      </c>
      <c r="I443" s="1860" t="s">
        <v>878</v>
      </c>
    </row>
    <row customHeight="1" ht="11.25">
      <c r="A444" s="1860" t="s">
        <v>2528</v>
      </c>
      <c r="B444" s="1860" t="s">
        <v>16</v>
      </c>
      <c r="C444" s="1860" t="s">
        <v>2707</v>
      </c>
      <c r="D444" s="1860" t="s">
        <v>2708</v>
      </c>
      <c r="E444" s="1860" t="s">
        <v>2701</v>
      </c>
      <c r="F444" s="1860" t="s">
        <v>2709</v>
      </c>
      <c r="G444" s="1860" t="s">
        <v>2702</v>
      </c>
      <c r="H444" s="1860" t="s">
        <v>22</v>
      </c>
      <c r="I444" s="1860" t="s">
        <v>878</v>
      </c>
    </row>
    <row customHeight="1" ht="11.25">
      <c r="A445" s="1860" t="s">
        <v>2528</v>
      </c>
      <c r="B445" s="1860" t="s">
        <v>16</v>
      </c>
      <c r="C445" s="1860" t="s">
        <v>2710</v>
      </c>
      <c r="D445" s="1860" t="s">
        <v>2711</v>
      </c>
      <c r="E445" s="1860" t="s">
        <v>2701</v>
      </c>
      <c r="F445" s="1860" t="s">
        <v>2712</v>
      </c>
      <c r="G445" s="1860" t="s">
        <v>2702</v>
      </c>
      <c r="H445" s="1860" t="s">
        <v>22</v>
      </c>
      <c r="I445" s="1860" t="s">
        <v>878</v>
      </c>
    </row>
    <row customHeight="1" ht="11.25">
      <c r="A446" s="1860" t="s">
        <v>2528</v>
      </c>
      <c r="B446" s="1860" t="s">
        <v>16</v>
      </c>
      <c r="C446" s="1860" t="s">
        <v>2713</v>
      </c>
      <c r="D446" s="1860" t="s">
        <v>2714</v>
      </c>
      <c r="E446" s="1860" t="s">
        <v>2701</v>
      </c>
      <c r="F446" s="1860" t="s">
        <v>2715</v>
      </c>
      <c r="G446" s="1860" t="s">
        <v>2702</v>
      </c>
      <c r="H446" s="1860" t="s">
        <v>22</v>
      </c>
      <c r="I446" s="1860" t="s">
        <v>878</v>
      </c>
    </row>
    <row customHeight="1" ht="11.25">
      <c r="A447" s="1860" t="s">
        <v>2528</v>
      </c>
      <c r="B447" s="1860" t="s">
        <v>16</v>
      </c>
      <c r="C447" s="1860" t="s">
        <v>2716</v>
      </c>
      <c r="D447" s="1860" t="s">
        <v>2717</v>
      </c>
      <c r="E447" s="1860" t="s">
        <v>2701</v>
      </c>
      <c r="F447" s="1860" t="s">
        <v>2718</v>
      </c>
      <c r="G447" s="1860" t="s">
        <v>2702</v>
      </c>
      <c r="H447" s="1860" t="s">
        <v>22</v>
      </c>
      <c r="I447" s="1860" t="s">
        <v>878</v>
      </c>
    </row>
    <row customHeight="1" ht="11.25">
      <c r="A448" s="1860" t="s">
        <v>2528</v>
      </c>
      <c r="B448" s="1860" t="s">
        <v>16</v>
      </c>
      <c r="C448" s="1860" t="s">
        <v>2719</v>
      </c>
      <c r="D448" s="1860" t="s">
        <v>2720</v>
      </c>
      <c r="E448" s="1860" t="s">
        <v>2701</v>
      </c>
      <c r="F448" s="1860" t="s">
        <v>2721</v>
      </c>
      <c r="G448" s="1860" t="s">
        <v>2702</v>
      </c>
      <c r="H448" s="1860" t="s">
        <v>22</v>
      </c>
      <c r="I448" s="1860" t="s">
        <v>878</v>
      </c>
    </row>
    <row customHeight="1" ht="11.25">
      <c r="A449" s="1860" t="s">
        <v>2528</v>
      </c>
      <c r="B449" s="1860" t="s">
        <v>16</v>
      </c>
      <c r="C449" s="1860" t="s">
        <v>2722</v>
      </c>
      <c r="D449" s="1860" t="s">
        <v>2723</v>
      </c>
      <c r="E449" s="1860" t="s">
        <v>2701</v>
      </c>
      <c r="F449" s="1860" t="s">
        <v>2724</v>
      </c>
      <c r="G449" s="1860" t="s">
        <v>2702</v>
      </c>
      <c r="H449" s="1860" t="s">
        <v>22</v>
      </c>
      <c r="I449" s="1860" t="s">
        <v>878</v>
      </c>
    </row>
    <row customHeight="1" ht="11.25">
      <c r="A450" s="1860" t="s">
        <v>2528</v>
      </c>
      <c r="B450" s="1860" t="s">
        <v>16</v>
      </c>
      <c r="C450" s="1860" t="s">
        <v>2725</v>
      </c>
      <c r="D450" s="1860" t="s">
        <v>2726</v>
      </c>
      <c r="E450" s="1860" t="s">
        <v>2701</v>
      </c>
      <c r="F450" s="1860" t="s">
        <v>2727</v>
      </c>
      <c r="G450" s="1860" t="s">
        <v>2702</v>
      </c>
      <c r="H450" s="1860" t="s">
        <v>22</v>
      </c>
      <c r="I450" s="1860" t="s">
        <v>878</v>
      </c>
    </row>
    <row customHeight="1" ht="11.25">
      <c r="A451" s="1860" t="s">
        <v>2528</v>
      </c>
      <c r="B451" s="1860" t="s">
        <v>16</v>
      </c>
      <c r="C451" s="1860" t="s">
        <v>2728</v>
      </c>
      <c r="D451" s="1860" t="s">
        <v>2729</v>
      </c>
      <c r="E451" s="1860" t="s">
        <v>2701</v>
      </c>
      <c r="F451" s="1860" t="s">
        <v>2730</v>
      </c>
      <c r="G451" s="1860" t="s">
        <v>2702</v>
      </c>
      <c r="H451" s="1860" t="s">
        <v>22</v>
      </c>
      <c r="I451" s="1860" t="s">
        <v>878</v>
      </c>
    </row>
    <row customHeight="1" ht="11.25">
      <c r="A452" s="1860" t="s">
        <v>2528</v>
      </c>
      <c r="B452" s="1860" t="s">
        <v>16</v>
      </c>
      <c r="C452" s="1860" t="s">
        <v>2731</v>
      </c>
      <c r="D452" s="1860" t="s">
        <v>2732</v>
      </c>
      <c r="E452" s="1860" t="s">
        <v>2701</v>
      </c>
      <c r="F452" s="1860" t="s">
        <v>2586</v>
      </c>
      <c r="G452" s="1860" t="s">
        <v>2702</v>
      </c>
      <c r="H452" s="1860" t="s">
        <v>22</v>
      </c>
      <c r="I452" s="1860" t="s">
        <v>878</v>
      </c>
    </row>
    <row customHeight="1" ht="11.25">
      <c r="A453" s="1860" t="s">
        <v>2528</v>
      </c>
      <c r="B453" s="1860" t="s">
        <v>16</v>
      </c>
      <c r="C453" s="1860" t="s">
        <v>2733</v>
      </c>
      <c r="D453" s="1860" t="s">
        <v>2734</v>
      </c>
      <c r="E453" s="1860" t="s">
        <v>2701</v>
      </c>
      <c r="F453" s="1860" t="s">
        <v>2735</v>
      </c>
      <c r="G453" s="1860" t="s">
        <v>2702</v>
      </c>
      <c r="H453" s="1860" t="s">
        <v>22</v>
      </c>
      <c r="I453" s="1860" t="s">
        <v>878</v>
      </c>
    </row>
    <row customHeight="1" ht="11.25">
      <c r="A454" s="1860" t="s">
        <v>2528</v>
      </c>
      <c r="B454" s="1860" t="s">
        <v>16</v>
      </c>
      <c r="C454" s="1860" t="s">
        <v>2736</v>
      </c>
      <c r="D454" s="1860" t="s">
        <v>2737</v>
      </c>
      <c r="E454" s="1860" t="s">
        <v>2701</v>
      </c>
      <c r="F454" s="1860" t="s">
        <v>2738</v>
      </c>
      <c r="G454" s="1860" t="s">
        <v>2702</v>
      </c>
      <c r="H454" s="1860" t="s">
        <v>22</v>
      </c>
      <c r="I454" s="1860" t="s">
        <v>878</v>
      </c>
    </row>
    <row customHeight="1" ht="11.25">
      <c r="A455" s="1860" t="s">
        <v>2528</v>
      </c>
      <c r="B455" s="1860" t="s">
        <v>16</v>
      </c>
      <c r="C455" s="1860" t="s">
        <v>2739</v>
      </c>
      <c r="D455" s="1860" t="s">
        <v>2740</v>
      </c>
      <c r="E455" s="1860" t="s">
        <v>2701</v>
      </c>
      <c r="F455" s="1860" t="s">
        <v>2741</v>
      </c>
      <c r="G455" s="1860" t="s">
        <v>2702</v>
      </c>
      <c r="H455" s="1860" t="s">
        <v>22</v>
      </c>
      <c r="I455" s="1860" t="s">
        <v>878</v>
      </c>
    </row>
    <row customHeight="1" ht="11.25">
      <c r="A456" s="1860" t="s">
        <v>2528</v>
      </c>
      <c r="B456" s="1860" t="s">
        <v>16</v>
      </c>
      <c r="C456" s="1860" t="s">
        <v>2742</v>
      </c>
      <c r="D456" s="1860" t="s">
        <v>2743</v>
      </c>
      <c r="E456" s="1860" t="s">
        <v>2701</v>
      </c>
      <c r="F456" s="1860" t="s">
        <v>2617</v>
      </c>
      <c r="G456" s="1860" t="s">
        <v>2702</v>
      </c>
      <c r="H456" s="1860" t="s">
        <v>22</v>
      </c>
      <c r="I456" s="1860" t="s">
        <v>878</v>
      </c>
    </row>
    <row customHeight="1" ht="11.25">
      <c r="A457" s="1860" t="s">
        <v>2528</v>
      </c>
      <c r="B457" s="1860" t="s">
        <v>16</v>
      </c>
      <c r="C457" s="1860" t="s">
        <v>2744</v>
      </c>
      <c r="D457" s="1860" t="s">
        <v>2745</v>
      </c>
      <c r="E457" s="1860" t="s">
        <v>2701</v>
      </c>
      <c r="F457" s="1860" t="s">
        <v>2746</v>
      </c>
      <c r="G457" s="1860" t="s">
        <v>2702</v>
      </c>
      <c r="H457" s="1860" t="s">
        <v>22</v>
      </c>
      <c r="I457" s="1860" t="s">
        <v>878</v>
      </c>
    </row>
    <row customHeight="1" ht="11.25">
      <c r="A458" s="1860" t="s">
        <v>2528</v>
      </c>
      <c r="B458" s="1860" t="s">
        <v>16</v>
      </c>
      <c r="C458" s="1860" t="s">
        <v>2747</v>
      </c>
      <c r="D458" s="1860" t="s">
        <v>2748</v>
      </c>
      <c r="E458" s="1860" t="s">
        <v>2701</v>
      </c>
      <c r="F458" s="1860" t="s">
        <v>2592</v>
      </c>
      <c r="G458" s="1860" t="s">
        <v>2702</v>
      </c>
      <c r="H458" s="1860" t="s">
        <v>22</v>
      </c>
      <c r="I458" s="1860" t="s">
        <v>878</v>
      </c>
    </row>
    <row customHeight="1" ht="11.25">
      <c r="A459" s="1860" t="s">
        <v>2528</v>
      </c>
      <c r="B459" s="1860" t="s">
        <v>16</v>
      </c>
      <c r="C459" s="1860" t="s">
        <v>2749</v>
      </c>
      <c r="D459" s="1860" t="s">
        <v>2750</v>
      </c>
      <c r="E459" s="1860" t="s">
        <v>2701</v>
      </c>
      <c r="F459" s="1860" t="s">
        <v>2751</v>
      </c>
      <c r="G459" s="1860" t="s">
        <v>2702</v>
      </c>
      <c r="H459" s="1860" t="s">
        <v>22</v>
      </c>
      <c r="I459" s="1860" t="s">
        <v>878</v>
      </c>
    </row>
    <row customHeight="1" ht="11.25">
      <c r="A460" s="1860" t="s">
        <v>2528</v>
      </c>
      <c r="B460" s="1860" t="s">
        <v>16</v>
      </c>
      <c r="C460" s="1860" t="s">
        <v>2752</v>
      </c>
      <c r="D460" s="1860" t="s">
        <v>2753</v>
      </c>
      <c r="E460" s="1860" t="s">
        <v>2701</v>
      </c>
      <c r="F460" s="1860" t="s">
        <v>2626</v>
      </c>
      <c r="G460" s="1860" t="s">
        <v>2702</v>
      </c>
      <c r="H460" s="1860" t="s">
        <v>22</v>
      </c>
      <c r="I460" s="1860" t="s">
        <v>878</v>
      </c>
    </row>
    <row customHeight="1" ht="11.25">
      <c r="A461" s="1860" t="s">
        <v>2528</v>
      </c>
      <c r="B461" s="1860" t="s">
        <v>16</v>
      </c>
      <c r="C461" s="1860" t="s">
        <v>2754</v>
      </c>
      <c r="D461" s="1860" t="s">
        <v>2755</v>
      </c>
      <c r="E461" s="1860" t="s">
        <v>2701</v>
      </c>
      <c r="F461" s="1860" t="s">
        <v>2756</v>
      </c>
      <c r="G461" s="1860" t="s">
        <v>2702</v>
      </c>
      <c r="H461" s="1860" t="s">
        <v>22</v>
      </c>
      <c r="I461" s="1860" t="s">
        <v>878</v>
      </c>
    </row>
    <row customHeight="1" ht="11.25">
      <c r="A462" s="1860" t="s">
        <v>2528</v>
      </c>
      <c r="B462" s="1860" t="s">
        <v>16</v>
      </c>
      <c r="C462" s="1860" t="s">
        <v>2757</v>
      </c>
      <c r="D462" s="1860" t="s">
        <v>2758</v>
      </c>
      <c r="E462" s="1860" t="s">
        <v>2701</v>
      </c>
      <c r="F462" s="1860" t="s">
        <v>2759</v>
      </c>
      <c r="G462" s="1860" t="s">
        <v>2702</v>
      </c>
      <c r="H462" s="1860" t="s">
        <v>22</v>
      </c>
      <c r="I462" s="1860" t="s">
        <v>878</v>
      </c>
    </row>
    <row customHeight="1" ht="11.25">
      <c r="A463" s="1860" t="s">
        <v>2528</v>
      </c>
      <c r="B463" s="1860" t="s">
        <v>16</v>
      </c>
      <c r="C463" s="1860" t="s">
        <v>2760</v>
      </c>
      <c r="D463" s="1860" t="s">
        <v>2761</v>
      </c>
      <c r="E463" s="1860" t="s">
        <v>2701</v>
      </c>
      <c r="F463" s="1860" t="s">
        <v>2762</v>
      </c>
      <c r="G463" s="1860" t="s">
        <v>2702</v>
      </c>
      <c r="H463" s="1860" t="s">
        <v>22</v>
      </c>
      <c r="I463" s="1860" t="s">
        <v>878</v>
      </c>
    </row>
    <row customHeight="1" ht="11.25">
      <c r="A464" s="1860" t="s">
        <v>2528</v>
      </c>
      <c r="B464" s="1860" t="s">
        <v>16</v>
      </c>
      <c r="C464" s="1860" t="s">
        <v>2763</v>
      </c>
      <c r="D464" s="1860" t="s">
        <v>2764</v>
      </c>
      <c r="E464" s="1860" t="s">
        <v>2701</v>
      </c>
      <c r="F464" s="1860" t="s">
        <v>2765</v>
      </c>
      <c r="G464" s="1860" t="s">
        <v>2702</v>
      </c>
      <c r="H464" s="1860" t="s">
        <v>22</v>
      </c>
      <c r="I464" s="1860" t="s">
        <v>878</v>
      </c>
    </row>
    <row customHeight="1" ht="11.25">
      <c r="A465" s="1860" t="s">
        <v>2528</v>
      </c>
      <c r="B465" s="1860" t="s">
        <v>16</v>
      </c>
      <c r="C465" s="1860" t="s">
        <v>2766</v>
      </c>
      <c r="D465" s="1860" t="s">
        <v>2767</v>
      </c>
      <c r="E465" s="1860" t="s">
        <v>2701</v>
      </c>
      <c r="F465" s="1860" t="s">
        <v>2768</v>
      </c>
      <c r="G465" s="1860" t="s">
        <v>2702</v>
      </c>
      <c r="H465" s="1860" t="s">
        <v>22</v>
      </c>
      <c r="I465" s="1860" t="s">
        <v>878</v>
      </c>
    </row>
    <row customHeight="1" ht="11.25">
      <c r="A466" s="1860" t="s">
        <v>2528</v>
      </c>
      <c r="B466" s="1860" t="s">
        <v>16</v>
      </c>
      <c r="C466" s="1860" t="s">
        <v>2769</v>
      </c>
      <c r="D466" s="1860" t="s">
        <v>2770</v>
      </c>
      <c r="E466" s="1860" t="s">
        <v>2701</v>
      </c>
      <c r="F466" s="1860" t="s">
        <v>2771</v>
      </c>
      <c r="G466" s="1860" t="s">
        <v>2702</v>
      </c>
      <c r="H466" s="1860" t="s">
        <v>22</v>
      </c>
      <c r="I466" s="1860" t="s">
        <v>878</v>
      </c>
    </row>
    <row customHeight="1" ht="11.25">
      <c r="A467" s="1860" t="s">
        <v>2528</v>
      </c>
      <c r="B467" s="1860" t="s">
        <v>16</v>
      </c>
      <c r="C467" s="1860" t="s">
        <v>2775</v>
      </c>
      <c r="D467" s="1860" t="s">
        <v>2776</v>
      </c>
      <c r="E467" s="1860" t="s">
        <v>2701</v>
      </c>
      <c r="F467" s="1860" t="s">
        <v>2777</v>
      </c>
      <c r="G467" s="1860" t="s">
        <v>2702</v>
      </c>
      <c r="H467" s="1860" t="s">
        <v>22</v>
      </c>
      <c r="I467" s="1860" t="s">
        <v>878</v>
      </c>
    </row>
    <row customHeight="1" ht="11.25">
      <c r="A468" s="1860" t="s">
        <v>2528</v>
      </c>
      <c r="B468" s="1860" t="s">
        <v>16</v>
      </c>
      <c r="C468" s="1860" t="s">
        <v>2778</v>
      </c>
      <c r="D468" s="1860" t="s">
        <v>2779</v>
      </c>
      <c r="E468" s="1860" t="s">
        <v>2780</v>
      </c>
      <c r="F468" s="1860" t="s">
        <v>2781</v>
      </c>
      <c r="G468" s="1860" t="s">
        <v>22</v>
      </c>
      <c r="H468" s="1860" t="s">
        <v>22</v>
      </c>
      <c r="I468" s="1860" t="s">
        <v>878</v>
      </c>
    </row>
    <row customHeight="1" ht="11.25">
      <c r="A469" s="1860" t="s">
        <v>2528</v>
      </c>
      <c r="B469" s="1860" t="s">
        <v>16</v>
      </c>
      <c r="C469" s="1860" t="s">
        <v>2782</v>
      </c>
      <c r="D469" s="1860" t="s">
        <v>2783</v>
      </c>
      <c r="E469" s="1860" t="s">
        <v>2780</v>
      </c>
      <c r="F469" s="1860" t="s">
        <v>2784</v>
      </c>
      <c r="G469" s="1860" t="s">
        <v>22</v>
      </c>
      <c r="H469" s="1860" t="s">
        <v>22</v>
      </c>
      <c r="I469" s="1860" t="s">
        <v>878</v>
      </c>
    </row>
    <row customHeight="1" ht="11.25">
      <c r="A470" s="1860" t="s">
        <v>2528</v>
      </c>
      <c r="B470" s="1860" t="s">
        <v>16</v>
      </c>
      <c r="C470" s="1860" t="s">
        <v>2789</v>
      </c>
      <c r="D470" s="1860" t="s">
        <v>2790</v>
      </c>
      <c r="E470" s="1860" t="s">
        <v>2791</v>
      </c>
      <c r="F470" s="1860" t="s">
        <v>2792</v>
      </c>
      <c r="G470" s="1860" t="s">
        <v>22</v>
      </c>
      <c r="H470" s="1860" t="s">
        <v>22</v>
      </c>
      <c r="I470" s="1860" t="s">
        <v>878</v>
      </c>
    </row>
    <row customHeight="1" ht="11.25">
      <c r="A471" s="1860" t="s">
        <v>2528</v>
      </c>
      <c r="B471" s="1860" t="s">
        <v>16</v>
      </c>
      <c r="C471" s="1860" t="s">
        <v>2813</v>
      </c>
      <c r="D471" s="1860" t="s">
        <v>2814</v>
      </c>
      <c r="E471" s="1860" t="s">
        <v>2815</v>
      </c>
      <c r="F471" s="1860" t="s">
        <v>597</v>
      </c>
      <c r="G471" s="1860" t="s">
        <v>2816</v>
      </c>
      <c r="H471" s="1860" t="s">
        <v>22</v>
      </c>
      <c r="I471" s="1860" t="s">
        <v>878</v>
      </c>
    </row>
    <row customHeight="1" ht="11.25">
      <c r="A472" s="1860" t="s">
        <v>2528</v>
      </c>
      <c r="B472" s="1860" t="s">
        <v>16</v>
      </c>
      <c r="C472" s="1860" t="s">
        <v>3495</v>
      </c>
      <c r="D472" s="1860" t="s">
        <v>3496</v>
      </c>
      <c r="E472" s="1860" t="s">
        <v>3497</v>
      </c>
      <c r="F472" s="1860" t="s">
        <v>597</v>
      </c>
      <c r="G472" s="1860" t="s">
        <v>3352</v>
      </c>
      <c r="H472" s="1860" t="s">
        <v>22</v>
      </c>
      <c r="I472" s="1860" t="s">
        <v>878</v>
      </c>
    </row>
    <row customHeight="1" ht="11.25">
      <c r="A473" s="1860" t="s">
        <v>2528</v>
      </c>
      <c r="B473" s="1860" t="s">
        <v>16</v>
      </c>
      <c r="C473" s="1860" t="s">
        <v>3498</v>
      </c>
      <c r="D473" s="1860" t="s">
        <v>3499</v>
      </c>
      <c r="E473" s="1860" t="s">
        <v>3500</v>
      </c>
      <c r="F473" s="1860" t="s">
        <v>597</v>
      </c>
      <c r="G473" s="1860" t="s">
        <v>3501</v>
      </c>
      <c r="H473" s="1860" t="s">
        <v>22</v>
      </c>
      <c r="I473" s="1860" t="s">
        <v>878</v>
      </c>
    </row>
    <row customHeight="1" ht="11.25">
      <c r="A474" s="1860" t="s">
        <v>2528</v>
      </c>
      <c r="B474" s="1860" t="s">
        <v>16</v>
      </c>
      <c r="C474" s="1860" t="s">
        <v>2836</v>
      </c>
      <c r="D474" s="1860" t="s">
        <v>2837</v>
      </c>
      <c r="E474" s="1860" t="s">
        <v>2838</v>
      </c>
      <c r="F474" s="1860" t="s">
        <v>597</v>
      </c>
      <c r="G474" s="1860" t="s">
        <v>2839</v>
      </c>
      <c r="H474" s="1860" t="s">
        <v>22</v>
      </c>
      <c r="I474" s="1860" t="s">
        <v>878</v>
      </c>
    </row>
    <row customHeight="1" ht="11.25">
      <c r="A475" s="1860" t="s">
        <v>2528</v>
      </c>
      <c r="B475" s="1860" t="s">
        <v>16</v>
      </c>
      <c r="C475" s="1860" t="s">
        <v>3502</v>
      </c>
      <c r="D475" s="1860" t="s">
        <v>3503</v>
      </c>
      <c r="E475" s="1860" t="s">
        <v>3504</v>
      </c>
      <c r="F475" s="1860" t="s">
        <v>597</v>
      </c>
      <c r="G475" s="1860" t="s">
        <v>22</v>
      </c>
      <c r="H475" s="1860" t="s">
        <v>22</v>
      </c>
      <c r="I475" s="1860" t="s">
        <v>878</v>
      </c>
    </row>
    <row customHeight="1" ht="11.25">
      <c r="A476" s="1860" t="s">
        <v>2528</v>
      </c>
      <c r="B476" s="1860" t="s">
        <v>16</v>
      </c>
      <c r="C476" s="1860" t="s">
        <v>3505</v>
      </c>
      <c r="D476" s="1860" t="s">
        <v>3506</v>
      </c>
      <c r="E476" s="1860" t="s">
        <v>3507</v>
      </c>
      <c r="F476" s="1860" t="s">
        <v>597</v>
      </c>
      <c r="G476" s="1860" t="s">
        <v>3508</v>
      </c>
      <c r="H476" s="1860" t="s">
        <v>22</v>
      </c>
      <c r="I476" s="1860" t="s">
        <v>878</v>
      </c>
    </row>
    <row customHeight="1" ht="11.25">
      <c r="A477" s="1860" t="s">
        <v>2528</v>
      </c>
      <c r="B477" s="1860" t="s">
        <v>16</v>
      </c>
      <c r="C477" s="1860" t="s">
        <v>3509</v>
      </c>
      <c r="D477" s="1860" t="s">
        <v>3510</v>
      </c>
      <c r="E477" s="1860" t="s">
        <v>3511</v>
      </c>
      <c r="F477" s="1860" t="s">
        <v>597</v>
      </c>
      <c r="G477" s="1860" t="s">
        <v>3512</v>
      </c>
      <c r="H477" s="1860" t="s">
        <v>22</v>
      </c>
      <c r="I477" s="1860" t="s">
        <v>878</v>
      </c>
    </row>
    <row customHeight="1" ht="11.25">
      <c r="A478" s="1860" t="s">
        <v>2528</v>
      </c>
      <c r="B478" s="1860" t="s">
        <v>16</v>
      </c>
      <c r="C478" s="1860" t="s">
        <v>2884</v>
      </c>
      <c r="D478" s="1860" t="s">
        <v>2885</v>
      </c>
      <c r="E478" s="1860" t="s">
        <v>2669</v>
      </c>
      <c r="F478" s="1860" t="s">
        <v>2886</v>
      </c>
      <c r="G478" s="1860" t="s">
        <v>2887</v>
      </c>
      <c r="H478" s="1860" t="s">
        <v>22</v>
      </c>
      <c r="I478" s="1860" t="s">
        <v>878</v>
      </c>
    </row>
    <row customHeight="1" ht="11.25">
      <c r="A479" s="1860" t="s">
        <v>2528</v>
      </c>
      <c r="B479" s="1860" t="s">
        <v>16</v>
      </c>
      <c r="C479" s="1860" t="s">
        <v>2893</v>
      </c>
      <c r="D479" s="1860" t="s">
        <v>2894</v>
      </c>
      <c r="E479" s="1860" t="s">
        <v>2895</v>
      </c>
      <c r="F479" s="1860" t="s">
        <v>2896</v>
      </c>
      <c r="G479" s="1860" t="s">
        <v>2897</v>
      </c>
      <c r="H479" s="1860" t="s">
        <v>22</v>
      </c>
      <c r="I479" s="1860" t="s">
        <v>878</v>
      </c>
    </row>
    <row customHeight="1" ht="11.25">
      <c r="A480" s="1860" t="s">
        <v>2528</v>
      </c>
      <c r="B480" s="1860" t="s">
        <v>16</v>
      </c>
      <c r="C480" s="1860" t="s">
        <v>2902</v>
      </c>
      <c r="D480" s="1860" t="s">
        <v>2903</v>
      </c>
      <c r="E480" s="1860" t="s">
        <v>2904</v>
      </c>
      <c r="F480" s="1860" t="s">
        <v>2905</v>
      </c>
      <c r="G480" s="1860" t="s">
        <v>2906</v>
      </c>
      <c r="H480" s="1860" t="s">
        <v>22</v>
      </c>
      <c r="I480" s="1860" t="s">
        <v>878</v>
      </c>
    </row>
    <row customHeight="1" ht="11.25">
      <c r="A481" s="1860" t="s">
        <v>2528</v>
      </c>
      <c r="B481" s="1860" t="s">
        <v>16</v>
      </c>
      <c r="C481" s="1860" t="s">
        <v>2907</v>
      </c>
      <c r="D481" s="1860" t="s">
        <v>2908</v>
      </c>
      <c r="E481" s="1860" t="s">
        <v>2909</v>
      </c>
      <c r="F481" s="1860" t="s">
        <v>2540</v>
      </c>
      <c r="G481" s="1860" t="s">
        <v>2910</v>
      </c>
      <c r="H481" s="1860" t="s">
        <v>22</v>
      </c>
      <c r="I481" s="1860" t="s">
        <v>878</v>
      </c>
    </row>
    <row customHeight="1" ht="11.25">
      <c r="A482" s="1860" t="s">
        <v>2528</v>
      </c>
      <c r="B482" s="1860" t="s">
        <v>16</v>
      </c>
      <c r="C482" s="1860" t="s">
        <v>2911</v>
      </c>
      <c r="D482" s="1860" t="s">
        <v>2912</v>
      </c>
      <c r="E482" s="1860" t="s">
        <v>2913</v>
      </c>
      <c r="F482" s="1860" t="s">
        <v>2914</v>
      </c>
      <c r="G482" s="1860" t="s">
        <v>2915</v>
      </c>
      <c r="H482" s="1860" t="s">
        <v>22</v>
      </c>
      <c r="I482" s="1860" t="s">
        <v>878</v>
      </c>
    </row>
    <row customHeight="1" ht="11.25">
      <c r="A483" s="1860" t="s">
        <v>2528</v>
      </c>
      <c r="B483" s="1860" t="s">
        <v>16</v>
      </c>
      <c r="C483" s="1860" t="s">
        <v>3513</v>
      </c>
      <c r="D483" s="1860" t="s">
        <v>3514</v>
      </c>
      <c r="E483" s="1860" t="s">
        <v>3515</v>
      </c>
      <c r="F483" s="1860" t="s">
        <v>3516</v>
      </c>
      <c r="G483" s="1860" t="s">
        <v>3218</v>
      </c>
      <c r="H483" s="1860" t="s">
        <v>22</v>
      </c>
      <c r="I483" s="1860" t="s">
        <v>878</v>
      </c>
    </row>
    <row customHeight="1" ht="11.25">
      <c r="A484" s="1860" t="s">
        <v>2528</v>
      </c>
      <c r="B484" s="1860" t="s">
        <v>16</v>
      </c>
      <c r="C484" s="1860" t="s">
        <v>2916</v>
      </c>
      <c r="D484" s="1860" t="s">
        <v>2917</v>
      </c>
      <c r="E484" s="1860" t="s">
        <v>2918</v>
      </c>
      <c r="F484" s="1860" t="s">
        <v>2540</v>
      </c>
      <c r="G484" s="1860" t="s">
        <v>2919</v>
      </c>
      <c r="H484" s="1860" t="s">
        <v>22</v>
      </c>
      <c r="I484" s="1860" t="s">
        <v>878</v>
      </c>
    </row>
    <row customHeight="1" ht="11.25">
      <c r="A485" s="1860" t="s">
        <v>2528</v>
      </c>
      <c r="B485" s="1860" t="s">
        <v>16</v>
      </c>
      <c r="C485" s="1860" t="s">
        <v>2924</v>
      </c>
      <c r="D485" s="1860" t="s">
        <v>2925</v>
      </c>
      <c r="E485" s="1860" t="s">
        <v>2926</v>
      </c>
      <c r="F485" s="1860" t="s">
        <v>2927</v>
      </c>
      <c r="G485" s="1860" t="s">
        <v>2928</v>
      </c>
      <c r="H485" s="1860" t="s">
        <v>22</v>
      </c>
      <c r="I485" s="1860" t="s">
        <v>878</v>
      </c>
    </row>
    <row customHeight="1" ht="11.25">
      <c r="A486" s="1860" t="s">
        <v>2528</v>
      </c>
      <c r="B486" s="1860" t="s">
        <v>16</v>
      </c>
      <c r="C486" s="1860" t="s">
        <v>2929</v>
      </c>
      <c r="D486" s="1860" t="s">
        <v>2930</v>
      </c>
      <c r="E486" s="1860" t="s">
        <v>2931</v>
      </c>
      <c r="F486" s="1860" t="s">
        <v>2540</v>
      </c>
      <c r="G486" s="1860" t="s">
        <v>2932</v>
      </c>
      <c r="H486" s="1860" t="s">
        <v>22</v>
      </c>
      <c r="I486" s="1860" t="s">
        <v>878</v>
      </c>
    </row>
    <row customHeight="1" ht="11.25">
      <c r="A487" s="1860" t="s">
        <v>2528</v>
      </c>
      <c r="B487" s="1860" t="s">
        <v>16</v>
      </c>
      <c r="C487" s="1860" t="s">
        <v>3517</v>
      </c>
      <c r="D487" s="1860" t="s">
        <v>3518</v>
      </c>
      <c r="E487" s="1860" t="s">
        <v>3519</v>
      </c>
      <c r="F487" s="1860" t="s">
        <v>3327</v>
      </c>
      <c r="G487" s="1860" t="s">
        <v>3520</v>
      </c>
      <c r="H487" s="1860" t="s">
        <v>22</v>
      </c>
      <c r="I487" s="1860" t="s">
        <v>878</v>
      </c>
    </row>
    <row customHeight="1" ht="11.25">
      <c r="A488" s="1860" t="s">
        <v>2528</v>
      </c>
      <c r="B488" s="1860" t="s">
        <v>16</v>
      </c>
      <c r="C488" s="1860" t="s">
        <v>3521</v>
      </c>
      <c r="D488" s="1860" t="s">
        <v>3522</v>
      </c>
      <c r="E488" s="1860" t="s">
        <v>3523</v>
      </c>
      <c r="F488" s="1860" t="s">
        <v>2949</v>
      </c>
      <c r="G488" s="1860" t="s">
        <v>3524</v>
      </c>
      <c r="H488" s="1860" t="s">
        <v>22</v>
      </c>
      <c r="I488" s="1860" t="s">
        <v>878</v>
      </c>
    </row>
    <row customHeight="1" ht="11.25">
      <c r="A489" s="1860" t="s">
        <v>2528</v>
      </c>
      <c r="B489" s="1860" t="s">
        <v>16</v>
      </c>
      <c r="C489" s="1860" t="s">
        <v>3525</v>
      </c>
      <c r="D489" s="1860" t="s">
        <v>3526</v>
      </c>
      <c r="E489" s="1860" t="s">
        <v>3527</v>
      </c>
      <c r="F489" s="1860" t="s">
        <v>2949</v>
      </c>
      <c r="G489" s="1860" t="s">
        <v>3528</v>
      </c>
      <c r="H489" s="1860" t="s">
        <v>22</v>
      </c>
      <c r="I489" s="1860" t="s">
        <v>878</v>
      </c>
    </row>
    <row customHeight="1" ht="11.25">
      <c r="A490" s="1860" t="s">
        <v>2528</v>
      </c>
      <c r="B490" s="1860" t="s">
        <v>16</v>
      </c>
      <c r="C490" s="1860" t="s">
        <v>3529</v>
      </c>
      <c r="D490" s="1860" t="s">
        <v>3530</v>
      </c>
      <c r="E490" s="1860" t="s">
        <v>3531</v>
      </c>
      <c r="F490" s="1860" t="s">
        <v>3327</v>
      </c>
      <c r="G490" s="1860" t="s">
        <v>3532</v>
      </c>
      <c r="H490" s="1860" t="s">
        <v>22</v>
      </c>
      <c r="I490" s="1860" t="s">
        <v>878</v>
      </c>
    </row>
    <row customHeight="1" ht="11.25">
      <c r="A491" s="1860" t="s">
        <v>2528</v>
      </c>
      <c r="B491" s="1860" t="s">
        <v>16</v>
      </c>
      <c r="C491" s="1860" t="s">
        <v>2962</v>
      </c>
      <c r="D491" s="1860" t="s">
        <v>2963</v>
      </c>
      <c r="E491" s="1860" t="s">
        <v>2964</v>
      </c>
      <c r="F491" s="1860" t="s">
        <v>2644</v>
      </c>
      <c r="G491" s="1860" t="s">
        <v>2965</v>
      </c>
      <c r="H491" s="1860" t="s">
        <v>22</v>
      </c>
      <c r="I491" s="1860" t="s">
        <v>878</v>
      </c>
    </row>
    <row customHeight="1" ht="11.25">
      <c r="A492" s="1860" t="s">
        <v>2528</v>
      </c>
      <c r="B492" s="1860" t="s">
        <v>16</v>
      </c>
      <c r="C492" s="1860" t="s">
        <v>2966</v>
      </c>
      <c r="D492" s="1860" t="s">
        <v>2967</v>
      </c>
      <c r="E492" s="1860" t="s">
        <v>2968</v>
      </c>
      <c r="F492" s="1860" t="s">
        <v>2540</v>
      </c>
      <c r="G492" s="1860" t="s">
        <v>2969</v>
      </c>
      <c r="H492" s="1860" t="s">
        <v>22</v>
      </c>
      <c r="I492" s="1860" t="s">
        <v>878</v>
      </c>
    </row>
    <row customHeight="1" ht="11.25">
      <c r="A493" s="1860" t="s">
        <v>2528</v>
      </c>
      <c r="B493" s="1860" t="s">
        <v>16</v>
      </c>
      <c r="C493" s="1860" t="s">
        <v>3533</v>
      </c>
      <c r="D493" s="1860" t="s">
        <v>3534</v>
      </c>
      <c r="E493" s="1860" t="s">
        <v>3535</v>
      </c>
      <c r="F493" s="1860" t="s">
        <v>3536</v>
      </c>
      <c r="G493" s="1860" t="s">
        <v>3537</v>
      </c>
      <c r="H493" s="1860" t="s">
        <v>22</v>
      </c>
      <c r="I493" s="1860" t="s">
        <v>878</v>
      </c>
    </row>
    <row customHeight="1" ht="11.25">
      <c r="A494" s="1860" t="s">
        <v>2528</v>
      </c>
      <c r="B494" s="1860" t="s">
        <v>16</v>
      </c>
      <c r="C494" s="1860" t="s">
        <v>2974</v>
      </c>
      <c r="D494" s="1860" t="s">
        <v>2975</v>
      </c>
      <c r="E494" s="1860" t="s">
        <v>2976</v>
      </c>
      <c r="F494" s="1860" t="s">
        <v>2977</v>
      </c>
      <c r="G494" s="1860" t="s">
        <v>2978</v>
      </c>
      <c r="H494" s="1860" t="s">
        <v>22</v>
      </c>
      <c r="I494" s="1860" t="s">
        <v>878</v>
      </c>
    </row>
    <row customHeight="1" ht="11.25">
      <c r="A495" s="1860" t="s">
        <v>2528</v>
      </c>
      <c r="B495" s="1860" t="s">
        <v>16</v>
      </c>
      <c r="C495" s="1860" t="s">
        <v>2984</v>
      </c>
      <c r="D495" s="1860" t="s">
        <v>2985</v>
      </c>
      <c r="E495" s="1860" t="s">
        <v>2986</v>
      </c>
      <c r="F495" s="1860" t="s">
        <v>2905</v>
      </c>
      <c r="G495" s="1860" t="s">
        <v>2987</v>
      </c>
      <c r="H495" s="1860" t="s">
        <v>22</v>
      </c>
      <c r="I495" s="1860" t="s">
        <v>878</v>
      </c>
    </row>
    <row customHeight="1" ht="11.25">
      <c r="A496" s="1860" t="s">
        <v>2528</v>
      </c>
      <c r="B496" s="1860" t="s">
        <v>16</v>
      </c>
      <c r="C496" s="1860" t="s">
        <v>3538</v>
      </c>
      <c r="D496" s="1860" t="s">
        <v>3539</v>
      </c>
      <c r="E496" s="1860" t="s">
        <v>3540</v>
      </c>
      <c r="F496" s="1860" t="s">
        <v>3541</v>
      </c>
      <c r="G496" s="1860" t="s">
        <v>2692</v>
      </c>
      <c r="H496" s="1860" t="s">
        <v>22</v>
      </c>
      <c r="I496" s="1860" t="s">
        <v>878</v>
      </c>
    </row>
    <row customHeight="1" ht="11.25">
      <c r="A497" s="1860" t="s">
        <v>2528</v>
      </c>
      <c r="B497" s="1860" t="s">
        <v>16</v>
      </c>
      <c r="C497" s="1860" t="s">
        <v>3542</v>
      </c>
      <c r="D497" s="1860" t="s">
        <v>3543</v>
      </c>
      <c r="E497" s="1860" t="s">
        <v>3544</v>
      </c>
      <c r="F497" s="1860" t="s">
        <v>3545</v>
      </c>
      <c r="G497" s="1860" t="s">
        <v>3546</v>
      </c>
      <c r="H497" s="1860" t="s">
        <v>22</v>
      </c>
      <c r="I497" s="1860" t="s">
        <v>878</v>
      </c>
    </row>
    <row customHeight="1" ht="11.25">
      <c r="A498" s="1860" t="s">
        <v>2528</v>
      </c>
      <c r="B498" s="1860" t="s">
        <v>16</v>
      </c>
      <c r="C498" s="1860" t="s">
        <v>3547</v>
      </c>
      <c r="D498" s="1860" t="s">
        <v>3548</v>
      </c>
      <c r="E498" s="1860" t="s">
        <v>3549</v>
      </c>
      <c r="F498" s="1860" t="s">
        <v>2905</v>
      </c>
      <c r="G498" s="1860" t="s">
        <v>3550</v>
      </c>
      <c r="H498" s="1860" t="s">
        <v>22</v>
      </c>
      <c r="I498" s="1860" t="s">
        <v>878</v>
      </c>
    </row>
    <row customHeight="1" ht="11.25">
      <c r="A499" s="1860" t="s">
        <v>2528</v>
      </c>
      <c r="B499" s="1860" t="s">
        <v>16</v>
      </c>
      <c r="C499" s="1860" t="s">
        <v>2988</v>
      </c>
      <c r="D499" s="1860" t="s">
        <v>2989</v>
      </c>
      <c r="E499" s="1860" t="s">
        <v>2990</v>
      </c>
      <c r="F499" s="1860" t="s">
        <v>2540</v>
      </c>
      <c r="G499" s="1860" t="s">
        <v>2991</v>
      </c>
      <c r="H499" s="1860" t="s">
        <v>22</v>
      </c>
      <c r="I499" s="1860" t="s">
        <v>878</v>
      </c>
    </row>
    <row customHeight="1" ht="11.25">
      <c r="A500" s="1860" t="s">
        <v>2528</v>
      </c>
      <c r="B500" s="1860" t="s">
        <v>16</v>
      </c>
      <c r="C500" s="1860" t="s">
        <v>3551</v>
      </c>
      <c r="D500" s="1860" t="s">
        <v>3552</v>
      </c>
      <c r="E500" s="1860" t="s">
        <v>3553</v>
      </c>
      <c r="F500" s="1860" t="s">
        <v>2540</v>
      </c>
      <c r="G500" s="1860" t="s">
        <v>3554</v>
      </c>
      <c r="H500" s="1860" t="s">
        <v>22</v>
      </c>
      <c r="I500" s="1860" t="s">
        <v>878</v>
      </c>
    </row>
    <row customHeight="1" ht="11.25">
      <c r="A501" s="1860" t="s">
        <v>2528</v>
      </c>
      <c r="B501" s="1860" t="s">
        <v>16</v>
      </c>
      <c r="C501" s="1860" t="s">
        <v>3001</v>
      </c>
      <c r="D501" s="1860" t="s">
        <v>3002</v>
      </c>
      <c r="E501" s="1860" t="s">
        <v>3003</v>
      </c>
      <c r="F501" s="1860" t="s">
        <v>2540</v>
      </c>
      <c r="G501" s="1860" t="s">
        <v>3004</v>
      </c>
      <c r="H501" s="1860" t="s">
        <v>22</v>
      </c>
      <c r="I501" s="1860" t="s">
        <v>878</v>
      </c>
    </row>
    <row customHeight="1" ht="11.25">
      <c r="A502" s="1860" t="s">
        <v>2528</v>
      </c>
      <c r="B502" s="1860" t="s">
        <v>16</v>
      </c>
      <c r="C502" s="1860" t="s">
        <v>3009</v>
      </c>
      <c r="D502" s="1860" t="s">
        <v>3010</v>
      </c>
      <c r="E502" s="1860" t="s">
        <v>3011</v>
      </c>
      <c r="F502" s="1860" t="s">
        <v>2886</v>
      </c>
      <c r="G502" s="1860" t="s">
        <v>22</v>
      </c>
      <c r="H502" s="1860" t="s">
        <v>22</v>
      </c>
      <c r="I502" s="1860" t="s">
        <v>878</v>
      </c>
    </row>
    <row customHeight="1" ht="11.25">
      <c r="A503" s="1860" t="s">
        <v>2528</v>
      </c>
      <c r="B503" s="1860" t="s">
        <v>16</v>
      </c>
      <c r="C503" s="1860" t="s">
        <v>3012</v>
      </c>
      <c r="D503" s="1860" t="s">
        <v>3013</v>
      </c>
      <c r="E503" s="1860" t="s">
        <v>3014</v>
      </c>
      <c r="F503" s="1860" t="s">
        <v>2896</v>
      </c>
      <c r="G503" s="1860" t="s">
        <v>3015</v>
      </c>
      <c r="H503" s="1860" t="s">
        <v>22</v>
      </c>
      <c r="I503" s="1860" t="s">
        <v>878</v>
      </c>
    </row>
    <row customHeight="1" ht="11.25">
      <c r="A504" s="1860" t="s">
        <v>2528</v>
      </c>
      <c r="B504" s="1860" t="s">
        <v>16</v>
      </c>
      <c r="C504" s="1860" t="s">
        <v>3020</v>
      </c>
      <c r="D504" s="1860" t="s">
        <v>3021</v>
      </c>
      <c r="E504" s="1860" t="s">
        <v>3022</v>
      </c>
      <c r="F504" s="1860" t="s">
        <v>2540</v>
      </c>
      <c r="G504" s="1860" t="s">
        <v>3023</v>
      </c>
      <c r="H504" s="1860" t="s">
        <v>22</v>
      </c>
      <c r="I504" s="1860" t="s">
        <v>878</v>
      </c>
    </row>
    <row customHeight="1" ht="11.25">
      <c r="A505" s="1860" t="s">
        <v>2528</v>
      </c>
      <c r="B505" s="1860" t="s">
        <v>16</v>
      </c>
      <c r="C505" s="1860" t="s">
        <v>3555</v>
      </c>
      <c r="D505" s="1860" t="s">
        <v>3556</v>
      </c>
      <c r="E505" s="1860" t="s">
        <v>3557</v>
      </c>
      <c r="F505" s="1860" t="s">
        <v>2540</v>
      </c>
      <c r="G505" s="1860" t="s">
        <v>3558</v>
      </c>
      <c r="H505" s="1860" t="s">
        <v>22</v>
      </c>
      <c r="I505" s="1860" t="s">
        <v>878</v>
      </c>
    </row>
    <row customHeight="1" ht="11.25">
      <c r="A506" s="1860" t="s">
        <v>2528</v>
      </c>
      <c r="B506" s="1860" t="s">
        <v>16</v>
      </c>
      <c r="C506" s="1860" t="s">
        <v>3048</v>
      </c>
      <c r="D506" s="1860" t="s">
        <v>3049</v>
      </c>
      <c r="E506" s="1860" t="s">
        <v>3050</v>
      </c>
      <c r="F506" s="1860" t="s">
        <v>2635</v>
      </c>
      <c r="G506" s="1860" t="s">
        <v>3051</v>
      </c>
      <c r="H506" s="1860" t="s">
        <v>22</v>
      </c>
      <c r="I506" s="1860" t="s">
        <v>878</v>
      </c>
    </row>
    <row customHeight="1" ht="11.25">
      <c r="A507" s="1860" t="s">
        <v>2528</v>
      </c>
      <c r="B507" s="1860" t="s">
        <v>16</v>
      </c>
      <c r="C507" s="1860" t="s">
        <v>3559</v>
      </c>
      <c r="D507" s="1860" t="s">
        <v>3560</v>
      </c>
      <c r="E507" s="1860" t="s">
        <v>3561</v>
      </c>
      <c r="F507" s="1860" t="s">
        <v>2905</v>
      </c>
      <c r="G507" s="1860" t="s">
        <v>3562</v>
      </c>
      <c r="H507" s="1860" t="s">
        <v>22</v>
      </c>
      <c r="I507" s="1860" t="s">
        <v>878</v>
      </c>
    </row>
    <row customHeight="1" ht="11.25">
      <c r="A508" s="1860" t="s">
        <v>2528</v>
      </c>
      <c r="B508" s="1860" t="s">
        <v>16</v>
      </c>
      <c r="C508" s="1860" t="s">
        <v>3052</v>
      </c>
      <c r="D508" s="1860" t="s">
        <v>3053</v>
      </c>
      <c r="E508" s="1860" t="s">
        <v>3054</v>
      </c>
      <c r="F508" s="1860" t="s">
        <v>2927</v>
      </c>
      <c r="G508" s="1860" t="s">
        <v>3055</v>
      </c>
      <c r="H508" s="1860" t="s">
        <v>22</v>
      </c>
      <c r="I508" s="1860" t="s">
        <v>878</v>
      </c>
    </row>
    <row customHeight="1" ht="11.25">
      <c r="A509" s="1860" t="s">
        <v>2528</v>
      </c>
      <c r="B509" s="1860" t="s">
        <v>16</v>
      </c>
      <c r="C509" s="1860" t="s">
        <v>3056</v>
      </c>
      <c r="D509" s="1860" t="s">
        <v>3057</v>
      </c>
      <c r="E509" s="1860" t="s">
        <v>3058</v>
      </c>
      <c r="F509" s="1860" t="s">
        <v>2563</v>
      </c>
      <c r="G509" s="1860" t="s">
        <v>3059</v>
      </c>
      <c r="H509" s="1860" t="s">
        <v>22</v>
      </c>
      <c r="I509" s="1860" t="s">
        <v>878</v>
      </c>
    </row>
    <row customHeight="1" ht="11.25">
      <c r="A510" s="1860" t="s">
        <v>2528</v>
      </c>
      <c r="B510" s="1860" t="s">
        <v>16</v>
      </c>
      <c r="C510" s="1860" t="s">
        <v>3064</v>
      </c>
      <c r="D510" s="1860" t="s">
        <v>3065</v>
      </c>
      <c r="E510" s="1860" t="s">
        <v>3066</v>
      </c>
      <c r="F510" s="1860" t="s">
        <v>2540</v>
      </c>
      <c r="G510" s="1860" t="s">
        <v>3067</v>
      </c>
      <c r="H510" s="1860" t="s">
        <v>22</v>
      </c>
      <c r="I510" s="1860" t="s">
        <v>878</v>
      </c>
    </row>
    <row customHeight="1" ht="11.25">
      <c r="A511" s="1860" t="s">
        <v>2528</v>
      </c>
      <c r="B511" s="1860" t="s">
        <v>16</v>
      </c>
      <c r="C511" s="1860" t="s">
        <v>3068</v>
      </c>
      <c r="D511" s="1860" t="s">
        <v>3069</v>
      </c>
      <c r="E511" s="1860" t="s">
        <v>3070</v>
      </c>
      <c r="F511" s="1860" t="s">
        <v>3071</v>
      </c>
      <c r="G511" s="1860" t="s">
        <v>3072</v>
      </c>
      <c r="H511" s="1860" t="s">
        <v>22</v>
      </c>
      <c r="I511" s="1860" t="s">
        <v>878</v>
      </c>
    </row>
    <row customHeight="1" ht="11.25">
      <c r="A512" s="1860" t="s">
        <v>2528</v>
      </c>
      <c r="B512" s="1860" t="s">
        <v>16</v>
      </c>
      <c r="C512" s="1860" t="s">
        <v>3073</v>
      </c>
      <c r="D512" s="1860" t="s">
        <v>3074</v>
      </c>
      <c r="E512" s="1860" t="s">
        <v>3075</v>
      </c>
      <c r="F512" s="1860" t="s">
        <v>2949</v>
      </c>
      <c r="G512" s="1860" t="s">
        <v>3076</v>
      </c>
      <c r="H512" s="1860" t="s">
        <v>22</v>
      </c>
      <c r="I512" s="1860" t="s">
        <v>878</v>
      </c>
    </row>
    <row customHeight="1" ht="11.25">
      <c r="A513" s="1860" t="s">
        <v>2528</v>
      </c>
      <c r="B513" s="1860" t="s">
        <v>16</v>
      </c>
      <c r="C513" s="1860" t="s">
        <v>3077</v>
      </c>
      <c r="D513" s="1860" t="s">
        <v>3078</v>
      </c>
      <c r="E513" s="1860" t="s">
        <v>3079</v>
      </c>
      <c r="F513" s="1860" t="s">
        <v>3071</v>
      </c>
      <c r="G513" s="1860" t="s">
        <v>3080</v>
      </c>
      <c r="H513" s="1860" t="s">
        <v>22</v>
      </c>
      <c r="I513" s="1860" t="s">
        <v>878</v>
      </c>
    </row>
    <row customHeight="1" ht="11.25">
      <c r="A514" s="1860" t="s">
        <v>2528</v>
      </c>
      <c r="B514" s="1860" t="s">
        <v>16</v>
      </c>
      <c r="C514" s="1860" t="s">
        <v>3563</v>
      </c>
      <c r="D514" s="1860" t="s">
        <v>3564</v>
      </c>
      <c r="E514" s="1860" t="s">
        <v>3565</v>
      </c>
      <c r="F514" s="1860" t="s">
        <v>2540</v>
      </c>
      <c r="G514" s="1860" t="s">
        <v>3566</v>
      </c>
      <c r="H514" s="1860" t="s">
        <v>22</v>
      </c>
      <c r="I514" s="1860" t="s">
        <v>878</v>
      </c>
    </row>
    <row customHeight="1" ht="11.25">
      <c r="A515" s="1860" t="s">
        <v>2528</v>
      </c>
      <c r="B515" s="1860" t="s">
        <v>16</v>
      </c>
      <c r="C515" s="1860" t="s">
        <v>3085</v>
      </c>
      <c r="D515" s="1860" t="s">
        <v>3086</v>
      </c>
      <c r="E515" s="1860" t="s">
        <v>3087</v>
      </c>
      <c r="F515" s="1860" t="s">
        <v>3071</v>
      </c>
      <c r="G515" s="1860" t="s">
        <v>3088</v>
      </c>
      <c r="H515" s="1860" t="s">
        <v>22</v>
      </c>
      <c r="I515" s="1860" t="s">
        <v>878</v>
      </c>
    </row>
    <row customHeight="1" ht="11.25">
      <c r="A516" s="1860" t="s">
        <v>2528</v>
      </c>
      <c r="B516" s="1860" t="s">
        <v>16</v>
      </c>
      <c r="C516" s="1860" t="s">
        <v>3108</v>
      </c>
      <c r="D516" s="1860" t="s">
        <v>3109</v>
      </c>
      <c r="E516" s="1860" t="s">
        <v>3110</v>
      </c>
      <c r="F516" s="1860" t="s">
        <v>2914</v>
      </c>
      <c r="G516" s="1860" t="s">
        <v>3111</v>
      </c>
      <c r="H516" s="1860" t="s">
        <v>22</v>
      </c>
      <c r="I516" s="1860" t="s">
        <v>878</v>
      </c>
    </row>
    <row customHeight="1" ht="11.25">
      <c r="A517" s="1860" t="s">
        <v>2528</v>
      </c>
      <c r="B517" s="1860" t="s">
        <v>16</v>
      </c>
      <c r="C517" s="1860" t="s">
        <v>3116</v>
      </c>
      <c r="D517" s="1860" t="s">
        <v>3117</v>
      </c>
      <c r="E517" s="1860" t="s">
        <v>3118</v>
      </c>
      <c r="F517" s="1860" t="s">
        <v>3119</v>
      </c>
      <c r="G517" s="1860" t="s">
        <v>3120</v>
      </c>
      <c r="H517" s="1860" t="s">
        <v>22</v>
      </c>
      <c r="I517" s="1860" t="s">
        <v>878</v>
      </c>
    </row>
    <row customHeight="1" ht="11.25">
      <c r="A518" s="1860" t="s">
        <v>2528</v>
      </c>
      <c r="B518" s="1860" t="s">
        <v>16</v>
      </c>
      <c r="C518" s="1860" t="s">
        <v>3567</v>
      </c>
      <c r="D518" s="1860" t="s">
        <v>3117</v>
      </c>
      <c r="E518" s="1860" t="s">
        <v>3568</v>
      </c>
      <c r="F518" s="1860" t="s">
        <v>2540</v>
      </c>
      <c r="G518" s="1860" t="s">
        <v>3569</v>
      </c>
      <c r="H518" s="1860" t="s">
        <v>22</v>
      </c>
      <c r="I518" s="1860" t="s">
        <v>878</v>
      </c>
    </row>
    <row customHeight="1" ht="11.25">
      <c r="A519" s="1860" t="s">
        <v>2528</v>
      </c>
      <c r="B519" s="1860" t="s">
        <v>16</v>
      </c>
      <c r="C519" s="1860" t="s">
        <v>3126</v>
      </c>
      <c r="D519" s="1860" t="s">
        <v>3127</v>
      </c>
      <c r="E519" s="1860" t="s">
        <v>3128</v>
      </c>
      <c r="F519" s="1860" t="s">
        <v>3027</v>
      </c>
      <c r="G519" s="1860" t="s">
        <v>3129</v>
      </c>
      <c r="H519" s="1860" t="s">
        <v>22</v>
      </c>
      <c r="I519" s="1860" t="s">
        <v>878</v>
      </c>
    </row>
    <row customHeight="1" ht="11.25">
      <c r="A520" s="1860" t="s">
        <v>2528</v>
      </c>
      <c r="B520" s="1860" t="s">
        <v>16</v>
      </c>
      <c r="C520" s="1860" t="s">
        <v>3570</v>
      </c>
      <c r="D520" s="1860" t="s">
        <v>3571</v>
      </c>
      <c r="E520" s="1860" t="s">
        <v>3572</v>
      </c>
      <c r="F520" s="1860" t="s">
        <v>2540</v>
      </c>
      <c r="G520" s="1860" t="s">
        <v>3573</v>
      </c>
      <c r="H520" s="1860" t="s">
        <v>22</v>
      </c>
      <c r="I520" s="1860" t="s">
        <v>878</v>
      </c>
    </row>
    <row customHeight="1" ht="11.25">
      <c r="A521" s="1860" t="s">
        <v>2528</v>
      </c>
      <c r="B521" s="1860" t="s">
        <v>16</v>
      </c>
      <c r="C521" s="1860" t="s">
        <v>3574</v>
      </c>
      <c r="D521" s="1860" t="s">
        <v>3575</v>
      </c>
      <c r="E521" s="1860" t="s">
        <v>3576</v>
      </c>
      <c r="F521" s="1860" t="s">
        <v>2540</v>
      </c>
      <c r="G521" s="1860" t="s">
        <v>3577</v>
      </c>
      <c r="H521" s="1860" t="s">
        <v>22</v>
      </c>
      <c r="I521" s="1860" t="s">
        <v>878</v>
      </c>
    </row>
    <row customHeight="1" ht="11.25">
      <c r="A522" s="1860" t="s">
        <v>2528</v>
      </c>
      <c r="B522" s="1860" t="s">
        <v>16</v>
      </c>
      <c r="C522" s="1860" t="s">
        <v>3138</v>
      </c>
      <c r="D522" s="1860" t="s">
        <v>3139</v>
      </c>
      <c r="E522" s="1860" t="s">
        <v>3140</v>
      </c>
      <c r="F522" s="1860" t="s">
        <v>2540</v>
      </c>
      <c r="G522" s="1860" t="s">
        <v>3141</v>
      </c>
      <c r="H522" s="1860" t="s">
        <v>22</v>
      </c>
      <c r="I522" s="1860" t="s">
        <v>878</v>
      </c>
    </row>
    <row customHeight="1" ht="11.25">
      <c r="A523" s="1860" t="s">
        <v>2528</v>
      </c>
      <c r="B523" s="1860" t="s">
        <v>16</v>
      </c>
      <c r="C523" s="1860" t="s">
        <v>3145</v>
      </c>
      <c r="D523" s="1860" t="s">
        <v>3146</v>
      </c>
      <c r="E523" s="1860" t="s">
        <v>3147</v>
      </c>
      <c r="F523" s="1860" t="s">
        <v>2949</v>
      </c>
      <c r="G523" s="1860" t="s">
        <v>3148</v>
      </c>
      <c r="H523" s="1860" t="s">
        <v>22</v>
      </c>
      <c r="I523" s="1860" t="s">
        <v>878</v>
      </c>
    </row>
    <row customHeight="1" ht="11.25">
      <c r="A524" s="1860" t="s">
        <v>2528</v>
      </c>
      <c r="B524" s="1860" t="s">
        <v>16</v>
      </c>
      <c r="C524" s="1860" t="s">
        <v>3578</v>
      </c>
      <c r="D524" s="1860" t="s">
        <v>3579</v>
      </c>
      <c r="E524" s="1860" t="s">
        <v>3580</v>
      </c>
      <c r="F524" s="1860" t="s">
        <v>2896</v>
      </c>
      <c r="G524" s="1860" t="s">
        <v>3581</v>
      </c>
      <c r="H524" s="1860" t="s">
        <v>22</v>
      </c>
      <c r="I524" s="1860" t="s">
        <v>878</v>
      </c>
    </row>
    <row customHeight="1" ht="11.25">
      <c r="A525" s="1860" t="s">
        <v>2528</v>
      </c>
      <c r="B525" s="1860" t="s">
        <v>16</v>
      </c>
      <c r="C525" s="1860" t="s">
        <v>3157</v>
      </c>
      <c r="D525" s="1860" t="s">
        <v>3158</v>
      </c>
      <c r="E525" s="1860" t="s">
        <v>3159</v>
      </c>
      <c r="F525" s="1860" t="s">
        <v>2540</v>
      </c>
      <c r="G525" s="1860" t="s">
        <v>3160</v>
      </c>
      <c r="H525" s="1860" t="s">
        <v>22</v>
      </c>
      <c r="I525" s="1860" t="s">
        <v>878</v>
      </c>
    </row>
    <row customHeight="1" ht="11.25">
      <c r="A526" s="1860" t="s">
        <v>2528</v>
      </c>
      <c r="B526" s="1860" t="s">
        <v>16</v>
      </c>
      <c r="C526" s="1860" t="s">
        <v>3161</v>
      </c>
      <c r="D526" s="1860" t="s">
        <v>3162</v>
      </c>
      <c r="E526" s="1860" t="s">
        <v>3163</v>
      </c>
      <c r="F526" s="1860" t="s">
        <v>2577</v>
      </c>
      <c r="G526" s="1860" t="s">
        <v>3164</v>
      </c>
      <c r="H526" s="1860" t="s">
        <v>22</v>
      </c>
      <c r="I526" s="1860" t="s">
        <v>878</v>
      </c>
    </row>
    <row customHeight="1" ht="11.25">
      <c r="A527" s="1860" t="s">
        <v>2528</v>
      </c>
      <c r="B527" s="1860" t="s">
        <v>16</v>
      </c>
      <c r="C527" s="1860" t="s">
        <v>3165</v>
      </c>
      <c r="D527" s="1860" t="s">
        <v>3166</v>
      </c>
      <c r="E527" s="1860" t="s">
        <v>3167</v>
      </c>
      <c r="F527" s="1860" t="s">
        <v>2936</v>
      </c>
      <c r="G527" s="1860" t="s">
        <v>3168</v>
      </c>
      <c r="H527" s="1860" t="s">
        <v>22</v>
      </c>
      <c r="I527" s="1860" t="s">
        <v>878</v>
      </c>
    </row>
    <row customHeight="1" ht="11.25">
      <c r="A528" s="1860" t="s">
        <v>2528</v>
      </c>
      <c r="B528" s="1860" t="s">
        <v>16</v>
      </c>
      <c r="C528" s="1860" t="s">
        <v>3203</v>
      </c>
      <c r="D528" s="1860" t="s">
        <v>3204</v>
      </c>
      <c r="E528" s="1860" t="s">
        <v>3205</v>
      </c>
      <c r="F528" s="1860" t="s">
        <v>2635</v>
      </c>
      <c r="G528" s="1860" t="s">
        <v>3206</v>
      </c>
      <c r="H528" s="1860" t="s">
        <v>22</v>
      </c>
      <c r="I528" s="1860" t="s">
        <v>878</v>
      </c>
    </row>
    <row customHeight="1" ht="11.25">
      <c r="A529" s="1860" t="s">
        <v>2528</v>
      </c>
      <c r="B529" s="1860" t="s">
        <v>16</v>
      </c>
      <c r="C529" s="1860" t="s">
        <v>3207</v>
      </c>
      <c r="D529" s="1860" t="s">
        <v>3208</v>
      </c>
      <c r="E529" s="1860" t="s">
        <v>3209</v>
      </c>
      <c r="F529" s="1860" t="s">
        <v>2886</v>
      </c>
      <c r="G529" s="1860" t="s">
        <v>3210</v>
      </c>
      <c r="H529" s="1860" t="s">
        <v>22</v>
      </c>
      <c r="I529" s="1860" t="s">
        <v>878</v>
      </c>
    </row>
    <row customHeight="1" ht="11.25">
      <c r="A530" s="1860" t="s">
        <v>2528</v>
      </c>
      <c r="B530" s="1860" t="s">
        <v>16</v>
      </c>
      <c r="C530" s="1860" t="s">
        <v>3211</v>
      </c>
      <c r="D530" s="1860" t="s">
        <v>3212</v>
      </c>
      <c r="E530" s="1860" t="s">
        <v>3213</v>
      </c>
      <c r="F530" s="1860" t="s">
        <v>2540</v>
      </c>
      <c r="G530" s="1860" t="s">
        <v>3214</v>
      </c>
      <c r="H530" s="1860" t="s">
        <v>22</v>
      </c>
      <c r="I530" s="1860" t="s">
        <v>878</v>
      </c>
    </row>
    <row customHeight="1" ht="11.25">
      <c r="A531" s="1860" t="s">
        <v>2528</v>
      </c>
      <c r="B531" s="1860" t="s">
        <v>16</v>
      </c>
      <c r="C531" s="1860" t="s">
        <v>3215</v>
      </c>
      <c r="D531" s="1860" t="s">
        <v>3216</v>
      </c>
      <c r="E531" s="1860" t="s">
        <v>3217</v>
      </c>
      <c r="F531" s="1860" t="s">
        <v>2540</v>
      </c>
      <c r="G531" s="1860" t="s">
        <v>3218</v>
      </c>
      <c r="H531" s="1860" t="s">
        <v>22</v>
      </c>
      <c r="I531" s="1860" t="s">
        <v>878</v>
      </c>
    </row>
    <row customHeight="1" ht="11.25">
      <c r="A532" s="1860" t="s">
        <v>2528</v>
      </c>
      <c r="B532" s="1860" t="s">
        <v>16</v>
      </c>
      <c r="C532" s="1860" t="s">
        <v>3227</v>
      </c>
      <c r="D532" s="1860" t="s">
        <v>3228</v>
      </c>
      <c r="E532" s="1860" t="s">
        <v>3229</v>
      </c>
      <c r="F532" s="1860" t="s">
        <v>2886</v>
      </c>
      <c r="G532" s="1860" t="s">
        <v>22</v>
      </c>
      <c r="H532" s="1860" t="s">
        <v>22</v>
      </c>
      <c r="I532" s="1860" t="s">
        <v>878</v>
      </c>
    </row>
    <row customHeight="1" ht="11.25">
      <c r="A533" s="1860" t="s">
        <v>2528</v>
      </c>
      <c r="B533" s="1860" t="s">
        <v>16</v>
      </c>
      <c r="C533" s="1860" t="s">
        <v>3243</v>
      </c>
      <c r="D533" s="1860" t="s">
        <v>3244</v>
      </c>
      <c r="E533" s="1860" t="s">
        <v>3245</v>
      </c>
      <c r="F533" s="1860" t="s">
        <v>2891</v>
      </c>
      <c r="G533" s="1860" t="s">
        <v>3246</v>
      </c>
      <c r="H533" s="1860" t="s">
        <v>22</v>
      </c>
      <c r="I533" s="1860" t="s">
        <v>878</v>
      </c>
    </row>
    <row customHeight="1" ht="11.25">
      <c r="A534" s="1860" t="s">
        <v>2528</v>
      </c>
      <c r="B534" s="1860" t="s">
        <v>16</v>
      </c>
      <c r="C534" s="1860" t="s">
        <v>3582</v>
      </c>
      <c r="D534" s="1860" t="s">
        <v>3583</v>
      </c>
      <c r="E534" s="1860" t="s">
        <v>3584</v>
      </c>
      <c r="F534" s="1860" t="s">
        <v>2635</v>
      </c>
      <c r="G534" s="1860" t="s">
        <v>3585</v>
      </c>
      <c r="H534" s="1860" t="s">
        <v>22</v>
      </c>
      <c r="I534" s="1860" t="s">
        <v>878</v>
      </c>
    </row>
    <row customHeight="1" ht="11.25">
      <c r="A535" s="1860" t="s">
        <v>2528</v>
      </c>
      <c r="B535" s="1860" t="s">
        <v>16</v>
      </c>
      <c r="C535" s="1860" t="s">
        <v>3586</v>
      </c>
      <c r="D535" s="1860" t="s">
        <v>3587</v>
      </c>
      <c r="E535" s="1860" t="s">
        <v>3588</v>
      </c>
      <c r="F535" s="1860" t="s">
        <v>2936</v>
      </c>
      <c r="G535" s="1860" t="s">
        <v>3589</v>
      </c>
      <c r="H535" s="1860" t="s">
        <v>22</v>
      </c>
      <c r="I535" s="1860" t="s">
        <v>878</v>
      </c>
    </row>
    <row customHeight="1" ht="11.25">
      <c r="A536" s="1860" t="s">
        <v>2528</v>
      </c>
      <c r="B536" s="1860" t="s">
        <v>16</v>
      </c>
      <c r="C536" s="1860" t="s">
        <v>3256</v>
      </c>
      <c r="D536" s="1860" t="s">
        <v>3257</v>
      </c>
      <c r="E536" s="1860" t="s">
        <v>3258</v>
      </c>
      <c r="F536" s="1860" t="s">
        <v>2896</v>
      </c>
      <c r="G536" s="1860" t="s">
        <v>3259</v>
      </c>
      <c r="H536" s="1860" t="s">
        <v>22</v>
      </c>
      <c r="I536" s="1860" t="s">
        <v>878</v>
      </c>
    </row>
    <row customHeight="1" ht="11.25">
      <c r="A537" s="1860" t="s">
        <v>2528</v>
      </c>
      <c r="B537" s="1860" t="s">
        <v>16</v>
      </c>
      <c r="C537" s="1860" t="s">
        <v>3590</v>
      </c>
      <c r="D537" s="1860" t="s">
        <v>3591</v>
      </c>
      <c r="E537" s="1860" t="s">
        <v>3592</v>
      </c>
      <c r="F537" s="1860" t="s">
        <v>2995</v>
      </c>
      <c r="G537" s="1860" t="s">
        <v>3593</v>
      </c>
      <c r="H537" s="1860" t="s">
        <v>22</v>
      </c>
      <c r="I537" s="1860" t="s">
        <v>878</v>
      </c>
    </row>
    <row customHeight="1" ht="11.25">
      <c r="A538" s="1860" t="s">
        <v>2528</v>
      </c>
      <c r="B538" s="1860" t="s">
        <v>16</v>
      </c>
      <c r="C538" s="1860" t="s">
        <v>3594</v>
      </c>
      <c r="D538" s="1860" t="s">
        <v>3595</v>
      </c>
      <c r="E538" s="1860" t="s">
        <v>3596</v>
      </c>
      <c r="F538" s="1860" t="s">
        <v>2982</v>
      </c>
      <c r="G538" s="1860" t="s">
        <v>3597</v>
      </c>
      <c r="H538" s="1860" t="s">
        <v>22</v>
      </c>
      <c r="I538" s="1860" t="s">
        <v>878</v>
      </c>
    </row>
    <row customHeight="1" ht="11.25">
      <c r="A539" s="1860" t="s">
        <v>2528</v>
      </c>
      <c r="B539" s="1860" t="s">
        <v>16</v>
      </c>
      <c r="C539" s="1860" t="s">
        <v>3598</v>
      </c>
      <c r="D539" s="1860" t="s">
        <v>3599</v>
      </c>
      <c r="E539" s="1860" t="s">
        <v>3600</v>
      </c>
      <c r="F539" s="1860" t="s">
        <v>2896</v>
      </c>
      <c r="G539" s="1860" t="s">
        <v>3601</v>
      </c>
      <c r="H539" s="1860" t="s">
        <v>22</v>
      </c>
      <c r="I539" s="1860" t="s">
        <v>878</v>
      </c>
    </row>
    <row customHeight="1" ht="11.25">
      <c r="A540" s="1860" t="s">
        <v>2528</v>
      </c>
      <c r="B540" s="1860" t="s">
        <v>16</v>
      </c>
      <c r="C540" s="1860" t="s">
        <v>3276</v>
      </c>
      <c r="D540" s="1860" t="s">
        <v>3277</v>
      </c>
      <c r="E540" s="1860" t="s">
        <v>3278</v>
      </c>
      <c r="F540" s="1860" t="s">
        <v>2540</v>
      </c>
      <c r="G540" s="1860" t="s">
        <v>3279</v>
      </c>
      <c r="H540" s="1860" t="s">
        <v>22</v>
      </c>
      <c r="I540" s="1860" t="s">
        <v>878</v>
      </c>
    </row>
    <row customHeight="1" ht="11.25">
      <c r="A541" s="1860" t="s">
        <v>2528</v>
      </c>
      <c r="B541" s="1860" t="s">
        <v>16</v>
      </c>
      <c r="C541" s="1860" t="s">
        <v>3280</v>
      </c>
      <c r="D541" s="1860" t="s">
        <v>3281</v>
      </c>
      <c r="E541" s="1860" t="s">
        <v>3282</v>
      </c>
      <c r="F541" s="1860" t="s">
        <v>3071</v>
      </c>
      <c r="G541" s="1860" t="s">
        <v>3283</v>
      </c>
      <c r="H541" s="1860" t="s">
        <v>22</v>
      </c>
      <c r="I541" s="1860" t="s">
        <v>878</v>
      </c>
    </row>
    <row customHeight="1" ht="11.25">
      <c r="A542" s="1860" t="s">
        <v>2528</v>
      </c>
      <c r="B542" s="1860" t="s">
        <v>16</v>
      </c>
      <c r="C542" s="1860" t="s">
        <v>3296</v>
      </c>
      <c r="D542" s="1860" t="s">
        <v>3297</v>
      </c>
      <c r="E542" s="1860" t="s">
        <v>3298</v>
      </c>
      <c r="F542" s="1860" t="s">
        <v>2540</v>
      </c>
      <c r="G542" s="1860" t="s">
        <v>3299</v>
      </c>
      <c r="H542" s="1860" t="s">
        <v>22</v>
      </c>
      <c r="I542" s="1860" t="s">
        <v>878</v>
      </c>
    </row>
    <row customHeight="1" ht="11.25">
      <c r="A543" s="1860" t="s">
        <v>2528</v>
      </c>
      <c r="B543" s="1860" t="s">
        <v>16</v>
      </c>
      <c r="C543" s="1860" t="s">
        <v>3602</v>
      </c>
      <c r="D543" s="1860" t="s">
        <v>3603</v>
      </c>
      <c r="E543" s="1860" t="s">
        <v>3604</v>
      </c>
      <c r="F543" s="1860" t="s">
        <v>2540</v>
      </c>
      <c r="G543" s="1860" t="s">
        <v>3605</v>
      </c>
      <c r="H543" s="1860" t="s">
        <v>22</v>
      </c>
      <c r="I543" s="1860" t="s">
        <v>878</v>
      </c>
    </row>
    <row customHeight="1" ht="11.25">
      <c r="A544" s="1860" t="s">
        <v>2528</v>
      </c>
      <c r="B544" s="1860" t="s">
        <v>16</v>
      </c>
      <c r="C544" s="1860" t="s">
        <v>3320</v>
      </c>
      <c r="D544" s="1860" t="s">
        <v>3321</v>
      </c>
      <c r="E544" s="1860" t="s">
        <v>3322</v>
      </c>
      <c r="F544" s="1860" t="s">
        <v>2886</v>
      </c>
      <c r="G544" s="1860" t="s">
        <v>3323</v>
      </c>
      <c r="H544" s="1860" t="s">
        <v>22</v>
      </c>
      <c r="I544" s="1860" t="s">
        <v>878</v>
      </c>
    </row>
    <row customHeight="1" ht="11.25">
      <c r="A545" s="1860" t="s">
        <v>2528</v>
      </c>
      <c r="B545" s="1860" t="s">
        <v>16</v>
      </c>
      <c r="C545" s="1860" t="s">
        <v>3329</v>
      </c>
      <c r="D545" s="1860" t="s">
        <v>3330</v>
      </c>
      <c r="E545" s="1860" t="s">
        <v>3331</v>
      </c>
      <c r="F545" s="1860" t="s">
        <v>2540</v>
      </c>
      <c r="G545" s="1860" t="s">
        <v>3332</v>
      </c>
      <c r="H545" s="1860" t="s">
        <v>22</v>
      </c>
      <c r="I545" s="1860" t="s">
        <v>878</v>
      </c>
    </row>
    <row customHeight="1" ht="11.25">
      <c r="A546" s="1860" t="s">
        <v>2528</v>
      </c>
      <c r="B546" s="1860" t="s">
        <v>16</v>
      </c>
      <c r="C546" s="1860" t="s">
        <v>3333</v>
      </c>
      <c r="D546" s="1860" t="s">
        <v>3334</v>
      </c>
      <c r="E546" s="1860" t="s">
        <v>3335</v>
      </c>
      <c r="F546" s="1860" t="s">
        <v>2577</v>
      </c>
      <c r="G546" s="1860" t="s">
        <v>3336</v>
      </c>
      <c r="H546" s="1860" t="s">
        <v>22</v>
      </c>
      <c r="I546" s="1860" t="s">
        <v>878</v>
      </c>
    </row>
    <row customHeight="1" ht="11.25">
      <c r="A547" s="1860" t="s">
        <v>2528</v>
      </c>
      <c r="B547" s="1860" t="s">
        <v>16</v>
      </c>
      <c r="C547" s="1860" t="s">
        <v>3337</v>
      </c>
      <c r="D547" s="1860" t="s">
        <v>3338</v>
      </c>
      <c r="E547" s="1860" t="s">
        <v>3339</v>
      </c>
      <c r="F547" s="1860" t="s">
        <v>3340</v>
      </c>
      <c r="G547" s="1860" t="s">
        <v>22</v>
      </c>
      <c r="H547" s="1860" t="s">
        <v>22</v>
      </c>
      <c r="I547" s="1860" t="s">
        <v>878</v>
      </c>
    </row>
    <row customHeight="1" ht="11.25">
      <c r="A548" s="1860" t="s">
        <v>2528</v>
      </c>
      <c r="B548" s="1860" t="s">
        <v>16</v>
      </c>
      <c r="C548" s="1860" t="s">
        <v>3345</v>
      </c>
      <c r="D548" s="1860" t="s">
        <v>3346</v>
      </c>
      <c r="E548" s="1860" t="s">
        <v>3347</v>
      </c>
      <c r="F548" s="1860" t="s">
        <v>2886</v>
      </c>
      <c r="G548" s="1860" t="s">
        <v>3348</v>
      </c>
      <c r="H548" s="1860" t="s">
        <v>22</v>
      </c>
      <c r="I548" s="1860" t="s">
        <v>878</v>
      </c>
    </row>
    <row customHeight="1" ht="11.25">
      <c r="A549" s="1860" t="s">
        <v>2528</v>
      </c>
      <c r="B549" s="1860" t="s">
        <v>16</v>
      </c>
      <c r="C549" s="1860" t="s">
        <v>3606</v>
      </c>
      <c r="D549" s="1860" t="s">
        <v>3607</v>
      </c>
      <c r="E549" s="1860" t="s">
        <v>3608</v>
      </c>
      <c r="F549" s="1860" t="s">
        <v>2891</v>
      </c>
      <c r="G549" s="1860" t="s">
        <v>3609</v>
      </c>
      <c r="H549" s="1860" t="s">
        <v>22</v>
      </c>
      <c r="I549" s="1860" t="s">
        <v>878</v>
      </c>
    </row>
    <row customHeight="1" ht="11.25">
      <c r="A550" s="1860" t="s">
        <v>2528</v>
      </c>
      <c r="B550" s="1860" t="s">
        <v>16</v>
      </c>
      <c r="C550" s="1860" t="s">
        <v>3353</v>
      </c>
      <c r="D550" s="1860" t="s">
        <v>3354</v>
      </c>
      <c r="E550" s="1860" t="s">
        <v>3355</v>
      </c>
      <c r="F550" s="1860" t="s">
        <v>3327</v>
      </c>
      <c r="G550" s="1860" t="s">
        <v>3356</v>
      </c>
      <c r="H550" s="1860" t="s">
        <v>22</v>
      </c>
      <c r="I550" s="1860" t="s">
        <v>878</v>
      </c>
    </row>
    <row customHeight="1" ht="11.25">
      <c r="A551" s="1860" t="s">
        <v>2528</v>
      </c>
      <c r="B551" s="1860" t="s">
        <v>16</v>
      </c>
      <c r="C551" s="1860" t="s">
        <v>3377</v>
      </c>
      <c r="D551" s="1860" t="s">
        <v>3378</v>
      </c>
      <c r="E551" s="1860" t="s">
        <v>2669</v>
      </c>
      <c r="F551" s="1860" t="s">
        <v>2620</v>
      </c>
      <c r="G551" s="1860" t="s">
        <v>3379</v>
      </c>
      <c r="H551" s="1860" t="s">
        <v>22</v>
      </c>
      <c r="I551" s="1860" t="s">
        <v>878</v>
      </c>
    </row>
    <row customHeight="1" ht="11.25">
      <c r="A552" s="1860" t="s">
        <v>2528</v>
      </c>
      <c r="B552" s="1860" t="s">
        <v>16</v>
      </c>
      <c r="C552" s="1860" t="s">
        <v>3388</v>
      </c>
      <c r="D552" s="1860" t="s">
        <v>3389</v>
      </c>
      <c r="E552" s="1860" t="s">
        <v>3390</v>
      </c>
      <c r="F552" s="1860" t="s">
        <v>3391</v>
      </c>
      <c r="G552" s="1860" t="s">
        <v>3392</v>
      </c>
      <c r="H552" s="1860" t="s">
        <v>22</v>
      </c>
      <c r="I552" s="1860" t="s">
        <v>878</v>
      </c>
    </row>
    <row customHeight="1" ht="11.25">
      <c r="A553" s="1860" t="s">
        <v>2528</v>
      </c>
      <c r="B553" s="1860" t="s">
        <v>16</v>
      </c>
      <c r="C553" s="1860" t="s">
        <v>3393</v>
      </c>
      <c r="D553" s="1860" t="s">
        <v>3394</v>
      </c>
      <c r="E553" s="1860" t="s">
        <v>3390</v>
      </c>
      <c r="F553" s="1860" t="s">
        <v>2679</v>
      </c>
      <c r="G553" s="1860" t="s">
        <v>22</v>
      </c>
      <c r="H553" s="1860" t="s">
        <v>22</v>
      </c>
      <c r="I553" s="1860" t="s">
        <v>878</v>
      </c>
    </row>
    <row customHeight="1" ht="11.25">
      <c r="A554" s="1860" t="s">
        <v>2528</v>
      </c>
      <c r="B554" s="1860" t="s">
        <v>16</v>
      </c>
      <c r="C554" s="1860" t="s">
        <v>3610</v>
      </c>
      <c r="D554" s="1860" t="s">
        <v>3611</v>
      </c>
      <c r="E554" s="1860" t="s">
        <v>3390</v>
      </c>
      <c r="F554" s="1860" t="s">
        <v>3612</v>
      </c>
      <c r="G554" s="1860" t="s">
        <v>22</v>
      </c>
      <c r="H554" s="1860" t="s">
        <v>22</v>
      </c>
      <c r="I554" s="1860" t="s">
        <v>878</v>
      </c>
    </row>
    <row customHeight="1" ht="11.25">
      <c r="A555" s="1860" t="s">
        <v>2528</v>
      </c>
      <c r="B555" s="1860" t="s">
        <v>16</v>
      </c>
      <c r="C555" s="1860" t="s">
        <v>3401</v>
      </c>
      <c r="D555" s="1860" t="s">
        <v>3402</v>
      </c>
      <c r="E555" s="1860" t="s">
        <v>3390</v>
      </c>
      <c r="F555" s="1860" t="s">
        <v>3403</v>
      </c>
      <c r="G555" s="1860" t="s">
        <v>3398</v>
      </c>
      <c r="H555" s="1860" t="s">
        <v>22</v>
      </c>
      <c r="I555" s="1860" t="s">
        <v>878</v>
      </c>
    </row>
    <row customHeight="1" ht="11.25">
      <c r="A556" s="1860" t="s">
        <v>2528</v>
      </c>
      <c r="B556" s="1860" t="s">
        <v>16</v>
      </c>
      <c r="C556" s="1860" t="s">
        <v>3613</v>
      </c>
      <c r="D556" s="1860" t="s">
        <v>3614</v>
      </c>
      <c r="E556" s="1860" t="s">
        <v>3615</v>
      </c>
      <c r="F556" s="1860" t="s">
        <v>2982</v>
      </c>
      <c r="G556" s="1860" t="s">
        <v>3616</v>
      </c>
      <c r="H556" s="1860" t="s">
        <v>22</v>
      </c>
      <c r="I556" s="1860" t="s">
        <v>878</v>
      </c>
    </row>
    <row customHeight="1" ht="11.25">
      <c r="A557" s="1860" t="s">
        <v>2528</v>
      </c>
      <c r="B557" s="1860" t="s">
        <v>16</v>
      </c>
      <c r="C557" s="1860" t="s">
        <v>3428</v>
      </c>
      <c r="D557" s="1860" t="s">
        <v>3429</v>
      </c>
      <c r="E557" s="1860" t="s">
        <v>3430</v>
      </c>
      <c r="F557" s="1860" t="s">
        <v>2905</v>
      </c>
      <c r="G557" s="1860" t="s">
        <v>3431</v>
      </c>
      <c r="H557" s="1860" t="s">
        <v>22</v>
      </c>
      <c r="I557" s="1860" t="s">
        <v>878</v>
      </c>
    </row>
    <row customHeight="1" ht="11.25">
      <c r="A558" s="1860" t="s">
        <v>2528</v>
      </c>
      <c r="B558" s="1860" t="s">
        <v>16</v>
      </c>
      <c r="C558" s="1860" t="s">
        <v>3432</v>
      </c>
      <c r="D558" s="1860" t="s">
        <v>3433</v>
      </c>
      <c r="E558" s="1860" t="s">
        <v>3425</v>
      </c>
      <c r="F558" s="1860" t="s">
        <v>2727</v>
      </c>
      <c r="G558" s="1860" t="s">
        <v>3434</v>
      </c>
      <c r="H558" s="1860" t="s">
        <v>22</v>
      </c>
      <c r="I558" s="1860" t="s">
        <v>878</v>
      </c>
    </row>
    <row customHeight="1" ht="11.25">
      <c r="A559" s="1860" t="s">
        <v>2528</v>
      </c>
      <c r="B559" s="1860" t="s">
        <v>16</v>
      </c>
      <c r="C559" s="1860" t="s">
        <v>3617</v>
      </c>
      <c r="D559" s="1860" t="s">
        <v>3618</v>
      </c>
      <c r="E559" s="1860" t="s">
        <v>3540</v>
      </c>
      <c r="F559" s="1860" t="s">
        <v>3619</v>
      </c>
      <c r="G559" s="1860" t="s">
        <v>3620</v>
      </c>
      <c r="H559" s="1860" t="s">
        <v>22</v>
      </c>
      <c r="I559" s="1860" t="s">
        <v>878</v>
      </c>
    </row>
    <row customHeight="1" ht="11.25">
      <c r="A560" s="1860" t="s">
        <v>2528</v>
      </c>
      <c r="B560" s="1860" t="s">
        <v>16</v>
      </c>
      <c r="C560" s="1860" t="s">
        <v>3435</v>
      </c>
      <c r="D560" s="1860" t="s">
        <v>3436</v>
      </c>
      <c r="E560" s="1860" t="s">
        <v>2669</v>
      </c>
      <c r="F560" s="1860" t="s">
        <v>3437</v>
      </c>
      <c r="G560" s="1860" t="s">
        <v>2680</v>
      </c>
      <c r="H560" s="1860" t="s">
        <v>22</v>
      </c>
      <c r="I560" s="1860" t="s">
        <v>878</v>
      </c>
    </row>
    <row customHeight="1" ht="11.25">
      <c r="A561" s="1860" t="s">
        <v>2528</v>
      </c>
      <c r="B561" s="1860" t="s">
        <v>16</v>
      </c>
      <c r="C561" s="1860" t="s">
        <v>3438</v>
      </c>
      <c r="D561" s="1860" t="s">
        <v>3439</v>
      </c>
      <c r="E561" s="1860" t="s">
        <v>2669</v>
      </c>
      <c r="F561" s="1860" t="s">
        <v>3440</v>
      </c>
      <c r="G561" s="1860" t="s">
        <v>2680</v>
      </c>
      <c r="H561" s="1860" t="s">
        <v>22</v>
      </c>
      <c r="I561" s="1860" t="s">
        <v>878</v>
      </c>
    </row>
    <row customHeight="1" ht="11.25">
      <c r="A562" s="1860" t="s">
        <v>2528</v>
      </c>
      <c r="B562" s="1860" t="s">
        <v>16</v>
      </c>
      <c r="C562" s="1860" t="s">
        <v>3448</v>
      </c>
      <c r="D562" s="1860" t="s">
        <v>3449</v>
      </c>
      <c r="E562" s="1860" t="s">
        <v>2791</v>
      </c>
      <c r="F562" s="1860" t="s">
        <v>3450</v>
      </c>
      <c r="G562" s="1860" t="s">
        <v>3451</v>
      </c>
      <c r="H562" s="1860" t="s">
        <v>22</v>
      </c>
      <c r="I562" s="1860" t="s">
        <v>878</v>
      </c>
    </row>
    <row customHeight="1" ht="11.25">
      <c r="A563" s="1860" t="s">
        <v>2528</v>
      </c>
      <c r="B563" s="1860" t="s">
        <v>16</v>
      </c>
      <c r="C563" s="1860" t="s">
        <v>3458</v>
      </c>
      <c r="D563" s="1860" t="s">
        <v>3459</v>
      </c>
      <c r="E563" s="1860" t="s">
        <v>3454</v>
      </c>
      <c r="F563" s="1860" t="s">
        <v>3460</v>
      </c>
      <c r="G563" s="1860" t="s">
        <v>22</v>
      </c>
      <c r="H563" s="1860" t="s">
        <v>22</v>
      </c>
      <c r="I563" s="1860" t="s">
        <v>878</v>
      </c>
    </row>
    <row customHeight="1" ht="11.25">
      <c r="A564" s="1860" t="s">
        <v>2528</v>
      </c>
      <c r="B564" s="1860" t="s">
        <v>16</v>
      </c>
      <c r="C564" s="1860" t="s">
        <v>3465</v>
      </c>
      <c r="D564" s="1860" t="s">
        <v>3466</v>
      </c>
      <c r="E564" s="1860" t="s">
        <v>3467</v>
      </c>
      <c r="F564" s="1860" t="s">
        <v>2540</v>
      </c>
      <c r="G564" s="1860" t="s">
        <v>3468</v>
      </c>
      <c r="H564" s="1860" t="s">
        <v>22</v>
      </c>
      <c r="I564" s="1860" t="s">
        <v>878</v>
      </c>
    </row>
    <row customHeight="1" ht="11.25">
      <c r="A565" s="1860" t="s">
        <v>2528</v>
      </c>
      <c r="B565" s="1860" t="s">
        <v>16</v>
      </c>
      <c r="C565" s="1860" t="s">
        <v>3621</v>
      </c>
      <c r="D565" s="1860" t="s">
        <v>3622</v>
      </c>
      <c r="E565" s="1860" t="s">
        <v>3623</v>
      </c>
      <c r="F565" s="1860" t="s">
        <v>3460</v>
      </c>
      <c r="G565" s="1860" t="s">
        <v>22</v>
      </c>
      <c r="H565" s="1860" t="s">
        <v>22</v>
      </c>
      <c r="I565" s="1860" t="s">
        <v>878</v>
      </c>
    </row>
    <row customHeight="1" ht="11.25">
      <c r="A566" s="1860" t="s">
        <v>2528</v>
      </c>
      <c r="B566" s="1860" t="s">
        <v>16</v>
      </c>
      <c r="C566" s="1860" t="s">
        <v>3624</v>
      </c>
      <c r="D566" s="1860" t="s">
        <v>3625</v>
      </c>
      <c r="E566" s="1860" t="s">
        <v>3623</v>
      </c>
      <c r="F566" s="1860" t="s">
        <v>3626</v>
      </c>
      <c r="G566" s="1860" t="s">
        <v>3627</v>
      </c>
      <c r="H566" s="1860" t="s">
        <v>22</v>
      </c>
      <c r="I566" s="1860" t="s">
        <v>878</v>
      </c>
    </row>
    <row customHeight="1" ht="11.25">
      <c r="A567" s="1860" t="s">
        <v>2528</v>
      </c>
      <c r="B567" s="1860" t="s">
        <v>16</v>
      </c>
      <c r="C567" s="1860" t="s">
        <v>2534</v>
      </c>
      <c r="D567" s="1860" t="s">
        <v>2535</v>
      </c>
      <c r="E567" s="1860" t="s">
        <v>2531</v>
      </c>
      <c r="F567" s="1860" t="s">
        <v>2536</v>
      </c>
      <c r="G567" s="1860" t="s">
        <v>2533</v>
      </c>
      <c r="H567" s="1860" t="s">
        <v>22</v>
      </c>
      <c r="I567" s="1860" t="s">
        <v>931</v>
      </c>
    </row>
    <row customHeight="1" ht="11.25">
      <c r="A568" s="1860" t="s">
        <v>2528</v>
      </c>
      <c r="B568" s="1860" t="s">
        <v>16</v>
      </c>
      <c r="C568" s="1860" t="s">
        <v>2537</v>
      </c>
      <c r="D568" s="1860" t="s">
        <v>2538</v>
      </c>
      <c r="E568" s="1860" t="s">
        <v>2539</v>
      </c>
      <c r="F568" s="1860" t="s">
        <v>2540</v>
      </c>
      <c r="G568" s="1860" t="s">
        <v>2541</v>
      </c>
      <c r="H568" s="1860" t="s">
        <v>22</v>
      </c>
      <c r="I568" s="1860" t="s">
        <v>931</v>
      </c>
    </row>
    <row customHeight="1" ht="11.25">
      <c r="A569" s="1860" t="s">
        <v>2528</v>
      </c>
      <c r="B569" s="1860" t="s">
        <v>16</v>
      </c>
      <c r="C569" s="1860" t="s">
        <v>2542</v>
      </c>
      <c r="D569" s="1860" t="s">
        <v>2543</v>
      </c>
      <c r="E569" s="1860" t="s">
        <v>2544</v>
      </c>
      <c r="F569" s="1860" t="s">
        <v>2545</v>
      </c>
      <c r="G569" s="1860" t="s">
        <v>22</v>
      </c>
      <c r="H569" s="1860" t="s">
        <v>22</v>
      </c>
      <c r="I569" s="1860" t="s">
        <v>931</v>
      </c>
    </row>
    <row customHeight="1" ht="11.25">
      <c r="A570" s="1860" t="s">
        <v>2528</v>
      </c>
      <c r="B570" s="1860" t="s">
        <v>16</v>
      </c>
      <c r="C570" s="1860" t="s">
        <v>2546</v>
      </c>
      <c r="D570" s="1860" t="s">
        <v>2543</v>
      </c>
      <c r="E570" s="1860" t="s">
        <v>2544</v>
      </c>
      <c r="F570" s="1860" t="s">
        <v>2547</v>
      </c>
      <c r="G570" s="1860" t="s">
        <v>22</v>
      </c>
      <c r="H570" s="1860" t="s">
        <v>22</v>
      </c>
      <c r="I570" s="1860" t="s">
        <v>931</v>
      </c>
    </row>
    <row customHeight="1" ht="11.25">
      <c r="A571" s="1860" t="s">
        <v>2528</v>
      </c>
      <c r="B571" s="1860" t="s">
        <v>16</v>
      </c>
      <c r="C571" s="1860" t="s">
        <v>2569</v>
      </c>
      <c r="D571" s="1860" t="s">
        <v>2570</v>
      </c>
      <c r="E571" s="1860" t="s">
        <v>2571</v>
      </c>
      <c r="F571" s="1860" t="s">
        <v>2572</v>
      </c>
      <c r="G571" s="1860" t="s">
        <v>2573</v>
      </c>
      <c r="H571" s="1860" t="s">
        <v>22</v>
      </c>
      <c r="I571" s="1860" t="s">
        <v>931</v>
      </c>
    </row>
    <row customHeight="1" ht="11.25">
      <c r="A572" s="1860" t="s">
        <v>2528</v>
      </c>
      <c r="B572" s="1860" t="s">
        <v>16</v>
      </c>
      <c r="C572" s="1860" t="s">
        <v>3485</v>
      </c>
      <c r="D572" s="1860" t="s">
        <v>3486</v>
      </c>
      <c r="E572" s="1860" t="s">
        <v>3487</v>
      </c>
      <c r="F572" s="1860" t="s">
        <v>3071</v>
      </c>
      <c r="G572" s="1860" t="s">
        <v>3488</v>
      </c>
      <c r="H572" s="1860" t="s">
        <v>22</v>
      </c>
      <c r="I572" s="1860" t="s">
        <v>931</v>
      </c>
    </row>
    <row customHeight="1" ht="11.25">
      <c r="A573" s="1860" t="s">
        <v>2528</v>
      </c>
      <c r="B573" s="1860" t="s">
        <v>16</v>
      </c>
      <c r="C573" s="1860" t="s">
        <v>2590</v>
      </c>
      <c r="D573" s="1860" t="s">
        <v>2591</v>
      </c>
      <c r="E573" s="1860" t="s">
        <v>2581</v>
      </c>
      <c r="F573" s="1860" t="s">
        <v>2592</v>
      </c>
      <c r="G573" s="1860" t="s">
        <v>2583</v>
      </c>
      <c r="H573" s="1860" t="s">
        <v>22</v>
      </c>
      <c r="I573" s="1860" t="s">
        <v>931</v>
      </c>
    </row>
    <row customHeight="1" ht="11.25">
      <c r="A574" s="1860" t="s">
        <v>2528</v>
      </c>
      <c r="B574" s="1860" t="s">
        <v>16</v>
      </c>
      <c r="C574" s="1860" t="s">
        <v>2605</v>
      </c>
      <c r="D574" s="1860" t="s">
        <v>2606</v>
      </c>
      <c r="E574" s="1860" t="s">
        <v>2607</v>
      </c>
      <c r="F574" s="1860" t="s">
        <v>2582</v>
      </c>
      <c r="G574" s="1860" t="s">
        <v>2608</v>
      </c>
      <c r="H574" s="1860" t="s">
        <v>22</v>
      </c>
      <c r="I574" s="1860" t="s">
        <v>931</v>
      </c>
    </row>
    <row customHeight="1" ht="11.25">
      <c r="A575" s="1860" t="s">
        <v>2528</v>
      </c>
      <c r="B575" s="1860" t="s">
        <v>16</v>
      </c>
      <c r="C575" s="1860" t="s">
        <v>2630</v>
      </c>
      <c r="D575" s="1860" t="s">
        <v>2631</v>
      </c>
      <c r="E575" s="1860" t="s">
        <v>2607</v>
      </c>
      <c r="F575" s="1860" t="s">
        <v>2598</v>
      </c>
      <c r="G575" s="1860" t="s">
        <v>2608</v>
      </c>
      <c r="H575" s="1860" t="s">
        <v>22</v>
      </c>
      <c r="I575" s="1860" t="s">
        <v>931</v>
      </c>
    </row>
    <row customHeight="1" ht="11.25">
      <c r="A576" s="1860" t="s">
        <v>2528</v>
      </c>
      <c r="B576" s="1860" t="s">
        <v>16</v>
      </c>
      <c r="C576" s="1860" t="s">
        <v>2641</v>
      </c>
      <c r="D576" s="1860" t="s">
        <v>2642</v>
      </c>
      <c r="E576" s="1860" t="s">
        <v>2643</v>
      </c>
      <c r="F576" s="1860" t="s">
        <v>2644</v>
      </c>
      <c r="G576" s="1860" t="s">
        <v>2645</v>
      </c>
      <c r="H576" s="1860" t="s">
        <v>22</v>
      </c>
      <c r="I576" s="1860" t="s">
        <v>931</v>
      </c>
    </row>
    <row customHeight="1" ht="11.25">
      <c r="A577" s="1860" t="s">
        <v>2528</v>
      </c>
      <c r="B577" s="1860" t="s">
        <v>16</v>
      </c>
      <c r="C577" s="1860" t="s">
        <v>13</v>
      </c>
      <c r="D577" s="1860" t="s">
        <v>46</v>
      </c>
      <c r="E577" s="1860" t="s">
        <v>49</v>
      </c>
      <c r="F577" s="1860" t="s">
        <v>51</v>
      </c>
      <c r="G577" s="1860" t="s">
        <v>2555</v>
      </c>
      <c r="H577" s="1860" t="s">
        <v>22</v>
      </c>
      <c r="I577" s="1860" t="s">
        <v>931</v>
      </c>
    </row>
    <row customHeight="1" ht="11.25">
      <c r="A578" s="1860" t="s">
        <v>2528</v>
      </c>
      <c r="B578" s="1860" t="s">
        <v>16</v>
      </c>
      <c r="C578" s="1860" t="s">
        <v>2650</v>
      </c>
      <c r="D578" s="1860" t="s">
        <v>2651</v>
      </c>
      <c r="E578" s="1860" t="s">
        <v>2652</v>
      </c>
      <c r="F578" s="1860" t="s">
        <v>2653</v>
      </c>
      <c r="G578" s="1860" t="s">
        <v>2654</v>
      </c>
      <c r="H578" s="1860" t="s">
        <v>22</v>
      </c>
      <c r="I578" s="1860" t="s">
        <v>931</v>
      </c>
    </row>
    <row customHeight="1" ht="11.25">
      <c r="A579" s="1860" t="s">
        <v>2528</v>
      </c>
      <c r="B579" s="1860" t="s">
        <v>16</v>
      </c>
      <c r="C579" s="1860" t="s">
        <v>2663</v>
      </c>
      <c r="D579" s="1860" t="s">
        <v>2664</v>
      </c>
      <c r="E579" s="1860" t="s">
        <v>2665</v>
      </c>
      <c r="F579" s="1860" t="s">
        <v>2644</v>
      </c>
      <c r="G579" s="1860" t="s">
        <v>2666</v>
      </c>
      <c r="H579" s="1860" t="s">
        <v>22</v>
      </c>
      <c r="I579" s="1860" t="s">
        <v>931</v>
      </c>
    </row>
    <row customHeight="1" ht="11.25">
      <c r="A580" s="1860" t="s">
        <v>2528</v>
      </c>
      <c r="B580" s="1860" t="s">
        <v>16</v>
      </c>
      <c r="C580" s="1860" t="s">
        <v>2667</v>
      </c>
      <c r="D580" s="1860" t="s">
        <v>2668</v>
      </c>
      <c r="E580" s="1860" t="s">
        <v>2669</v>
      </c>
      <c r="F580" s="1860" t="s">
        <v>2670</v>
      </c>
      <c r="G580" s="1860" t="s">
        <v>2671</v>
      </c>
      <c r="H580" s="1860" t="s">
        <v>22</v>
      </c>
      <c r="I580" s="1860" t="s">
        <v>931</v>
      </c>
    </row>
    <row customHeight="1" ht="11.25">
      <c r="A581" s="1860" t="s">
        <v>2528</v>
      </c>
      <c r="B581" s="1860" t="s">
        <v>16</v>
      </c>
      <c r="C581" s="1860" t="s">
        <v>2677</v>
      </c>
      <c r="D581" s="1860" t="s">
        <v>2678</v>
      </c>
      <c r="E581" s="1860" t="s">
        <v>2669</v>
      </c>
      <c r="F581" s="1860" t="s">
        <v>2679</v>
      </c>
      <c r="G581" s="1860" t="s">
        <v>2680</v>
      </c>
      <c r="H581" s="1860" t="s">
        <v>22</v>
      </c>
      <c r="I581" s="1860" t="s">
        <v>931</v>
      </c>
    </row>
    <row customHeight="1" ht="11.25">
      <c r="A582" s="1860" t="s">
        <v>2528</v>
      </c>
      <c r="B582" s="1860" t="s">
        <v>16</v>
      </c>
      <c r="C582" s="1860" t="s">
        <v>22</v>
      </c>
      <c r="D582" s="1860" t="s">
        <v>2697</v>
      </c>
      <c r="E582" s="1860" t="s">
        <v>2698</v>
      </c>
      <c r="F582" s="1860" t="s">
        <v>2540</v>
      </c>
      <c r="G582" s="1860" t="s">
        <v>22</v>
      </c>
      <c r="H582" s="1860" t="s">
        <v>22</v>
      </c>
      <c r="I582" s="1860" t="s">
        <v>931</v>
      </c>
    </row>
    <row customHeight="1" ht="11.25">
      <c r="A583" s="1860" t="s">
        <v>2528</v>
      </c>
      <c r="B583" s="1860" t="s">
        <v>16</v>
      </c>
      <c r="C583" s="1860" t="s">
        <v>2699</v>
      </c>
      <c r="D583" s="1860" t="s">
        <v>2700</v>
      </c>
      <c r="E583" s="1860" t="s">
        <v>2701</v>
      </c>
      <c r="F583" s="1860" t="s">
        <v>2540</v>
      </c>
      <c r="G583" s="1860" t="s">
        <v>2702</v>
      </c>
      <c r="H583" s="1860" t="s">
        <v>22</v>
      </c>
      <c r="I583" s="1860" t="s">
        <v>931</v>
      </c>
    </row>
    <row customHeight="1" ht="11.25">
      <c r="A584" s="1860" t="s">
        <v>2528</v>
      </c>
      <c r="B584" s="1860" t="s">
        <v>16</v>
      </c>
      <c r="C584" s="1860" t="s">
        <v>2703</v>
      </c>
      <c r="D584" s="1860" t="s">
        <v>2704</v>
      </c>
      <c r="E584" s="1860" t="s">
        <v>2701</v>
      </c>
      <c r="F584" s="1860" t="s">
        <v>2582</v>
      </c>
      <c r="G584" s="1860" t="s">
        <v>2702</v>
      </c>
      <c r="H584" s="1860" t="s">
        <v>22</v>
      </c>
      <c r="I584" s="1860" t="s">
        <v>931</v>
      </c>
    </row>
    <row customHeight="1" ht="11.25">
      <c r="A585" s="1860" t="s">
        <v>2528</v>
      </c>
      <c r="B585" s="1860" t="s">
        <v>16</v>
      </c>
      <c r="C585" s="1860" t="s">
        <v>2705</v>
      </c>
      <c r="D585" s="1860" t="s">
        <v>2706</v>
      </c>
      <c r="E585" s="1860" t="s">
        <v>2701</v>
      </c>
      <c r="F585" s="1860" t="s">
        <v>2629</v>
      </c>
      <c r="G585" s="1860" t="s">
        <v>2702</v>
      </c>
      <c r="H585" s="1860" t="s">
        <v>22</v>
      </c>
      <c r="I585" s="1860" t="s">
        <v>931</v>
      </c>
    </row>
    <row customHeight="1" ht="11.25">
      <c r="A586" s="1860" t="s">
        <v>2528</v>
      </c>
      <c r="B586" s="1860" t="s">
        <v>16</v>
      </c>
      <c r="C586" s="1860" t="s">
        <v>2713</v>
      </c>
      <c r="D586" s="1860" t="s">
        <v>2714</v>
      </c>
      <c r="E586" s="1860" t="s">
        <v>2701</v>
      </c>
      <c r="F586" s="1860" t="s">
        <v>2715</v>
      </c>
      <c r="G586" s="1860" t="s">
        <v>2702</v>
      </c>
      <c r="H586" s="1860" t="s">
        <v>22</v>
      </c>
      <c r="I586" s="1860" t="s">
        <v>931</v>
      </c>
    </row>
    <row customHeight="1" ht="11.25">
      <c r="A587" s="1860" t="s">
        <v>2528</v>
      </c>
      <c r="B587" s="1860" t="s">
        <v>16</v>
      </c>
      <c r="C587" s="1860" t="s">
        <v>2719</v>
      </c>
      <c r="D587" s="1860" t="s">
        <v>2720</v>
      </c>
      <c r="E587" s="1860" t="s">
        <v>2701</v>
      </c>
      <c r="F587" s="1860" t="s">
        <v>2721</v>
      </c>
      <c r="G587" s="1860" t="s">
        <v>2702</v>
      </c>
      <c r="H587" s="1860" t="s">
        <v>22</v>
      </c>
      <c r="I587" s="1860" t="s">
        <v>931</v>
      </c>
    </row>
    <row customHeight="1" ht="11.25">
      <c r="A588" s="1860" t="s">
        <v>2528</v>
      </c>
      <c r="B588" s="1860" t="s">
        <v>16</v>
      </c>
      <c r="C588" s="1860" t="s">
        <v>2742</v>
      </c>
      <c r="D588" s="1860" t="s">
        <v>2743</v>
      </c>
      <c r="E588" s="1860" t="s">
        <v>2701</v>
      </c>
      <c r="F588" s="1860" t="s">
        <v>2617</v>
      </c>
      <c r="G588" s="1860" t="s">
        <v>2702</v>
      </c>
      <c r="H588" s="1860" t="s">
        <v>22</v>
      </c>
      <c r="I588" s="1860" t="s">
        <v>931</v>
      </c>
    </row>
    <row customHeight="1" ht="11.25">
      <c r="A589" s="1860" t="s">
        <v>2528</v>
      </c>
      <c r="B589" s="1860" t="s">
        <v>16</v>
      </c>
      <c r="C589" s="1860" t="s">
        <v>2752</v>
      </c>
      <c r="D589" s="1860" t="s">
        <v>2753</v>
      </c>
      <c r="E589" s="1860" t="s">
        <v>2701</v>
      </c>
      <c r="F589" s="1860" t="s">
        <v>2626</v>
      </c>
      <c r="G589" s="1860" t="s">
        <v>2702</v>
      </c>
      <c r="H589" s="1860" t="s">
        <v>22</v>
      </c>
      <c r="I589" s="1860" t="s">
        <v>931</v>
      </c>
    </row>
    <row customHeight="1" ht="11.25">
      <c r="A590" s="1860" t="s">
        <v>2528</v>
      </c>
      <c r="B590" s="1860" t="s">
        <v>16</v>
      </c>
      <c r="C590" s="1860" t="s">
        <v>2760</v>
      </c>
      <c r="D590" s="1860" t="s">
        <v>2761</v>
      </c>
      <c r="E590" s="1860" t="s">
        <v>2701</v>
      </c>
      <c r="F590" s="1860" t="s">
        <v>2762</v>
      </c>
      <c r="G590" s="1860" t="s">
        <v>2702</v>
      </c>
      <c r="H590" s="1860" t="s">
        <v>22</v>
      </c>
      <c r="I590" s="1860" t="s">
        <v>931</v>
      </c>
    </row>
    <row customHeight="1" ht="11.25">
      <c r="A591" s="1860" t="s">
        <v>2528</v>
      </c>
      <c r="B591" s="1860" t="s">
        <v>16</v>
      </c>
      <c r="C591" s="1860" t="s">
        <v>2766</v>
      </c>
      <c r="D591" s="1860" t="s">
        <v>2767</v>
      </c>
      <c r="E591" s="1860" t="s">
        <v>2701</v>
      </c>
      <c r="F591" s="1860" t="s">
        <v>2768</v>
      </c>
      <c r="G591" s="1860" t="s">
        <v>2702</v>
      </c>
      <c r="H591" s="1860" t="s">
        <v>22</v>
      </c>
      <c r="I591" s="1860" t="s">
        <v>931</v>
      </c>
    </row>
    <row customHeight="1" ht="11.25">
      <c r="A592" s="1860" t="s">
        <v>2528</v>
      </c>
      <c r="B592" s="1860" t="s">
        <v>16</v>
      </c>
      <c r="C592" s="1860" t="s">
        <v>2775</v>
      </c>
      <c r="D592" s="1860" t="s">
        <v>2776</v>
      </c>
      <c r="E592" s="1860" t="s">
        <v>2701</v>
      </c>
      <c r="F592" s="1860" t="s">
        <v>2777</v>
      </c>
      <c r="G592" s="1860" t="s">
        <v>2702</v>
      </c>
      <c r="H592" s="1860" t="s">
        <v>22</v>
      </c>
      <c r="I592" s="1860" t="s">
        <v>931</v>
      </c>
    </row>
    <row customHeight="1" ht="11.25">
      <c r="A593" s="1860" t="s">
        <v>2528</v>
      </c>
      <c r="B593" s="1860" t="s">
        <v>16</v>
      </c>
      <c r="C593" s="1860" t="s">
        <v>2789</v>
      </c>
      <c r="D593" s="1860" t="s">
        <v>2790</v>
      </c>
      <c r="E593" s="1860" t="s">
        <v>2791</v>
      </c>
      <c r="F593" s="1860" t="s">
        <v>2792</v>
      </c>
      <c r="G593" s="1860" t="s">
        <v>22</v>
      </c>
      <c r="H593" s="1860" t="s">
        <v>22</v>
      </c>
      <c r="I593" s="1860" t="s">
        <v>931</v>
      </c>
    </row>
    <row customHeight="1" ht="11.25">
      <c r="A594" s="1860" t="s">
        <v>2528</v>
      </c>
      <c r="B594" s="1860" t="s">
        <v>16</v>
      </c>
      <c r="C594" s="1860" t="s">
        <v>3628</v>
      </c>
      <c r="D594" s="1860" t="s">
        <v>3629</v>
      </c>
      <c r="E594" s="1860" t="s">
        <v>3630</v>
      </c>
      <c r="F594" s="1860" t="s">
        <v>597</v>
      </c>
      <c r="G594" s="1860" t="s">
        <v>3631</v>
      </c>
      <c r="H594" s="1860" t="s">
        <v>22</v>
      </c>
      <c r="I594" s="1860" t="s">
        <v>931</v>
      </c>
    </row>
    <row customHeight="1" ht="11.25">
      <c r="A595" s="1860" t="s">
        <v>2528</v>
      </c>
      <c r="B595" s="1860" t="s">
        <v>16</v>
      </c>
      <c r="C595" s="1860" t="s">
        <v>3632</v>
      </c>
      <c r="D595" s="1860" t="s">
        <v>3633</v>
      </c>
      <c r="E595" s="1860" t="s">
        <v>3634</v>
      </c>
      <c r="F595" s="1860" t="s">
        <v>597</v>
      </c>
      <c r="G595" s="1860" t="s">
        <v>3635</v>
      </c>
      <c r="H595" s="1860" t="s">
        <v>22</v>
      </c>
      <c r="I595" s="1860" t="s">
        <v>931</v>
      </c>
    </row>
    <row customHeight="1" ht="11.25">
      <c r="A596" s="1860" t="s">
        <v>2528</v>
      </c>
      <c r="B596" s="1860" t="s">
        <v>16</v>
      </c>
      <c r="C596" s="1860" t="s">
        <v>3495</v>
      </c>
      <c r="D596" s="1860" t="s">
        <v>3496</v>
      </c>
      <c r="E596" s="1860" t="s">
        <v>3497</v>
      </c>
      <c r="F596" s="1860" t="s">
        <v>597</v>
      </c>
      <c r="G596" s="1860" t="s">
        <v>3352</v>
      </c>
      <c r="H596" s="1860" t="s">
        <v>22</v>
      </c>
      <c r="I596" s="1860" t="s">
        <v>931</v>
      </c>
    </row>
    <row customHeight="1" ht="11.25">
      <c r="A597" s="1860" t="s">
        <v>2528</v>
      </c>
      <c r="B597" s="1860" t="s">
        <v>16</v>
      </c>
      <c r="C597" s="1860" t="s">
        <v>3636</v>
      </c>
      <c r="D597" s="1860" t="s">
        <v>3637</v>
      </c>
      <c r="E597" s="1860" t="s">
        <v>3638</v>
      </c>
      <c r="F597" s="1860" t="s">
        <v>597</v>
      </c>
      <c r="G597" s="1860" t="s">
        <v>3172</v>
      </c>
      <c r="H597" s="1860" t="s">
        <v>22</v>
      </c>
      <c r="I597" s="1860" t="s">
        <v>931</v>
      </c>
    </row>
    <row customHeight="1" ht="11.25">
      <c r="A598" s="1860" t="s">
        <v>2528</v>
      </c>
      <c r="B598" s="1860" t="s">
        <v>16</v>
      </c>
      <c r="C598" s="1860" t="s">
        <v>3639</v>
      </c>
      <c r="D598" s="1860" t="s">
        <v>3640</v>
      </c>
      <c r="E598" s="1860" t="s">
        <v>3641</v>
      </c>
      <c r="F598" s="1860" t="s">
        <v>597</v>
      </c>
      <c r="G598" s="1860" t="s">
        <v>3642</v>
      </c>
      <c r="H598" s="1860" t="s">
        <v>22</v>
      </c>
      <c r="I598" s="1860" t="s">
        <v>931</v>
      </c>
    </row>
    <row customHeight="1" ht="11.25">
      <c r="A599" s="1860" t="s">
        <v>2528</v>
      </c>
      <c r="B599" s="1860" t="s">
        <v>16</v>
      </c>
      <c r="C599" s="1860" t="s">
        <v>3643</v>
      </c>
      <c r="D599" s="1860" t="s">
        <v>3644</v>
      </c>
      <c r="E599" s="1860" t="s">
        <v>3645</v>
      </c>
      <c r="F599" s="1860" t="s">
        <v>597</v>
      </c>
      <c r="G599" s="1860" t="s">
        <v>3646</v>
      </c>
      <c r="H599" s="1860" t="s">
        <v>22</v>
      </c>
      <c r="I599" s="1860" t="s">
        <v>931</v>
      </c>
    </row>
    <row customHeight="1" ht="11.25">
      <c r="A600" s="1860" t="s">
        <v>2528</v>
      </c>
      <c r="B600" s="1860" t="s">
        <v>16</v>
      </c>
      <c r="C600" s="1860" t="s">
        <v>3647</v>
      </c>
      <c r="D600" s="1860" t="s">
        <v>3648</v>
      </c>
      <c r="E600" s="1860" t="s">
        <v>3649</v>
      </c>
      <c r="F600" s="1860" t="s">
        <v>597</v>
      </c>
      <c r="G600" s="1860" t="s">
        <v>3160</v>
      </c>
      <c r="H600" s="1860" t="s">
        <v>22</v>
      </c>
      <c r="I600" s="1860" t="s">
        <v>931</v>
      </c>
    </row>
    <row customHeight="1" ht="11.25">
      <c r="A601" s="1860" t="s">
        <v>2528</v>
      </c>
      <c r="B601" s="1860" t="s">
        <v>16</v>
      </c>
      <c r="C601" s="1860" t="s">
        <v>3650</v>
      </c>
      <c r="D601" s="1860" t="s">
        <v>3651</v>
      </c>
      <c r="E601" s="1860" t="s">
        <v>3652</v>
      </c>
      <c r="F601" s="1860" t="s">
        <v>597</v>
      </c>
      <c r="G601" s="1860" t="s">
        <v>3653</v>
      </c>
      <c r="H601" s="1860" t="s">
        <v>22</v>
      </c>
      <c r="I601" s="1860" t="s">
        <v>931</v>
      </c>
    </row>
    <row customHeight="1" ht="11.25">
      <c r="A602" s="1860" t="s">
        <v>2528</v>
      </c>
      <c r="B602" s="1860" t="s">
        <v>16</v>
      </c>
      <c r="C602" s="1860" t="s">
        <v>3498</v>
      </c>
      <c r="D602" s="1860" t="s">
        <v>3499</v>
      </c>
      <c r="E602" s="1860" t="s">
        <v>3500</v>
      </c>
      <c r="F602" s="1860" t="s">
        <v>597</v>
      </c>
      <c r="G602" s="1860" t="s">
        <v>3501</v>
      </c>
      <c r="H602" s="1860" t="s">
        <v>22</v>
      </c>
      <c r="I602" s="1860" t="s">
        <v>931</v>
      </c>
    </row>
    <row customHeight="1" ht="11.25">
      <c r="A603" s="1860" t="s">
        <v>2528</v>
      </c>
      <c r="B603" s="1860" t="s">
        <v>16</v>
      </c>
      <c r="C603" s="1860" t="s">
        <v>3654</v>
      </c>
      <c r="D603" s="1860" t="s">
        <v>3655</v>
      </c>
      <c r="E603" s="1860" t="s">
        <v>3656</v>
      </c>
      <c r="F603" s="1860" t="s">
        <v>597</v>
      </c>
      <c r="G603" s="1860" t="s">
        <v>3657</v>
      </c>
      <c r="H603" s="1860" t="s">
        <v>22</v>
      </c>
      <c r="I603" s="1860" t="s">
        <v>931</v>
      </c>
    </row>
    <row customHeight="1" ht="11.25">
      <c r="A604" s="1860" t="s">
        <v>2528</v>
      </c>
      <c r="B604" s="1860" t="s">
        <v>16</v>
      </c>
      <c r="C604" s="1860" t="s">
        <v>3658</v>
      </c>
      <c r="D604" s="1860" t="s">
        <v>3659</v>
      </c>
      <c r="E604" s="1860" t="s">
        <v>3660</v>
      </c>
      <c r="F604" s="1860" t="s">
        <v>597</v>
      </c>
      <c r="G604" s="1860" t="s">
        <v>3661</v>
      </c>
      <c r="H604" s="1860" t="s">
        <v>22</v>
      </c>
      <c r="I604" s="1860" t="s">
        <v>931</v>
      </c>
    </row>
    <row customHeight="1" ht="11.25">
      <c r="A605" s="1860" t="s">
        <v>2528</v>
      </c>
      <c r="B605" s="1860" t="s">
        <v>16</v>
      </c>
      <c r="C605" s="1860" t="s">
        <v>3662</v>
      </c>
      <c r="D605" s="1860" t="s">
        <v>3663</v>
      </c>
      <c r="E605" s="1860" t="s">
        <v>3664</v>
      </c>
      <c r="F605" s="1860" t="s">
        <v>597</v>
      </c>
      <c r="G605" s="1860" t="s">
        <v>2676</v>
      </c>
      <c r="H605" s="1860" t="s">
        <v>22</v>
      </c>
      <c r="I605" s="1860" t="s">
        <v>931</v>
      </c>
    </row>
    <row customHeight="1" ht="11.25">
      <c r="A606" s="1860" t="s">
        <v>2528</v>
      </c>
      <c r="B606" s="1860" t="s">
        <v>16</v>
      </c>
      <c r="C606" s="1860" t="s">
        <v>3665</v>
      </c>
      <c r="D606" s="1860" t="s">
        <v>3666</v>
      </c>
      <c r="E606" s="1860" t="s">
        <v>3667</v>
      </c>
      <c r="F606" s="1860" t="s">
        <v>597</v>
      </c>
      <c r="G606" s="1860" t="s">
        <v>2835</v>
      </c>
      <c r="H606" s="1860" t="s">
        <v>22</v>
      </c>
      <c r="I606" s="1860" t="s">
        <v>931</v>
      </c>
    </row>
    <row customHeight="1" ht="11.25">
      <c r="A607" s="1860" t="s">
        <v>2528</v>
      </c>
      <c r="B607" s="1860" t="s">
        <v>16</v>
      </c>
      <c r="C607" s="1860" t="s">
        <v>3509</v>
      </c>
      <c r="D607" s="1860" t="s">
        <v>3510</v>
      </c>
      <c r="E607" s="1860" t="s">
        <v>3511</v>
      </c>
      <c r="F607" s="1860" t="s">
        <v>597</v>
      </c>
      <c r="G607" s="1860" t="s">
        <v>3512</v>
      </c>
      <c r="H607" s="1860" t="s">
        <v>22</v>
      </c>
      <c r="I607" s="1860" t="s">
        <v>931</v>
      </c>
    </row>
    <row customHeight="1" ht="11.25">
      <c r="A608" s="1860" t="s">
        <v>2528</v>
      </c>
      <c r="B608" s="1860" t="s">
        <v>16</v>
      </c>
      <c r="C608" s="1860" t="s">
        <v>2884</v>
      </c>
      <c r="D608" s="1860" t="s">
        <v>2885</v>
      </c>
      <c r="E608" s="1860" t="s">
        <v>2669</v>
      </c>
      <c r="F608" s="1860" t="s">
        <v>2886</v>
      </c>
      <c r="G608" s="1860" t="s">
        <v>2887</v>
      </c>
      <c r="H608" s="1860" t="s">
        <v>22</v>
      </c>
      <c r="I608" s="1860" t="s">
        <v>931</v>
      </c>
    </row>
    <row customHeight="1" ht="11.25">
      <c r="A609" s="1860" t="s">
        <v>2528</v>
      </c>
      <c r="B609" s="1860" t="s">
        <v>16</v>
      </c>
      <c r="C609" s="1860" t="s">
        <v>3668</v>
      </c>
      <c r="D609" s="1860" t="s">
        <v>3669</v>
      </c>
      <c r="E609" s="1860" t="s">
        <v>3670</v>
      </c>
      <c r="F609" s="1860" t="s">
        <v>3516</v>
      </c>
      <c r="G609" s="1860" t="s">
        <v>3671</v>
      </c>
      <c r="H609" s="1860" t="s">
        <v>22</v>
      </c>
      <c r="I609" s="1860" t="s">
        <v>931</v>
      </c>
    </row>
    <row customHeight="1" ht="11.25">
      <c r="A610" s="1860" t="s">
        <v>2528</v>
      </c>
      <c r="B610" s="1860" t="s">
        <v>16</v>
      </c>
      <c r="C610" s="1860" t="s">
        <v>3672</v>
      </c>
      <c r="D610" s="1860" t="s">
        <v>3673</v>
      </c>
      <c r="E610" s="1860" t="s">
        <v>3674</v>
      </c>
      <c r="F610" s="1860" t="s">
        <v>2982</v>
      </c>
      <c r="G610" s="1860" t="s">
        <v>3675</v>
      </c>
      <c r="H610" s="1860" t="s">
        <v>22</v>
      </c>
      <c r="I610" s="1860" t="s">
        <v>931</v>
      </c>
    </row>
    <row customHeight="1" ht="11.25">
      <c r="A611" s="1860" t="s">
        <v>2528</v>
      </c>
      <c r="B611" s="1860" t="s">
        <v>16</v>
      </c>
      <c r="C611" s="1860" t="s">
        <v>2898</v>
      </c>
      <c r="D611" s="1860" t="s">
        <v>2899</v>
      </c>
      <c r="E611" s="1860" t="s">
        <v>2900</v>
      </c>
      <c r="F611" s="1860" t="s">
        <v>2577</v>
      </c>
      <c r="G611" s="1860" t="s">
        <v>2901</v>
      </c>
      <c r="H611" s="1860" t="s">
        <v>22</v>
      </c>
      <c r="I611" s="1860" t="s">
        <v>931</v>
      </c>
    </row>
    <row customHeight="1" ht="11.25">
      <c r="A612" s="1860" t="s">
        <v>2528</v>
      </c>
      <c r="B612" s="1860" t="s">
        <v>16</v>
      </c>
      <c r="C612" s="1860" t="s">
        <v>2902</v>
      </c>
      <c r="D612" s="1860" t="s">
        <v>2903</v>
      </c>
      <c r="E612" s="1860" t="s">
        <v>2904</v>
      </c>
      <c r="F612" s="1860" t="s">
        <v>2905</v>
      </c>
      <c r="G612" s="1860" t="s">
        <v>2906</v>
      </c>
      <c r="H612" s="1860" t="s">
        <v>22</v>
      </c>
      <c r="I612" s="1860" t="s">
        <v>931</v>
      </c>
    </row>
    <row customHeight="1" ht="11.25">
      <c r="A613" s="1860" t="s">
        <v>2528</v>
      </c>
      <c r="B613" s="1860" t="s">
        <v>16</v>
      </c>
      <c r="C613" s="1860" t="s">
        <v>2907</v>
      </c>
      <c r="D613" s="1860" t="s">
        <v>2908</v>
      </c>
      <c r="E613" s="1860" t="s">
        <v>2909</v>
      </c>
      <c r="F613" s="1860" t="s">
        <v>2540</v>
      </c>
      <c r="G613" s="1860" t="s">
        <v>2910</v>
      </c>
      <c r="H613" s="1860" t="s">
        <v>22</v>
      </c>
      <c r="I613" s="1860" t="s">
        <v>931</v>
      </c>
    </row>
    <row customHeight="1" ht="11.25">
      <c r="A614" s="1860" t="s">
        <v>2528</v>
      </c>
      <c r="B614" s="1860" t="s">
        <v>16</v>
      </c>
      <c r="C614" s="1860" t="s">
        <v>2911</v>
      </c>
      <c r="D614" s="1860" t="s">
        <v>2912</v>
      </c>
      <c r="E614" s="1860" t="s">
        <v>2913</v>
      </c>
      <c r="F614" s="1860" t="s">
        <v>2914</v>
      </c>
      <c r="G614" s="1860" t="s">
        <v>2915</v>
      </c>
      <c r="H614" s="1860" t="s">
        <v>22</v>
      </c>
      <c r="I614" s="1860" t="s">
        <v>931</v>
      </c>
    </row>
    <row customHeight="1" ht="11.25">
      <c r="A615" s="1860" t="s">
        <v>2528</v>
      </c>
      <c r="B615" s="1860" t="s">
        <v>16</v>
      </c>
      <c r="C615" s="1860" t="s">
        <v>3513</v>
      </c>
      <c r="D615" s="1860" t="s">
        <v>3514</v>
      </c>
      <c r="E615" s="1860" t="s">
        <v>3515</v>
      </c>
      <c r="F615" s="1860" t="s">
        <v>3516</v>
      </c>
      <c r="G615" s="1860" t="s">
        <v>3218</v>
      </c>
      <c r="H615" s="1860" t="s">
        <v>22</v>
      </c>
      <c r="I615" s="1860" t="s">
        <v>931</v>
      </c>
    </row>
    <row customHeight="1" ht="11.25">
      <c r="A616" s="1860" t="s">
        <v>2528</v>
      </c>
      <c r="B616" s="1860" t="s">
        <v>16</v>
      </c>
      <c r="C616" s="1860" t="s">
        <v>2916</v>
      </c>
      <c r="D616" s="1860" t="s">
        <v>2917</v>
      </c>
      <c r="E616" s="1860" t="s">
        <v>2918</v>
      </c>
      <c r="F616" s="1860" t="s">
        <v>2540</v>
      </c>
      <c r="G616" s="1860" t="s">
        <v>2919</v>
      </c>
      <c r="H616" s="1860" t="s">
        <v>22</v>
      </c>
      <c r="I616" s="1860" t="s">
        <v>931</v>
      </c>
    </row>
    <row customHeight="1" ht="11.25">
      <c r="A617" s="1860" t="s">
        <v>2528</v>
      </c>
      <c r="B617" s="1860" t="s">
        <v>16</v>
      </c>
      <c r="C617" s="1860" t="s">
        <v>3676</v>
      </c>
      <c r="D617" s="1860" t="s">
        <v>3677</v>
      </c>
      <c r="E617" s="1860" t="s">
        <v>3678</v>
      </c>
      <c r="F617" s="1860" t="s">
        <v>3679</v>
      </c>
      <c r="G617" s="1860" t="s">
        <v>3680</v>
      </c>
      <c r="H617" s="1860" t="s">
        <v>22</v>
      </c>
      <c r="I617" s="1860" t="s">
        <v>931</v>
      </c>
    </row>
    <row customHeight="1" ht="11.25">
      <c r="A618" s="1860" t="s">
        <v>2528</v>
      </c>
      <c r="B618" s="1860" t="s">
        <v>16</v>
      </c>
      <c r="C618" s="1860" t="s">
        <v>2929</v>
      </c>
      <c r="D618" s="1860" t="s">
        <v>2930</v>
      </c>
      <c r="E618" s="1860" t="s">
        <v>2931</v>
      </c>
      <c r="F618" s="1860" t="s">
        <v>2540</v>
      </c>
      <c r="G618" s="1860" t="s">
        <v>2932</v>
      </c>
      <c r="H618" s="1860" t="s">
        <v>22</v>
      </c>
      <c r="I618" s="1860" t="s">
        <v>931</v>
      </c>
    </row>
    <row customHeight="1" ht="11.25">
      <c r="A619" s="1860" t="s">
        <v>2528</v>
      </c>
      <c r="B619" s="1860" t="s">
        <v>16</v>
      </c>
      <c r="C619" s="1860" t="s">
        <v>3681</v>
      </c>
      <c r="D619" s="1860" t="s">
        <v>3682</v>
      </c>
      <c r="E619" s="1860" t="s">
        <v>3683</v>
      </c>
      <c r="F619" s="1860" t="s">
        <v>3340</v>
      </c>
      <c r="G619" s="1860" t="s">
        <v>3684</v>
      </c>
      <c r="H619" s="1860" t="s">
        <v>22</v>
      </c>
      <c r="I619" s="1860" t="s">
        <v>931</v>
      </c>
    </row>
    <row customHeight="1" ht="11.25">
      <c r="A620" s="1860" t="s">
        <v>2528</v>
      </c>
      <c r="B620" s="1860" t="s">
        <v>16</v>
      </c>
      <c r="C620" s="1860" t="s">
        <v>3685</v>
      </c>
      <c r="D620" s="1860" t="s">
        <v>3686</v>
      </c>
      <c r="E620" s="1860" t="s">
        <v>3687</v>
      </c>
      <c r="F620" s="1860" t="s">
        <v>2927</v>
      </c>
      <c r="G620" s="1860" t="s">
        <v>3688</v>
      </c>
      <c r="H620" s="1860" t="s">
        <v>22</v>
      </c>
      <c r="I620" s="1860" t="s">
        <v>931</v>
      </c>
    </row>
    <row customHeight="1" ht="11.25">
      <c r="A621" s="1860" t="s">
        <v>2528</v>
      </c>
      <c r="B621" s="1860" t="s">
        <v>16</v>
      </c>
      <c r="C621" s="1860" t="s">
        <v>3689</v>
      </c>
      <c r="D621" s="1860" t="s">
        <v>3690</v>
      </c>
      <c r="E621" s="1860" t="s">
        <v>3691</v>
      </c>
      <c r="F621" s="1860" t="s">
        <v>2540</v>
      </c>
      <c r="G621" s="1860" t="s">
        <v>3160</v>
      </c>
      <c r="H621" s="1860" t="s">
        <v>22</v>
      </c>
      <c r="I621" s="1860" t="s">
        <v>931</v>
      </c>
    </row>
    <row customHeight="1" ht="11.25">
      <c r="A622" s="1860" t="s">
        <v>2528</v>
      </c>
      <c r="B622" s="1860" t="s">
        <v>16</v>
      </c>
      <c r="C622" s="1860" t="s">
        <v>3692</v>
      </c>
      <c r="D622" s="1860" t="s">
        <v>3693</v>
      </c>
      <c r="E622" s="1860" t="s">
        <v>3694</v>
      </c>
      <c r="F622" s="1860" t="s">
        <v>3695</v>
      </c>
      <c r="G622" s="1860" t="s">
        <v>3696</v>
      </c>
      <c r="H622" s="1860" t="s">
        <v>22</v>
      </c>
      <c r="I622" s="1860" t="s">
        <v>931</v>
      </c>
    </row>
    <row customHeight="1" ht="11.25">
      <c r="A623" s="1860" t="s">
        <v>2528</v>
      </c>
      <c r="B623" s="1860" t="s">
        <v>16</v>
      </c>
      <c r="C623" s="1860" t="s">
        <v>3517</v>
      </c>
      <c r="D623" s="1860" t="s">
        <v>3518</v>
      </c>
      <c r="E623" s="1860" t="s">
        <v>3519</v>
      </c>
      <c r="F623" s="1860" t="s">
        <v>3327</v>
      </c>
      <c r="G623" s="1860" t="s">
        <v>3520</v>
      </c>
      <c r="H623" s="1860" t="s">
        <v>22</v>
      </c>
      <c r="I623" s="1860" t="s">
        <v>931</v>
      </c>
    </row>
    <row customHeight="1" ht="11.25">
      <c r="A624" s="1860" t="s">
        <v>2528</v>
      </c>
      <c r="B624" s="1860" t="s">
        <v>16</v>
      </c>
      <c r="C624" s="1860" t="s">
        <v>3697</v>
      </c>
      <c r="D624" s="1860" t="s">
        <v>3698</v>
      </c>
      <c r="E624" s="1860" t="s">
        <v>3699</v>
      </c>
      <c r="F624" s="1860" t="s">
        <v>3250</v>
      </c>
      <c r="G624" s="1860" t="s">
        <v>3700</v>
      </c>
      <c r="H624" s="1860" t="s">
        <v>22</v>
      </c>
      <c r="I624" s="1860" t="s">
        <v>931</v>
      </c>
    </row>
    <row customHeight="1" ht="11.25">
      <c r="A625" s="1860" t="s">
        <v>2528</v>
      </c>
      <c r="B625" s="1860" t="s">
        <v>16</v>
      </c>
      <c r="C625" s="1860" t="s">
        <v>3701</v>
      </c>
      <c r="D625" s="1860" t="s">
        <v>3702</v>
      </c>
      <c r="E625" s="1860" t="s">
        <v>3703</v>
      </c>
      <c r="F625" s="1860" t="s">
        <v>2644</v>
      </c>
      <c r="G625" s="1860" t="s">
        <v>3704</v>
      </c>
      <c r="H625" s="1860" t="s">
        <v>22</v>
      </c>
      <c r="I625" s="1860" t="s">
        <v>931</v>
      </c>
    </row>
    <row customHeight="1" ht="11.25">
      <c r="A626" s="1860" t="s">
        <v>2528</v>
      </c>
      <c r="B626" s="1860" t="s">
        <v>16</v>
      </c>
      <c r="C626" s="1860" t="s">
        <v>3529</v>
      </c>
      <c r="D626" s="1860" t="s">
        <v>3530</v>
      </c>
      <c r="E626" s="1860" t="s">
        <v>3531</v>
      </c>
      <c r="F626" s="1860" t="s">
        <v>3327</v>
      </c>
      <c r="G626" s="1860" t="s">
        <v>3532</v>
      </c>
      <c r="H626" s="1860" t="s">
        <v>22</v>
      </c>
      <c r="I626" s="1860" t="s">
        <v>931</v>
      </c>
    </row>
    <row customHeight="1" ht="11.25">
      <c r="A627" s="1860" t="s">
        <v>2528</v>
      </c>
      <c r="B627" s="1860" t="s">
        <v>16</v>
      </c>
      <c r="C627" s="1860" t="s">
        <v>3705</v>
      </c>
      <c r="D627" s="1860" t="s">
        <v>3706</v>
      </c>
      <c r="E627" s="1860" t="s">
        <v>3707</v>
      </c>
      <c r="F627" s="1860" t="s">
        <v>3708</v>
      </c>
      <c r="G627" s="1860" t="s">
        <v>3709</v>
      </c>
      <c r="H627" s="1860" t="s">
        <v>22</v>
      </c>
      <c r="I627" s="1860" t="s">
        <v>931</v>
      </c>
    </row>
    <row customHeight="1" ht="11.25">
      <c r="A628" s="1860" t="s">
        <v>2528</v>
      </c>
      <c r="B628" s="1860" t="s">
        <v>16</v>
      </c>
      <c r="C628" s="1860" t="s">
        <v>3533</v>
      </c>
      <c r="D628" s="1860" t="s">
        <v>3534</v>
      </c>
      <c r="E628" s="1860" t="s">
        <v>3535</v>
      </c>
      <c r="F628" s="1860" t="s">
        <v>3536</v>
      </c>
      <c r="G628" s="1860" t="s">
        <v>3537</v>
      </c>
      <c r="H628" s="1860" t="s">
        <v>22</v>
      </c>
      <c r="I628" s="1860" t="s">
        <v>931</v>
      </c>
    </row>
    <row customHeight="1" ht="11.25">
      <c r="A629" s="1860" t="s">
        <v>2528</v>
      </c>
      <c r="B629" s="1860" t="s">
        <v>16</v>
      </c>
      <c r="C629" s="1860" t="s">
        <v>3710</v>
      </c>
      <c r="D629" s="1860" t="s">
        <v>3711</v>
      </c>
      <c r="E629" s="1860" t="s">
        <v>3712</v>
      </c>
      <c r="F629" s="1860" t="s">
        <v>2540</v>
      </c>
      <c r="G629" s="1860" t="s">
        <v>3713</v>
      </c>
      <c r="H629" s="1860" t="s">
        <v>22</v>
      </c>
      <c r="I629" s="1860" t="s">
        <v>931</v>
      </c>
    </row>
    <row customHeight="1" ht="11.25">
      <c r="A630" s="1860" t="s">
        <v>2528</v>
      </c>
      <c r="B630" s="1860" t="s">
        <v>16</v>
      </c>
      <c r="C630" s="1860" t="s">
        <v>3714</v>
      </c>
      <c r="D630" s="1860" t="s">
        <v>3715</v>
      </c>
      <c r="E630" s="1860" t="s">
        <v>3716</v>
      </c>
      <c r="F630" s="1860" t="s">
        <v>3119</v>
      </c>
      <c r="G630" s="1860" t="s">
        <v>3717</v>
      </c>
      <c r="H630" s="1860" t="s">
        <v>22</v>
      </c>
      <c r="I630" s="1860" t="s">
        <v>931</v>
      </c>
    </row>
    <row customHeight="1" ht="11.25">
      <c r="A631" s="1860" t="s">
        <v>2528</v>
      </c>
      <c r="B631" s="1860" t="s">
        <v>16</v>
      </c>
      <c r="C631" s="1860" t="s">
        <v>2984</v>
      </c>
      <c r="D631" s="1860" t="s">
        <v>2985</v>
      </c>
      <c r="E631" s="1860" t="s">
        <v>2986</v>
      </c>
      <c r="F631" s="1860" t="s">
        <v>2905</v>
      </c>
      <c r="G631" s="1860" t="s">
        <v>2987</v>
      </c>
      <c r="H631" s="1860" t="s">
        <v>22</v>
      </c>
      <c r="I631" s="1860" t="s">
        <v>931</v>
      </c>
    </row>
    <row customHeight="1" ht="11.25">
      <c r="A632" s="1860" t="s">
        <v>2528</v>
      </c>
      <c r="B632" s="1860" t="s">
        <v>16</v>
      </c>
      <c r="C632" s="1860" t="s">
        <v>3538</v>
      </c>
      <c r="D632" s="1860" t="s">
        <v>3539</v>
      </c>
      <c r="E632" s="1860" t="s">
        <v>3540</v>
      </c>
      <c r="F632" s="1860" t="s">
        <v>3541</v>
      </c>
      <c r="G632" s="1860" t="s">
        <v>2692</v>
      </c>
      <c r="H632" s="1860" t="s">
        <v>22</v>
      </c>
      <c r="I632" s="1860" t="s">
        <v>931</v>
      </c>
    </row>
    <row customHeight="1" ht="11.25">
      <c r="A633" s="1860" t="s">
        <v>2528</v>
      </c>
      <c r="B633" s="1860" t="s">
        <v>16</v>
      </c>
      <c r="C633" s="1860" t="s">
        <v>3542</v>
      </c>
      <c r="D633" s="1860" t="s">
        <v>3543</v>
      </c>
      <c r="E633" s="1860" t="s">
        <v>3544</v>
      </c>
      <c r="F633" s="1860" t="s">
        <v>3545</v>
      </c>
      <c r="G633" s="1860" t="s">
        <v>3546</v>
      </c>
      <c r="H633" s="1860" t="s">
        <v>22</v>
      </c>
      <c r="I633" s="1860" t="s">
        <v>931</v>
      </c>
    </row>
    <row customHeight="1" ht="11.25">
      <c r="A634" s="1860" t="s">
        <v>2528</v>
      </c>
      <c r="B634" s="1860" t="s">
        <v>16</v>
      </c>
      <c r="C634" s="1860" t="s">
        <v>3547</v>
      </c>
      <c r="D634" s="1860" t="s">
        <v>3548</v>
      </c>
      <c r="E634" s="1860" t="s">
        <v>3549</v>
      </c>
      <c r="F634" s="1860" t="s">
        <v>2905</v>
      </c>
      <c r="G634" s="1860" t="s">
        <v>3550</v>
      </c>
      <c r="H634" s="1860" t="s">
        <v>22</v>
      </c>
      <c r="I634" s="1860" t="s">
        <v>931</v>
      </c>
    </row>
    <row customHeight="1" ht="11.25">
      <c r="A635" s="1860" t="s">
        <v>2528</v>
      </c>
      <c r="B635" s="1860" t="s">
        <v>16</v>
      </c>
      <c r="C635" s="1860" t="s">
        <v>3718</v>
      </c>
      <c r="D635" s="1860" t="s">
        <v>3719</v>
      </c>
      <c r="E635" s="1860" t="s">
        <v>3720</v>
      </c>
      <c r="F635" s="1860" t="s">
        <v>2886</v>
      </c>
      <c r="G635" s="1860" t="s">
        <v>3095</v>
      </c>
      <c r="H635" s="1860" t="s">
        <v>22</v>
      </c>
      <c r="I635" s="1860" t="s">
        <v>931</v>
      </c>
    </row>
    <row customHeight="1" ht="11.25">
      <c r="A636" s="1860" t="s">
        <v>2528</v>
      </c>
      <c r="B636" s="1860" t="s">
        <v>16</v>
      </c>
      <c r="C636" s="1860" t="s">
        <v>3721</v>
      </c>
      <c r="D636" s="1860" t="s">
        <v>3722</v>
      </c>
      <c r="E636" s="1860" t="s">
        <v>3723</v>
      </c>
      <c r="F636" s="1860" t="s">
        <v>2540</v>
      </c>
      <c r="G636" s="1860" t="s">
        <v>3724</v>
      </c>
      <c r="H636" s="1860" t="s">
        <v>22</v>
      </c>
      <c r="I636" s="1860" t="s">
        <v>931</v>
      </c>
    </row>
    <row customHeight="1" ht="11.25">
      <c r="A637" s="1860" t="s">
        <v>2528</v>
      </c>
      <c r="B637" s="1860" t="s">
        <v>16</v>
      </c>
      <c r="C637" s="1860" t="s">
        <v>3551</v>
      </c>
      <c r="D637" s="1860" t="s">
        <v>3552</v>
      </c>
      <c r="E637" s="1860" t="s">
        <v>3553</v>
      </c>
      <c r="F637" s="1860" t="s">
        <v>2540</v>
      </c>
      <c r="G637" s="1860" t="s">
        <v>3554</v>
      </c>
      <c r="H637" s="1860" t="s">
        <v>22</v>
      </c>
      <c r="I637" s="1860" t="s">
        <v>931</v>
      </c>
    </row>
    <row customHeight="1" ht="11.25">
      <c r="A638" s="1860" t="s">
        <v>2528</v>
      </c>
      <c r="B638" s="1860" t="s">
        <v>16</v>
      </c>
      <c r="C638" s="1860" t="s">
        <v>2997</v>
      </c>
      <c r="D638" s="1860" t="s">
        <v>2998</v>
      </c>
      <c r="E638" s="1860" t="s">
        <v>2999</v>
      </c>
      <c r="F638" s="1860" t="s">
        <v>2995</v>
      </c>
      <c r="G638" s="1860" t="s">
        <v>3000</v>
      </c>
      <c r="H638" s="1860" t="s">
        <v>22</v>
      </c>
      <c r="I638" s="1860" t="s">
        <v>931</v>
      </c>
    </row>
    <row customHeight="1" ht="11.25">
      <c r="A639" s="1860" t="s">
        <v>2528</v>
      </c>
      <c r="B639" s="1860" t="s">
        <v>16</v>
      </c>
      <c r="C639" s="1860" t="s">
        <v>3009</v>
      </c>
      <c r="D639" s="1860" t="s">
        <v>3010</v>
      </c>
      <c r="E639" s="1860" t="s">
        <v>3011</v>
      </c>
      <c r="F639" s="1860" t="s">
        <v>2886</v>
      </c>
      <c r="G639" s="1860" t="s">
        <v>22</v>
      </c>
      <c r="H639" s="1860" t="s">
        <v>22</v>
      </c>
      <c r="I639" s="1860" t="s">
        <v>931</v>
      </c>
    </row>
    <row customHeight="1" ht="11.25">
      <c r="A640" s="1860" t="s">
        <v>2528</v>
      </c>
      <c r="B640" s="1860" t="s">
        <v>16</v>
      </c>
      <c r="C640" s="1860" t="s">
        <v>3725</v>
      </c>
      <c r="D640" s="1860" t="s">
        <v>3726</v>
      </c>
      <c r="E640" s="1860" t="s">
        <v>3727</v>
      </c>
      <c r="F640" s="1860" t="s">
        <v>2982</v>
      </c>
      <c r="G640" s="1860" t="s">
        <v>3728</v>
      </c>
      <c r="H640" s="1860" t="s">
        <v>22</v>
      </c>
      <c r="I640" s="1860" t="s">
        <v>931</v>
      </c>
    </row>
    <row customHeight="1" ht="11.25">
      <c r="A641" s="1860" t="s">
        <v>2528</v>
      </c>
      <c r="B641" s="1860" t="s">
        <v>16</v>
      </c>
      <c r="C641" s="1860" t="s">
        <v>3012</v>
      </c>
      <c r="D641" s="1860" t="s">
        <v>3013</v>
      </c>
      <c r="E641" s="1860" t="s">
        <v>3014</v>
      </c>
      <c r="F641" s="1860" t="s">
        <v>2896</v>
      </c>
      <c r="G641" s="1860" t="s">
        <v>3015</v>
      </c>
      <c r="H641" s="1860" t="s">
        <v>22</v>
      </c>
      <c r="I641" s="1860" t="s">
        <v>931</v>
      </c>
    </row>
    <row customHeight="1" ht="11.25">
      <c r="A642" s="1860" t="s">
        <v>2528</v>
      </c>
      <c r="B642" s="1860" t="s">
        <v>16</v>
      </c>
      <c r="C642" s="1860" t="s">
        <v>3020</v>
      </c>
      <c r="D642" s="1860" t="s">
        <v>3021</v>
      </c>
      <c r="E642" s="1860" t="s">
        <v>3022</v>
      </c>
      <c r="F642" s="1860" t="s">
        <v>2540</v>
      </c>
      <c r="G642" s="1860" t="s">
        <v>3023</v>
      </c>
      <c r="H642" s="1860" t="s">
        <v>22</v>
      </c>
      <c r="I642" s="1860" t="s">
        <v>931</v>
      </c>
    </row>
    <row customHeight="1" ht="11.25">
      <c r="A643" s="1860" t="s">
        <v>2528</v>
      </c>
      <c r="B643" s="1860" t="s">
        <v>16</v>
      </c>
      <c r="C643" s="1860" t="s">
        <v>3729</v>
      </c>
      <c r="D643" s="1860" t="s">
        <v>3730</v>
      </c>
      <c r="E643" s="1860" t="s">
        <v>3731</v>
      </c>
      <c r="F643" s="1860" t="s">
        <v>2949</v>
      </c>
      <c r="G643" s="1860" t="s">
        <v>3732</v>
      </c>
      <c r="H643" s="1860" t="s">
        <v>22</v>
      </c>
      <c r="I643" s="1860" t="s">
        <v>931</v>
      </c>
    </row>
    <row customHeight="1" ht="11.25">
      <c r="A644" s="1860" t="s">
        <v>2528</v>
      </c>
      <c r="B644" s="1860" t="s">
        <v>16</v>
      </c>
      <c r="C644" s="1860" t="s">
        <v>3733</v>
      </c>
      <c r="D644" s="1860" t="s">
        <v>3734</v>
      </c>
      <c r="E644" s="1860" t="s">
        <v>3735</v>
      </c>
      <c r="F644" s="1860" t="s">
        <v>2540</v>
      </c>
      <c r="G644" s="1860" t="s">
        <v>3736</v>
      </c>
      <c r="H644" s="1860" t="s">
        <v>22</v>
      </c>
      <c r="I644" s="1860" t="s">
        <v>931</v>
      </c>
    </row>
    <row customHeight="1" ht="11.25">
      <c r="A645" s="1860" t="s">
        <v>2528</v>
      </c>
      <c r="B645" s="1860" t="s">
        <v>16</v>
      </c>
      <c r="C645" s="1860" t="s">
        <v>3737</v>
      </c>
      <c r="D645" s="1860" t="s">
        <v>3738</v>
      </c>
      <c r="E645" s="1860" t="s">
        <v>3739</v>
      </c>
      <c r="F645" s="1860" t="s">
        <v>3119</v>
      </c>
      <c r="G645" s="1860" t="s">
        <v>3740</v>
      </c>
      <c r="H645" s="1860" t="s">
        <v>3741</v>
      </c>
      <c r="I645" s="1860" t="s">
        <v>931</v>
      </c>
    </row>
    <row customHeight="1" ht="11.25">
      <c r="A646" s="1860" t="s">
        <v>2528</v>
      </c>
      <c r="B646" s="1860" t="s">
        <v>16</v>
      </c>
      <c r="C646" s="1860" t="s">
        <v>3048</v>
      </c>
      <c r="D646" s="1860" t="s">
        <v>3049</v>
      </c>
      <c r="E646" s="1860" t="s">
        <v>3050</v>
      </c>
      <c r="F646" s="1860" t="s">
        <v>2635</v>
      </c>
      <c r="G646" s="1860" t="s">
        <v>3051</v>
      </c>
      <c r="H646" s="1860" t="s">
        <v>22</v>
      </c>
      <c r="I646" s="1860" t="s">
        <v>931</v>
      </c>
    </row>
    <row customHeight="1" ht="11.25">
      <c r="A647" s="1860" t="s">
        <v>2528</v>
      </c>
      <c r="B647" s="1860" t="s">
        <v>16</v>
      </c>
      <c r="C647" s="1860" t="s">
        <v>3559</v>
      </c>
      <c r="D647" s="1860" t="s">
        <v>3560</v>
      </c>
      <c r="E647" s="1860" t="s">
        <v>3561</v>
      </c>
      <c r="F647" s="1860" t="s">
        <v>2905</v>
      </c>
      <c r="G647" s="1860" t="s">
        <v>3562</v>
      </c>
      <c r="H647" s="1860" t="s">
        <v>22</v>
      </c>
      <c r="I647" s="1860" t="s">
        <v>931</v>
      </c>
    </row>
    <row customHeight="1" ht="11.25">
      <c r="A648" s="1860" t="s">
        <v>2528</v>
      </c>
      <c r="B648" s="1860" t="s">
        <v>16</v>
      </c>
      <c r="C648" s="1860" t="s">
        <v>3052</v>
      </c>
      <c r="D648" s="1860" t="s">
        <v>3053</v>
      </c>
      <c r="E648" s="1860" t="s">
        <v>3054</v>
      </c>
      <c r="F648" s="1860" t="s">
        <v>2927</v>
      </c>
      <c r="G648" s="1860" t="s">
        <v>3055</v>
      </c>
      <c r="H648" s="1860" t="s">
        <v>22</v>
      </c>
      <c r="I648" s="1860" t="s">
        <v>931</v>
      </c>
    </row>
    <row customHeight="1" ht="11.25">
      <c r="A649" s="1860" t="s">
        <v>2528</v>
      </c>
      <c r="B649" s="1860" t="s">
        <v>16</v>
      </c>
      <c r="C649" s="1860" t="s">
        <v>3742</v>
      </c>
      <c r="D649" s="1860" t="s">
        <v>3743</v>
      </c>
      <c r="E649" s="1860" t="s">
        <v>3744</v>
      </c>
      <c r="F649" s="1860" t="s">
        <v>3545</v>
      </c>
      <c r="G649" s="1860" t="s">
        <v>3745</v>
      </c>
      <c r="H649" s="1860" t="s">
        <v>22</v>
      </c>
      <c r="I649" s="1860" t="s">
        <v>931</v>
      </c>
    </row>
    <row customHeight="1" ht="11.25">
      <c r="A650" s="1860" t="s">
        <v>2528</v>
      </c>
      <c r="B650" s="1860" t="s">
        <v>16</v>
      </c>
      <c r="C650" s="1860" t="s">
        <v>3746</v>
      </c>
      <c r="D650" s="1860" t="s">
        <v>3747</v>
      </c>
      <c r="E650" s="1860" t="s">
        <v>3748</v>
      </c>
      <c r="F650" s="1860" t="s">
        <v>2886</v>
      </c>
      <c r="G650" s="1860" t="s">
        <v>3172</v>
      </c>
      <c r="H650" s="1860" t="s">
        <v>22</v>
      </c>
      <c r="I650" s="1860" t="s">
        <v>931</v>
      </c>
    </row>
    <row customHeight="1" ht="11.25">
      <c r="A651" s="1860" t="s">
        <v>2528</v>
      </c>
      <c r="B651" s="1860" t="s">
        <v>16</v>
      </c>
      <c r="C651" s="1860" t="s">
        <v>3749</v>
      </c>
      <c r="D651" s="1860" t="s">
        <v>3750</v>
      </c>
      <c r="E651" s="1860" t="s">
        <v>3751</v>
      </c>
      <c r="F651" s="1860" t="s">
        <v>2563</v>
      </c>
      <c r="G651" s="1860" t="s">
        <v>3752</v>
      </c>
      <c r="H651" s="1860" t="s">
        <v>22</v>
      </c>
      <c r="I651" s="1860" t="s">
        <v>931</v>
      </c>
    </row>
    <row customHeight="1" ht="11.25">
      <c r="A652" s="1860" t="s">
        <v>2528</v>
      </c>
      <c r="B652" s="1860" t="s">
        <v>16</v>
      </c>
      <c r="C652" s="1860" t="s">
        <v>3753</v>
      </c>
      <c r="D652" s="1860" t="s">
        <v>3754</v>
      </c>
      <c r="E652" s="1860" t="s">
        <v>3755</v>
      </c>
      <c r="F652" s="1860" t="s">
        <v>3119</v>
      </c>
      <c r="G652" s="1860" t="s">
        <v>3717</v>
      </c>
      <c r="H652" s="1860" t="s">
        <v>22</v>
      </c>
      <c r="I652" s="1860" t="s">
        <v>931</v>
      </c>
    </row>
    <row customHeight="1" ht="11.25">
      <c r="A653" s="1860" t="s">
        <v>2528</v>
      </c>
      <c r="B653" s="1860" t="s">
        <v>16</v>
      </c>
      <c r="C653" s="1860" t="s">
        <v>3756</v>
      </c>
      <c r="D653" s="1860" t="s">
        <v>3757</v>
      </c>
      <c r="E653" s="1860" t="s">
        <v>3758</v>
      </c>
      <c r="F653" s="1860" t="s">
        <v>2886</v>
      </c>
      <c r="G653" s="1860" t="s">
        <v>3759</v>
      </c>
      <c r="H653" s="1860" t="s">
        <v>22</v>
      </c>
      <c r="I653" s="1860" t="s">
        <v>931</v>
      </c>
    </row>
    <row customHeight="1" ht="11.25">
      <c r="A654" s="1860" t="s">
        <v>2528</v>
      </c>
      <c r="B654" s="1860" t="s">
        <v>16</v>
      </c>
      <c r="C654" s="1860" t="s">
        <v>3760</v>
      </c>
      <c r="D654" s="1860" t="s">
        <v>3761</v>
      </c>
      <c r="E654" s="1860" t="s">
        <v>3762</v>
      </c>
      <c r="F654" s="1860" t="s">
        <v>3250</v>
      </c>
      <c r="G654" s="1860" t="s">
        <v>3763</v>
      </c>
      <c r="H654" s="1860" t="s">
        <v>22</v>
      </c>
      <c r="I654" s="1860" t="s">
        <v>931</v>
      </c>
    </row>
    <row customHeight="1" ht="11.25">
      <c r="A655" s="1860" t="s">
        <v>2528</v>
      </c>
      <c r="B655" s="1860" t="s">
        <v>16</v>
      </c>
      <c r="C655" s="1860" t="s">
        <v>3064</v>
      </c>
      <c r="D655" s="1860" t="s">
        <v>3065</v>
      </c>
      <c r="E655" s="1860" t="s">
        <v>3066</v>
      </c>
      <c r="F655" s="1860" t="s">
        <v>2540</v>
      </c>
      <c r="G655" s="1860" t="s">
        <v>3067</v>
      </c>
      <c r="H655" s="1860" t="s">
        <v>22</v>
      </c>
      <c r="I655" s="1860" t="s">
        <v>931</v>
      </c>
    </row>
    <row customHeight="1" ht="11.25">
      <c r="A656" s="1860" t="s">
        <v>2528</v>
      </c>
      <c r="B656" s="1860" t="s">
        <v>16</v>
      </c>
      <c r="C656" s="1860" t="s">
        <v>3068</v>
      </c>
      <c r="D656" s="1860" t="s">
        <v>3069</v>
      </c>
      <c r="E656" s="1860" t="s">
        <v>3070</v>
      </c>
      <c r="F656" s="1860" t="s">
        <v>3071</v>
      </c>
      <c r="G656" s="1860" t="s">
        <v>3072</v>
      </c>
      <c r="H656" s="1860" t="s">
        <v>22</v>
      </c>
      <c r="I656" s="1860" t="s">
        <v>931</v>
      </c>
    </row>
    <row customHeight="1" ht="11.25">
      <c r="A657" s="1860" t="s">
        <v>2528</v>
      </c>
      <c r="B657" s="1860" t="s">
        <v>16</v>
      </c>
      <c r="C657" s="1860" t="s">
        <v>3073</v>
      </c>
      <c r="D657" s="1860" t="s">
        <v>3074</v>
      </c>
      <c r="E657" s="1860" t="s">
        <v>3075</v>
      </c>
      <c r="F657" s="1860" t="s">
        <v>2949</v>
      </c>
      <c r="G657" s="1860" t="s">
        <v>3076</v>
      </c>
      <c r="H657" s="1860" t="s">
        <v>22</v>
      </c>
      <c r="I657" s="1860" t="s">
        <v>931</v>
      </c>
    </row>
    <row customHeight="1" ht="11.25">
      <c r="A658" s="1860" t="s">
        <v>2528</v>
      </c>
      <c r="B658" s="1860" t="s">
        <v>16</v>
      </c>
      <c r="C658" s="1860" t="s">
        <v>3077</v>
      </c>
      <c r="D658" s="1860" t="s">
        <v>3078</v>
      </c>
      <c r="E658" s="1860" t="s">
        <v>3079</v>
      </c>
      <c r="F658" s="1860" t="s">
        <v>3071</v>
      </c>
      <c r="G658" s="1860" t="s">
        <v>3080</v>
      </c>
      <c r="H658" s="1860" t="s">
        <v>22</v>
      </c>
      <c r="I658" s="1860" t="s">
        <v>931</v>
      </c>
    </row>
    <row customHeight="1" ht="11.25">
      <c r="A659" s="1860" t="s">
        <v>2528</v>
      </c>
      <c r="B659" s="1860" t="s">
        <v>16</v>
      </c>
      <c r="C659" s="1860" t="s">
        <v>3764</v>
      </c>
      <c r="D659" s="1860" t="s">
        <v>3765</v>
      </c>
      <c r="E659" s="1860" t="s">
        <v>3766</v>
      </c>
      <c r="F659" s="1860" t="s">
        <v>2886</v>
      </c>
      <c r="G659" s="1860" t="s">
        <v>3767</v>
      </c>
      <c r="H659" s="1860" t="s">
        <v>22</v>
      </c>
      <c r="I659" s="1860" t="s">
        <v>931</v>
      </c>
    </row>
    <row customHeight="1" ht="11.25">
      <c r="A660" s="1860" t="s">
        <v>2528</v>
      </c>
      <c r="B660" s="1860" t="s">
        <v>16</v>
      </c>
      <c r="C660" s="1860" t="s">
        <v>3108</v>
      </c>
      <c r="D660" s="1860" t="s">
        <v>3109</v>
      </c>
      <c r="E660" s="1860" t="s">
        <v>3110</v>
      </c>
      <c r="F660" s="1860" t="s">
        <v>2914</v>
      </c>
      <c r="G660" s="1860" t="s">
        <v>3111</v>
      </c>
      <c r="H660" s="1860" t="s">
        <v>22</v>
      </c>
      <c r="I660" s="1860" t="s">
        <v>931</v>
      </c>
    </row>
    <row customHeight="1" ht="11.25">
      <c r="A661" s="1860" t="s">
        <v>2528</v>
      </c>
      <c r="B661" s="1860" t="s">
        <v>16</v>
      </c>
      <c r="C661" s="1860" t="s">
        <v>3768</v>
      </c>
      <c r="D661" s="1860" t="s">
        <v>3769</v>
      </c>
      <c r="E661" s="1860" t="s">
        <v>3770</v>
      </c>
      <c r="F661" s="1860" t="s">
        <v>3250</v>
      </c>
      <c r="G661" s="1860" t="s">
        <v>3771</v>
      </c>
      <c r="H661" s="1860" t="s">
        <v>22</v>
      </c>
      <c r="I661" s="1860" t="s">
        <v>931</v>
      </c>
    </row>
    <row customHeight="1" ht="11.25">
      <c r="A662" s="1860" t="s">
        <v>2528</v>
      </c>
      <c r="B662" s="1860" t="s">
        <v>16</v>
      </c>
      <c r="C662" s="1860" t="s">
        <v>3772</v>
      </c>
      <c r="D662" s="1860" t="s">
        <v>3773</v>
      </c>
      <c r="E662" s="1860" t="s">
        <v>3774</v>
      </c>
      <c r="F662" s="1860" t="s">
        <v>2886</v>
      </c>
      <c r="G662" s="1860" t="s">
        <v>3657</v>
      </c>
      <c r="H662" s="1860" t="s">
        <v>22</v>
      </c>
      <c r="I662" s="1860" t="s">
        <v>931</v>
      </c>
    </row>
    <row customHeight="1" ht="11.25">
      <c r="A663" s="1860" t="s">
        <v>2528</v>
      </c>
      <c r="B663" s="1860" t="s">
        <v>16</v>
      </c>
      <c r="C663" s="1860" t="s">
        <v>3116</v>
      </c>
      <c r="D663" s="1860" t="s">
        <v>3117</v>
      </c>
      <c r="E663" s="1860" t="s">
        <v>3118</v>
      </c>
      <c r="F663" s="1860" t="s">
        <v>3119</v>
      </c>
      <c r="G663" s="1860" t="s">
        <v>3120</v>
      </c>
      <c r="H663" s="1860" t="s">
        <v>22</v>
      </c>
      <c r="I663" s="1860" t="s">
        <v>931</v>
      </c>
    </row>
    <row customHeight="1" ht="11.25">
      <c r="A664" s="1860" t="s">
        <v>2528</v>
      </c>
      <c r="B664" s="1860" t="s">
        <v>16</v>
      </c>
      <c r="C664" s="1860" t="s">
        <v>3775</v>
      </c>
      <c r="D664" s="1860" t="s">
        <v>3776</v>
      </c>
      <c r="E664" s="1860" t="s">
        <v>3777</v>
      </c>
      <c r="F664" s="1860" t="s">
        <v>2540</v>
      </c>
      <c r="G664" s="1860" t="s">
        <v>3778</v>
      </c>
      <c r="H664" s="1860" t="s">
        <v>22</v>
      </c>
      <c r="I664" s="1860" t="s">
        <v>931</v>
      </c>
    </row>
    <row customHeight="1" ht="11.25">
      <c r="A665" s="1860" t="s">
        <v>2528</v>
      </c>
      <c r="B665" s="1860" t="s">
        <v>16</v>
      </c>
      <c r="C665" s="1860" t="s">
        <v>3779</v>
      </c>
      <c r="D665" s="1860" t="s">
        <v>3780</v>
      </c>
      <c r="E665" s="1860" t="s">
        <v>3781</v>
      </c>
      <c r="F665" s="1860" t="s">
        <v>2540</v>
      </c>
      <c r="G665" s="1860" t="s">
        <v>3782</v>
      </c>
      <c r="H665" s="1860" t="s">
        <v>22</v>
      </c>
      <c r="I665" s="1860" t="s">
        <v>931</v>
      </c>
    </row>
    <row customHeight="1" ht="11.25">
      <c r="A666" s="1860" t="s">
        <v>2528</v>
      </c>
      <c r="B666" s="1860" t="s">
        <v>16</v>
      </c>
      <c r="C666" s="1860" t="s">
        <v>3126</v>
      </c>
      <c r="D666" s="1860" t="s">
        <v>3127</v>
      </c>
      <c r="E666" s="1860" t="s">
        <v>3128</v>
      </c>
      <c r="F666" s="1860" t="s">
        <v>3027</v>
      </c>
      <c r="G666" s="1860" t="s">
        <v>3129</v>
      </c>
      <c r="H666" s="1860" t="s">
        <v>22</v>
      </c>
      <c r="I666" s="1860" t="s">
        <v>931</v>
      </c>
    </row>
    <row customHeight="1" ht="11.25">
      <c r="A667" s="1860" t="s">
        <v>2528</v>
      </c>
      <c r="B667" s="1860" t="s">
        <v>16</v>
      </c>
      <c r="C667" s="1860" t="s">
        <v>3783</v>
      </c>
      <c r="D667" s="1860" t="s">
        <v>3784</v>
      </c>
      <c r="E667" s="1860" t="s">
        <v>3785</v>
      </c>
      <c r="F667" s="1860" t="s">
        <v>2886</v>
      </c>
      <c r="G667" s="1860" t="s">
        <v>3745</v>
      </c>
      <c r="H667" s="1860" t="s">
        <v>22</v>
      </c>
      <c r="I667" s="1860" t="s">
        <v>931</v>
      </c>
    </row>
    <row customHeight="1" ht="11.25">
      <c r="A668" s="1860" t="s">
        <v>2528</v>
      </c>
      <c r="B668" s="1860" t="s">
        <v>16</v>
      </c>
      <c r="C668" s="1860" t="s">
        <v>3138</v>
      </c>
      <c r="D668" s="1860" t="s">
        <v>3139</v>
      </c>
      <c r="E668" s="1860" t="s">
        <v>3140</v>
      </c>
      <c r="F668" s="1860" t="s">
        <v>2540</v>
      </c>
      <c r="G668" s="1860" t="s">
        <v>3141</v>
      </c>
      <c r="H668" s="1860" t="s">
        <v>22</v>
      </c>
      <c r="I668" s="1860" t="s">
        <v>931</v>
      </c>
    </row>
    <row customHeight="1" ht="11.25">
      <c r="A669" s="1860" t="s">
        <v>2528</v>
      </c>
      <c r="B669" s="1860" t="s">
        <v>16</v>
      </c>
      <c r="C669" s="1860" t="s">
        <v>3786</v>
      </c>
      <c r="D669" s="1860" t="s">
        <v>3787</v>
      </c>
      <c r="E669" s="1860" t="s">
        <v>3788</v>
      </c>
      <c r="F669" s="1860" t="s">
        <v>3789</v>
      </c>
      <c r="G669" s="1860" t="s">
        <v>3790</v>
      </c>
      <c r="H669" s="1860" t="s">
        <v>22</v>
      </c>
      <c r="I669" s="1860" t="s">
        <v>931</v>
      </c>
    </row>
    <row customHeight="1" ht="11.25">
      <c r="A670" s="1860" t="s">
        <v>2528</v>
      </c>
      <c r="B670" s="1860" t="s">
        <v>16</v>
      </c>
      <c r="C670" s="1860" t="s">
        <v>3145</v>
      </c>
      <c r="D670" s="1860" t="s">
        <v>3146</v>
      </c>
      <c r="E670" s="1860" t="s">
        <v>3147</v>
      </c>
      <c r="F670" s="1860" t="s">
        <v>2949</v>
      </c>
      <c r="G670" s="1860" t="s">
        <v>3148</v>
      </c>
      <c r="H670" s="1860" t="s">
        <v>22</v>
      </c>
      <c r="I670" s="1860" t="s">
        <v>931</v>
      </c>
    </row>
    <row customHeight="1" ht="11.25">
      <c r="A671" s="1860" t="s">
        <v>2528</v>
      </c>
      <c r="B671" s="1860" t="s">
        <v>16</v>
      </c>
      <c r="C671" s="1860" t="s">
        <v>3791</v>
      </c>
      <c r="D671" s="1860" t="s">
        <v>3792</v>
      </c>
      <c r="E671" s="1860" t="s">
        <v>3793</v>
      </c>
      <c r="F671" s="1860" t="s">
        <v>2540</v>
      </c>
      <c r="G671" s="1860" t="s">
        <v>3794</v>
      </c>
      <c r="H671" s="1860" t="s">
        <v>22</v>
      </c>
      <c r="I671" s="1860" t="s">
        <v>931</v>
      </c>
    </row>
    <row customHeight="1" ht="11.25">
      <c r="A672" s="1860" t="s">
        <v>2528</v>
      </c>
      <c r="B672" s="1860" t="s">
        <v>16</v>
      </c>
      <c r="C672" s="1860" t="s">
        <v>3795</v>
      </c>
      <c r="D672" s="1860" t="s">
        <v>3796</v>
      </c>
      <c r="E672" s="1860" t="s">
        <v>3797</v>
      </c>
      <c r="F672" s="1860" t="s">
        <v>2540</v>
      </c>
      <c r="G672" s="1860" t="s">
        <v>3798</v>
      </c>
      <c r="H672" s="1860" t="s">
        <v>22</v>
      </c>
      <c r="I672" s="1860" t="s">
        <v>931</v>
      </c>
    </row>
    <row customHeight="1" ht="11.25">
      <c r="A673" s="1860" t="s">
        <v>2528</v>
      </c>
      <c r="B673" s="1860" t="s">
        <v>16</v>
      </c>
      <c r="C673" s="1860" t="s">
        <v>3799</v>
      </c>
      <c r="D673" s="1860" t="s">
        <v>3800</v>
      </c>
      <c r="E673" s="1860" t="s">
        <v>3801</v>
      </c>
      <c r="F673" s="1860" t="s">
        <v>2540</v>
      </c>
      <c r="G673" s="1860" t="s">
        <v>3802</v>
      </c>
      <c r="H673" s="1860" t="s">
        <v>22</v>
      </c>
      <c r="I673" s="1860" t="s">
        <v>931</v>
      </c>
    </row>
    <row customHeight="1" ht="11.25">
      <c r="A674" s="1860" t="s">
        <v>2528</v>
      </c>
      <c r="B674" s="1860" t="s">
        <v>16</v>
      </c>
      <c r="C674" s="1860" t="s">
        <v>3161</v>
      </c>
      <c r="D674" s="1860" t="s">
        <v>3162</v>
      </c>
      <c r="E674" s="1860" t="s">
        <v>3163</v>
      </c>
      <c r="F674" s="1860" t="s">
        <v>2577</v>
      </c>
      <c r="G674" s="1860" t="s">
        <v>3164</v>
      </c>
      <c r="H674" s="1860" t="s">
        <v>22</v>
      </c>
      <c r="I674" s="1860" t="s">
        <v>931</v>
      </c>
    </row>
    <row customHeight="1" ht="11.25">
      <c r="A675" s="1860" t="s">
        <v>2528</v>
      </c>
      <c r="B675" s="1860" t="s">
        <v>16</v>
      </c>
      <c r="C675" s="1860" t="s">
        <v>3803</v>
      </c>
      <c r="D675" s="1860" t="s">
        <v>3804</v>
      </c>
      <c r="E675" s="1860" t="s">
        <v>3805</v>
      </c>
      <c r="F675" s="1860" t="s">
        <v>2982</v>
      </c>
      <c r="G675" s="1860" t="s">
        <v>3806</v>
      </c>
      <c r="H675" s="1860" t="s">
        <v>22</v>
      </c>
      <c r="I675" s="1860" t="s">
        <v>931</v>
      </c>
    </row>
    <row customHeight="1" ht="11.25">
      <c r="A676" s="1860" t="s">
        <v>2528</v>
      </c>
      <c r="B676" s="1860" t="s">
        <v>16</v>
      </c>
      <c r="C676" s="1860" t="s">
        <v>3165</v>
      </c>
      <c r="D676" s="1860" t="s">
        <v>3166</v>
      </c>
      <c r="E676" s="1860" t="s">
        <v>3167</v>
      </c>
      <c r="F676" s="1860" t="s">
        <v>2936</v>
      </c>
      <c r="G676" s="1860" t="s">
        <v>3168</v>
      </c>
      <c r="H676" s="1860" t="s">
        <v>22</v>
      </c>
      <c r="I676" s="1860" t="s">
        <v>931</v>
      </c>
    </row>
    <row customHeight="1" ht="11.25">
      <c r="A677" s="1860" t="s">
        <v>2528</v>
      </c>
      <c r="B677" s="1860" t="s">
        <v>16</v>
      </c>
      <c r="C677" s="1860" t="s">
        <v>3807</v>
      </c>
      <c r="D677" s="1860" t="s">
        <v>3808</v>
      </c>
      <c r="E677" s="1860" t="s">
        <v>3809</v>
      </c>
      <c r="F677" s="1860" t="s">
        <v>2905</v>
      </c>
      <c r="G677" s="1860" t="s">
        <v>3810</v>
      </c>
      <c r="H677" s="1860" t="s">
        <v>22</v>
      </c>
      <c r="I677" s="1860" t="s">
        <v>931</v>
      </c>
    </row>
    <row customHeight="1" ht="11.25">
      <c r="A678" s="1860" t="s">
        <v>2528</v>
      </c>
      <c r="B678" s="1860" t="s">
        <v>16</v>
      </c>
      <c r="C678" s="1860" t="s">
        <v>3811</v>
      </c>
      <c r="D678" s="1860" t="s">
        <v>3812</v>
      </c>
      <c r="E678" s="1860" t="s">
        <v>3813</v>
      </c>
      <c r="F678" s="1860" t="s">
        <v>2644</v>
      </c>
      <c r="G678" s="1860" t="s">
        <v>3814</v>
      </c>
      <c r="H678" s="1860" t="s">
        <v>22</v>
      </c>
      <c r="I678" s="1860" t="s">
        <v>931</v>
      </c>
    </row>
    <row customHeight="1" ht="11.25">
      <c r="A679" s="1860" t="s">
        <v>2528</v>
      </c>
      <c r="B679" s="1860" t="s">
        <v>16</v>
      </c>
      <c r="C679" s="1860" t="s">
        <v>3215</v>
      </c>
      <c r="D679" s="1860" t="s">
        <v>3216</v>
      </c>
      <c r="E679" s="1860" t="s">
        <v>3217</v>
      </c>
      <c r="F679" s="1860" t="s">
        <v>2540</v>
      </c>
      <c r="G679" s="1860" t="s">
        <v>3218</v>
      </c>
      <c r="H679" s="1860" t="s">
        <v>22</v>
      </c>
      <c r="I679" s="1860" t="s">
        <v>931</v>
      </c>
    </row>
    <row customHeight="1" ht="11.25">
      <c r="A680" s="1860" t="s">
        <v>2528</v>
      </c>
      <c r="B680" s="1860" t="s">
        <v>16</v>
      </c>
      <c r="C680" s="1860" t="s">
        <v>3227</v>
      </c>
      <c r="D680" s="1860" t="s">
        <v>3228</v>
      </c>
      <c r="E680" s="1860" t="s">
        <v>3229</v>
      </c>
      <c r="F680" s="1860" t="s">
        <v>2886</v>
      </c>
      <c r="G680" s="1860" t="s">
        <v>22</v>
      </c>
      <c r="H680" s="1860" t="s">
        <v>22</v>
      </c>
      <c r="I680" s="1860" t="s">
        <v>931</v>
      </c>
    </row>
    <row customHeight="1" ht="11.25">
      <c r="A681" s="1860" t="s">
        <v>2528</v>
      </c>
      <c r="B681" s="1860" t="s">
        <v>16</v>
      </c>
      <c r="C681" s="1860" t="s">
        <v>3815</v>
      </c>
      <c r="D681" s="1860" t="s">
        <v>3816</v>
      </c>
      <c r="E681" s="1860" t="s">
        <v>3817</v>
      </c>
      <c r="F681" s="1860" t="s">
        <v>2891</v>
      </c>
      <c r="G681" s="1860" t="s">
        <v>3818</v>
      </c>
      <c r="H681" s="1860" t="s">
        <v>22</v>
      </c>
      <c r="I681" s="1860" t="s">
        <v>931</v>
      </c>
    </row>
    <row customHeight="1" ht="11.25">
      <c r="A682" s="1860" t="s">
        <v>2528</v>
      </c>
      <c r="B682" s="1860" t="s">
        <v>16</v>
      </c>
      <c r="C682" s="1860" t="s">
        <v>3819</v>
      </c>
      <c r="D682" s="1860" t="s">
        <v>3820</v>
      </c>
      <c r="E682" s="1860" t="s">
        <v>3821</v>
      </c>
      <c r="F682" s="1860" t="s">
        <v>3822</v>
      </c>
      <c r="G682" s="1860" t="s">
        <v>3823</v>
      </c>
      <c r="H682" s="1860" t="s">
        <v>22</v>
      </c>
      <c r="I682" s="1860" t="s">
        <v>931</v>
      </c>
    </row>
    <row customHeight="1" ht="11.25">
      <c r="A683" s="1860" t="s">
        <v>2528</v>
      </c>
      <c r="B683" s="1860" t="s">
        <v>16</v>
      </c>
      <c r="C683" s="1860" t="s">
        <v>3824</v>
      </c>
      <c r="D683" s="1860" t="s">
        <v>3825</v>
      </c>
      <c r="E683" s="1860" t="s">
        <v>3826</v>
      </c>
      <c r="F683" s="1860" t="s">
        <v>2896</v>
      </c>
      <c r="G683" s="1860" t="s">
        <v>22</v>
      </c>
      <c r="H683" s="1860" t="s">
        <v>22</v>
      </c>
      <c r="I683" s="1860" t="s">
        <v>931</v>
      </c>
    </row>
    <row customHeight="1" ht="11.25">
      <c r="A684" s="1860" t="s">
        <v>2528</v>
      </c>
      <c r="B684" s="1860" t="s">
        <v>16</v>
      </c>
      <c r="C684" s="1860" t="s">
        <v>3243</v>
      </c>
      <c r="D684" s="1860" t="s">
        <v>3244</v>
      </c>
      <c r="E684" s="1860" t="s">
        <v>3245</v>
      </c>
      <c r="F684" s="1860" t="s">
        <v>2891</v>
      </c>
      <c r="G684" s="1860" t="s">
        <v>3246</v>
      </c>
      <c r="H684" s="1860" t="s">
        <v>22</v>
      </c>
      <c r="I684" s="1860" t="s">
        <v>931</v>
      </c>
    </row>
    <row customHeight="1" ht="11.25">
      <c r="A685" s="1860" t="s">
        <v>2528</v>
      </c>
      <c r="B685" s="1860" t="s">
        <v>16</v>
      </c>
      <c r="C685" s="1860" t="s">
        <v>3827</v>
      </c>
      <c r="D685" s="1860" t="s">
        <v>3828</v>
      </c>
      <c r="E685" s="1860" t="s">
        <v>3829</v>
      </c>
      <c r="F685" s="1860" t="s">
        <v>3250</v>
      </c>
      <c r="G685" s="1860" t="s">
        <v>3047</v>
      </c>
      <c r="H685" s="1860" t="s">
        <v>22</v>
      </c>
      <c r="I685" s="1860" t="s">
        <v>931</v>
      </c>
    </row>
    <row customHeight="1" ht="11.25">
      <c r="A686" s="1860" t="s">
        <v>2528</v>
      </c>
      <c r="B686" s="1860" t="s">
        <v>16</v>
      </c>
      <c r="C686" s="1860" t="s">
        <v>3582</v>
      </c>
      <c r="D686" s="1860" t="s">
        <v>3583</v>
      </c>
      <c r="E686" s="1860" t="s">
        <v>3584</v>
      </c>
      <c r="F686" s="1860" t="s">
        <v>2635</v>
      </c>
      <c r="G686" s="1860" t="s">
        <v>3585</v>
      </c>
      <c r="H686" s="1860" t="s">
        <v>22</v>
      </c>
      <c r="I686" s="1860" t="s">
        <v>931</v>
      </c>
    </row>
    <row customHeight="1" ht="11.25">
      <c r="A687" s="1860" t="s">
        <v>2528</v>
      </c>
      <c r="B687" s="1860" t="s">
        <v>16</v>
      </c>
      <c r="C687" s="1860" t="s">
        <v>3586</v>
      </c>
      <c r="D687" s="1860" t="s">
        <v>3587</v>
      </c>
      <c r="E687" s="1860" t="s">
        <v>3588</v>
      </c>
      <c r="F687" s="1860" t="s">
        <v>2936</v>
      </c>
      <c r="G687" s="1860" t="s">
        <v>3589</v>
      </c>
      <c r="H687" s="1860" t="s">
        <v>22</v>
      </c>
      <c r="I687" s="1860" t="s">
        <v>931</v>
      </c>
    </row>
    <row customHeight="1" ht="11.25">
      <c r="A688" s="1860" t="s">
        <v>2528</v>
      </c>
      <c r="B688" s="1860" t="s">
        <v>16</v>
      </c>
      <c r="C688" s="1860" t="s">
        <v>3590</v>
      </c>
      <c r="D688" s="1860" t="s">
        <v>3591</v>
      </c>
      <c r="E688" s="1860" t="s">
        <v>3592</v>
      </c>
      <c r="F688" s="1860" t="s">
        <v>2995</v>
      </c>
      <c r="G688" s="1860" t="s">
        <v>3593</v>
      </c>
      <c r="H688" s="1860" t="s">
        <v>22</v>
      </c>
      <c r="I688" s="1860" t="s">
        <v>931</v>
      </c>
    </row>
    <row customHeight="1" ht="11.25">
      <c r="A689" s="1860" t="s">
        <v>2528</v>
      </c>
      <c r="B689" s="1860" t="s">
        <v>16</v>
      </c>
      <c r="C689" s="1860" t="s">
        <v>3594</v>
      </c>
      <c r="D689" s="1860" t="s">
        <v>3595</v>
      </c>
      <c r="E689" s="1860" t="s">
        <v>3596</v>
      </c>
      <c r="F689" s="1860" t="s">
        <v>2982</v>
      </c>
      <c r="G689" s="1860" t="s">
        <v>3597</v>
      </c>
      <c r="H689" s="1860" t="s">
        <v>22</v>
      </c>
      <c r="I689" s="1860" t="s">
        <v>931</v>
      </c>
    </row>
    <row customHeight="1" ht="11.25">
      <c r="A690" s="1860" t="s">
        <v>2528</v>
      </c>
      <c r="B690" s="1860" t="s">
        <v>16</v>
      </c>
      <c r="C690" s="1860" t="s">
        <v>3830</v>
      </c>
      <c r="D690" s="1860" t="s">
        <v>3831</v>
      </c>
      <c r="E690" s="1860" t="s">
        <v>3832</v>
      </c>
      <c r="F690" s="1860" t="s">
        <v>2927</v>
      </c>
      <c r="G690" s="1860" t="s">
        <v>3833</v>
      </c>
      <c r="H690" s="1860" t="s">
        <v>22</v>
      </c>
      <c r="I690" s="1860" t="s">
        <v>931</v>
      </c>
    </row>
    <row customHeight="1" ht="11.25">
      <c r="A691" s="1860" t="s">
        <v>2528</v>
      </c>
      <c r="B691" s="1860" t="s">
        <v>16</v>
      </c>
      <c r="C691" s="1860" t="s">
        <v>3834</v>
      </c>
      <c r="D691" s="1860" t="s">
        <v>3835</v>
      </c>
      <c r="E691" s="1860" t="s">
        <v>3836</v>
      </c>
      <c r="F691" s="1860" t="s">
        <v>2540</v>
      </c>
      <c r="G691" s="1860" t="s">
        <v>3837</v>
      </c>
      <c r="H691" s="1860" t="s">
        <v>3838</v>
      </c>
      <c r="I691" s="1860" t="s">
        <v>931</v>
      </c>
    </row>
    <row customHeight="1" ht="11.25">
      <c r="A692" s="1860" t="s">
        <v>2528</v>
      </c>
      <c r="B692" s="1860" t="s">
        <v>16</v>
      </c>
      <c r="C692" s="1860" t="s">
        <v>3839</v>
      </c>
      <c r="D692" s="1860" t="s">
        <v>3840</v>
      </c>
      <c r="E692" s="1860" t="s">
        <v>3841</v>
      </c>
      <c r="F692" s="1860" t="s">
        <v>2572</v>
      </c>
      <c r="G692" s="1860" t="s">
        <v>3661</v>
      </c>
      <c r="H692" s="1860" t="s">
        <v>22</v>
      </c>
      <c r="I692" s="1860" t="s">
        <v>931</v>
      </c>
    </row>
    <row customHeight="1" ht="11.25">
      <c r="A693" s="1860" t="s">
        <v>2528</v>
      </c>
      <c r="B693" s="1860" t="s">
        <v>16</v>
      </c>
      <c r="C693" s="1860" t="s">
        <v>3842</v>
      </c>
      <c r="D693" s="1860" t="s">
        <v>3843</v>
      </c>
      <c r="E693" s="1860" t="s">
        <v>3844</v>
      </c>
      <c r="F693" s="1860" t="s">
        <v>2905</v>
      </c>
      <c r="G693" s="1860" t="s">
        <v>3845</v>
      </c>
      <c r="H693" s="1860" t="s">
        <v>22</v>
      </c>
      <c r="I693" s="1860" t="s">
        <v>931</v>
      </c>
    </row>
    <row customHeight="1" ht="11.25">
      <c r="A694" s="1860" t="s">
        <v>2528</v>
      </c>
      <c r="B694" s="1860" t="s">
        <v>16</v>
      </c>
      <c r="C694" s="1860" t="s">
        <v>3846</v>
      </c>
      <c r="D694" s="1860" t="s">
        <v>3847</v>
      </c>
      <c r="E694" s="1860" t="s">
        <v>3848</v>
      </c>
      <c r="F694" s="1860" t="s">
        <v>2540</v>
      </c>
      <c r="G694" s="1860" t="s">
        <v>3849</v>
      </c>
      <c r="H694" s="1860" t="s">
        <v>22</v>
      </c>
      <c r="I694" s="1860" t="s">
        <v>931</v>
      </c>
    </row>
    <row customHeight="1" ht="11.25">
      <c r="A695" s="1860" t="s">
        <v>2528</v>
      </c>
      <c r="B695" s="1860" t="s">
        <v>16</v>
      </c>
      <c r="C695" s="1860" t="s">
        <v>3850</v>
      </c>
      <c r="D695" s="1860" t="s">
        <v>3851</v>
      </c>
      <c r="E695" s="1860" t="s">
        <v>3852</v>
      </c>
      <c r="F695" s="1860" t="s">
        <v>3340</v>
      </c>
      <c r="G695" s="1860" t="s">
        <v>3853</v>
      </c>
      <c r="H695" s="1860" t="s">
        <v>22</v>
      </c>
      <c r="I695" s="1860" t="s">
        <v>931</v>
      </c>
    </row>
    <row customHeight="1" ht="11.25">
      <c r="A696" s="1860" t="s">
        <v>2528</v>
      </c>
      <c r="B696" s="1860" t="s">
        <v>16</v>
      </c>
      <c r="C696" s="1860" t="s">
        <v>3854</v>
      </c>
      <c r="D696" s="1860" t="s">
        <v>3855</v>
      </c>
      <c r="E696" s="1860" t="s">
        <v>3856</v>
      </c>
      <c r="F696" s="1860" t="s">
        <v>3857</v>
      </c>
      <c r="G696" s="1860" t="s">
        <v>3858</v>
      </c>
      <c r="H696" s="1860" t="s">
        <v>22</v>
      </c>
      <c r="I696" s="1860" t="s">
        <v>931</v>
      </c>
    </row>
    <row customHeight="1" ht="11.25">
      <c r="A697" s="1860" t="s">
        <v>2528</v>
      </c>
      <c r="B697" s="1860" t="s">
        <v>16</v>
      </c>
      <c r="C697" s="1860" t="s">
        <v>3280</v>
      </c>
      <c r="D697" s="1860" t="s">
        <v>3281</v>
      </c>
      <c r="E697" s="1860" t="s">
        <v>3282</v>
      </c>
      <c r="F697" s="1860" t="s">
        <v>3071</v>
      </c>
      <c r="G697" s="1860" t="s">
        <v>3283</v>
      </c>
      <c r="H697" s="1860" t="s">
        <v>22</v>
      </c>
      <c r="I697" s="1860" t="s">
        <v>931</v>
      </c>
    </row>
    <row customHeight="1" ht="11.25">
      <c r="A698" s="1860" t="s">
        <v>2528</v>
      </c>
      <c r="B698" s="1860" t="s">
        <v>16</v>
      </c>
      <c r="C698" s="1860" t="s">
        <v>3859</v>
      </c>
      <c r="D698" s="1860" t="s">
        <v>3289</v>
      </c>
      <c r="E698" s="1860" t="s">
        <v>3860</v>
      </c>
      <c r="F698" s="1860" t="s">
        <v>2572</v>
      </c>
      <c r="G698" s="1860" t="s">
        <v>3653</v>
      </c>
      <c r="H698" s="1860" t="s">
        <v>22</v>
      </c>
      <c r="I698" s="1860" t="s">
        <v>931</v>
      </c>
    </row>
    <row customHeight="1" ht="11.25">
      <c r="A699" s="1860" t="s">
        <v>2528</v>
      </c>
      <c r="B699" s="1860" t="s">
        <v>16</v>
      </c>
      <c r="C699" s="1860" t="s">
        <v>3296</v>
      </c>
      <c r="D699" s="1860" t="s">
        <v>3297</v>
      </c>
      <c r="E699" s="1860" t="s">
        <v>3298</v>
      </c>
      <c r="F699" s="1860" t="s">
        <v>2540</v>
      </c>
      <c r="G699" s="1860" t="s">
        <v>3299</v>
      </c>
      <c r="H699" s="1860" t="s">
        <v>22</v>
      </c>
      <c r="I699" s="1860" t="s">
        <v>931</v>
      </c>
    </row>
    <row customHeight="1" ht="11.25">
      <c r="A700" s="1860" t="s">
        <v>2528</v>
      </c>
      <c r="B700" s="1860" t="s">
        <v>16</v>
      </c>
      <c r="C700" s="1860" t="s">
        <v>3861</v>
      </c>
      <c r="D700" s="1860" t="s">
        <v>3862</v>
      </c>
      <c r="E700" s="1860" t="s">
        <v>3863</v>
      </c>
      <c r="F700" s="1860" t="s">
        <v>2914</v>
      </c>
      <c r="G700" s="1860" t="s">
        <v>22</v>
      </c>
      <c r="H700" s="1860" t="s">
        <v>22</v>
      </c>
      <c r="I700" s="1860" t="s">
        <v>931</v>
      </c>
    </row>
    <row customHeight="1" ht="11.25">
      <c r="A701" s="1860" t="s">
        <v>2528</v>
      </c>
      <c r="B701" s="1860" t="s">
        <v>16</v>
      </c>
      <c r="C701" s="1860" t="s">
        <v>3864</v>
      </c>
      <c r="D701" s="1860" t="s">
        <v>3865</v>
      </c>
      <c r="E701" s="1860" t="s">
        <v>3866</v>
      </c>
      <c r="F701" s="1860" t="s">
        <v>3822</v>
      </c>
      <c r="G701" s="1860" t="s">
        <v>3867</v>
      </c>
      <c r="H701" s="1860" t="s">
        <v>22</v>
      </c>
      <c r="I701" s="1860" t="s">
        <v>931</v>
      </c>
    </row>
    <row customHeight="1" ht="11.25">
      <c r="A702" s="1860" t="s">
        <v>2528</v>
      </c>
      <c r="B702" s="1860" t="s">
        <v>16</v>
      </c>
      <c r="C702" s="1860" t="s">
        <v>3868</v>
      </c>
      <c r="D702" s="1860" t="s">
        <v>3869</v>
      </c>
      <c r="E702" s="1860" t="s">
        <v>3870</v>
      </c>
      <c r="F702" s="1860" t="s">
        <v>2540</v>
      </c>
      <c r="G702" s="1860" t="s">
        <v>3871</v>
      </c>
      <c r="H702" s="1860" t="s">
        <v>22</v>
      </c>
      <c r="I702" s="1860" t="s">
        <v>931</v>
      </c>
    </row>
    <row customHeight="1" ht="11.25">
      <c r="A703" s="1860" t="s">
        <v>2528</v>
      </c>
      <c r="B703" s="1860" t="s">
        <v>16</v>
      </c>
      <c r="C703" s="1860" t="s">
        <v>3333</v>
      </c>
      <c r="D703" s="1860" t="s">
        <v>3334</v>
      </c>
      <c r="E703" s="1860" t="s">
        <v>3335</v>
      </c>
      <c r="F703" s="1860" t="s">
        <v>2577</v>
      </c>
      <c r="G703" s="1860" t="s">
        <v>3336</v>
      </c>
      <c r="H703" s="1860" t="s">
        <v>22</v>
      </c>
      <c r="I703" s="1860" t="s">
        <v>931</v>
      </c>
    </row>
    <row customHeight="1" ht="11.25">
      <c r="A704" s="1860" t="s">
        <v>2528</v>
      </c>
      <c r="B704" s="1860" t="s">
        <v>16</v>
      </c>
      <c r="C704" s="1860" t="s">
        <v>3337</v>
      </c>
      <c r="D704" s="1860" t="s">
        <v>3338</v>
      </c>
      <c r="E704" s="1860" t="s">
        <v>3339</v>
      </c>
      <c r="F704" s="1860" t="s">
        <v>3340</v>
      </c>
      <c r="G704" s="1860" t="s">
        <v>22</v>
      </c>
      <c r="H704" s="1860" t="s">
        <v>22</v>
      </c>
      <c r="I704" s="1860" t="s">
        <v>931</v>
      </c>
    </row>
    <row customHeight="1" ht="11.25">
      <c r="A705" s="1860" t="s">
        <v>2528</v>
      </c>
      <c r="B705" s="1860" t="s">
        <v>16</v>
      </c>
      <c r="C705" s="1860" t="s">
        <v>3606</v>
      </c>
      <c r="D705" s="1860" t="s">
        <v>3607</v>
      </c>
      <c r="E705" s="1860" t="s">
        <v>3608</v>
      </c>
      <c r="F705" s="1860" t="s">
        <v>2891</v>
      </c>
      <c r="G705" s="1860" t="s">
        <v>3609</v>
      </c>
      <c r="H705" s="1860" t="s">
        <v>22</v>
      </c>
      <c r="I705" s="1860" t="s">
        <v>931</v>
      </c>
    </row>
    <row customHeight="1" ht="11.25">
      <c r="A706" s="1860" t="s">
        <v>2528</v>
      </c>
      <c r="B706" s="1860" t="s">
        <v>16</v>
      </c>
      <c r="C706" s="1860" t="s">
        <v>3872</v>
      </c>
      <c r="D706" s="1860" t="s">
        <v>3873</v>
      </c>
      <c r="E706" s="1860" t="s">
        <v>3874</v>
      </c>
      <c r="F706" s="1860" t="s">
        <v>3250</v>
      </c>
      <c r="G706" s="1860" t="s">
        <v>3875</v>
      </c>
      <c r="H706" s="1860" t="s">
        <v>22</v>
      </c>
      <c r="I706" s="1860" t="s">
        <v>931</v>
      </c>
    </row>
    <row customHeight="1" ht="11.25">
      <c r="A707" s="1860" t="s">
        <v>2528</v>
      </c>
      <c r="B707" s="1860" t="s">
        <v>16</v>
      </c>
      <c r="C707" s="1860" t="s">
        <v>3353</v>
      </c>
      <c r="D707" s="1860" t="s">
        <v>3354</v>
      </c>
      <c r="E707" s="1860" t="s">
        <v>3355</v>
      </c>
      <c r="F707" s="1860" t="s">
        <v>3327</v>
      </c>
      <c r="G707" s="1860" t="s">
        <v>3356</v>
      </c>
      <c r="H707" s="1860" t="s">
        <v>22</v>
      </c>
      <c r="I707" s="1860" t="s">
        <v>931</v>
      </c>
    </row>
    <row customHeight="1" ht="11.25">
      <c r="A708" s="1860" t="s">
        <v>2528</v>
      </c>
      <c r="B708" s="1860" t="s">
        <v>16</v>
      </c>
      <c r="C708" s="1860" t="s">
        <v>3876</v>
      </c>
      <c r="D708" s="1860" t="s">
        <v>3877</v>
      </c>
      <c r="E708" s="1860" t="s">
        <v>3878</v>
      </c>
      <c r="F708" s="1860" t="s">
        <v>2886</v>
      </c>
      <c r="G708" s="1860" t="s">
        <v>3661</v>
      </c>
      <c r="H708" s="1860" t="s">
        <v>22</v>
      </c>
      <c r="I708" s="1860" t="s">
        <v>931</v>
      </c>
    </row>
    <row customHeight="1" ht="11.25">
      <c r="A709" s="1860" t="s">
        <v>2528</v>
      </c>
      <c r="B709" s="1860" t="s">
        <v>16</v>
      </c>
      <c r="C709" s="1860" t="s">
        <v>3361</v>
      </c>
      <c r="D709" s="1860" t="s">
        <v>3362</v>
      </c>
      <c r="E709" s="1860" t="s">
        <v>3363</v>
      </c>
      <c r="F709" s="1860" t="s">
        <v>2540</v>
      </c>
      <c r="G709" s="1860" t="s">
        <v>3364</v>
      </c>
      <c r="H709" s="1860" t="s">
        <v>22</v>
      </c>
      <c r="I709" s="1860" t="s">
        <v>931</v>
      </c>
    </row>
    <row customHeight="1" ht="11.25">
      <c r="A710" s="1860" t="s">
        <v>2528</v>
      </c>
      <c r="B710" s="1860" t="s">
        <v>16</v>
      </c>
      <c r="C710" s="1860" t="s">
        <v>3879</v>
      </c>
      <c r="D710" s="1860" t="s">
        <v>3880</v>
      </c>
      <c r="E710" s="1860" t="s">
        <v>3881</v>
      </c>
      <c r="F710" s="1860" t="s">
        <v>2540</v>
      </c>
      <c r="G710" s="1860" t="s">
        <v>3882</v>
      </c>
      <c r="H710" s="1860" t="s">
        <v>22</v>
      </c>
      <c r="I710" s="1860" t="s">
        <v>931</v>
      </c>
    </row>
    <row customHeight="1" ht="11.25">
      <c r="A711" s="1860" t="s">
        <v>2528</v>
      </c>
      <c r="B711" s="1860" t="s">
        <v>16</v>
      </c>
      <c r="C711" s="1860" t="s">
        <v>3883</v>
      </c>
      <c r="D711" s="1860" t="s">
        <v>3884</v>
      </c>
      <c r="E711" s="1860" t="s">
        <v>3885</v>
      </c>
      <c r="F711" s="1860" t="s">
        <v>2886</v>
      </c>
      <c r="G711" s="1860" t="s">
        <v>3886</v>
      </c>
      <c r="H711" s="1860" t="s">
        <v>22</v>
      </c>
      <c r="I711" s="1860" t="s">
        <v>931</v>
      </c>
    </row>
    <row customHeight="1" ht="11.25">
      <c r="A712" s="1860" t="s">
        <v>2528</v>
      </c>
      <c r="B712" s="1860" t="s">
        <v>16</v>
      </c>
      <c r="C712" s="1860" t="s">
        <v>3887</v>
      </c>
      <c r="D712" s="1860" t="s">
        <v>3888</v>
      </c>
      <c r="E712" s="1860" t="s">
        <v>3889</v>
      </c>
      <c r="F712" s="1860" t="s">
        <v>2563</v>
      </c>
      <c r="G712" s="1860" t="s">
        <v>3890</v>
      </c>
      <c r="H712" s="1860" t="s">
        <v>22</v>
      </c>
      <c r="I712" s="1860" t="s">
        <v>931</v>
      </c>
    </row>
    <row customHeight="1" ht="11.25">
      <c r="A713" s="1860" t="s">
        <v>2528</v>
      </c>
      <c r="B713" s="1860" t="s">
        <v>16</v>
      </c>
      <c r="C713" s="1860" t="s">
        <v>3891</v>
      </c>
      <c r="D713" s="1860" t="s">
        <v>3892</v>
      </c>
      <c r="E713" s="1860" t="s">
        <v>3893</v>
      </c>
      <c r="F713" s="1860" t="s">
        <v>2577</v>
      </c>
      <c r="G713" s="1860" t="s">
        <v>3894</v>
      </c>
      <c r="H713" s="1860" t="s">
        <v>22</v>
      </c>
      <c r="I713" s="1860" t="s">
        <v>931</v>
      </c>
    </row>
    <row customHeight="1" ht="11.25">
      <c r="A714" s="1860" t="s">
        <v>2528</v>
      </c>
      <c r="B714" s="1860" t="s">
        <v>16</v>
      </c>
      <c r="C714" s="1860" t="s">
        <v>3895</v>
      </c>
      <c r="D714" s="1860" t="s">
        <v>3896</v>
      </c>
      <c r="E714" s="1860" t="s">
        <v>3897</v>
      </c>
      <c r="F714" s="1860" t="s">
        <v>3250</v>
      </c>
      <c r="G714" s="1860" t="s">
        <v>3745</v>
      </c>
      <c r="H714" s="1860" t="s">
        <v>22</v>
      </c>
      <c r="I714" s="1860" t="s">
        <v>931</v>
      </c>
    </row>
    <row customHeight="1" ht="11.25">
      <c r="A715" s="1860" t="s">
        <v>2528</v>
      </c>
      <c r="B715" s="1860" t="s">
        <v>16</v>
      </c>
      <c r="C715" s="1860" t="s">
        <v>3428</v>
      </c>
      <c r="D715" s="1860" t="s">
        <v>3429</v>
      </c>
      <c r="E715" s="1860" t="s">
        <v>3430</v>
      </c>
      <c r="F715" s="1860" t="s">
        <v>2905</v>
      </c>
      <c r="G715" s="1860" t="s">
        <v>3431</v>
      </c>
      <c r="H715" s="1860" t="s">
        <v>22</v>
      </c>
      <c r="I715" s="1860" t="s">
        <v>931</v>
      </c>
    </row>
    <row customHeight="1" ht="11.25">
      <c r="A716" s="1860" t="s">
        <v>2528</v>
      </c>
      <c r="B716" s="1860" t="s">
        <v>16</v>
      </c>
      <c r="C716" s="1860" t="s">
        <v>3432</v>
      </c>
      <c r="D716" s="1860" t="s">
        <v>3433</v>
      </c>
      <c r="E716" s="1860" t="s">
        <v>3425</v>
      </c>
      <c r="F716" s="1860" t="s">
        <v>2727</v>
      </c>
      <c r="G716" s="1860" t="s">
        <v>3434</v>
      </c>
      <c r="H716" s="1860" t="s">
        <v>22</v>
      </c>
      <c r="I716" s="1860" t="s">
        <v>931</v>
      </c>
    </row>
    <row customHeight="1" ht="11.25">
      <c r="A717" s="1860" t="s">
        <v>2528</v>
      </c>
      <c r="B717" s="1860" t="s">
        <v>16</v>
      </c>
      <c r="C717" s="1860" t="s">
        <v>3617</v>
      </c>
      <c r="D717" s="1860" t="s">
        <v>3618</v>
      </c>
      <c r="E717" s="1860" t="s">
        <v>3540</v>
      </c>
      <c r="F717" s="1860" t="s">
        <v>3619</v>
      </c>
      <c r="G717" s="1860" t="s">
        <v>3620</v>
      </c>
      <c r="H717" s="1860" t="s">
        <v>22</v>
      </c>
      <c r="I717" s="1860" t="s">
        <v>931</v>
      </c>
    </row>
    <row customHeight="1" ht="11.25">
      <c r="A718" s="1860" t="s">
        <v>2528</v>
      </c>
      <c r="B718" s="1860" t="s">
        <v>16</v>
      </c>
      <c r="C718" s="1860" t="s">
        <v>3435</v>
      </c>
      <c r="D718" s="1860" t="s">
        <v>3436</v>
      </c>
      <c r="E718" s="1860" t="s">
        <v>2669</v>
      </c>
      <c r="F718" s="1860" t="s">
        <v>3437</v>
      </c>
      <c r="G718" s="1860" t="s">
        <v>2680</v>
      </c>
      <c r="H718" s="1860" t="s">
        <v>22</v>
      </c>
      <c r="I718" s="1860" t="s">
        <v>931</v>
      </c>
    </row>
    <row customHeight="1" ht="11.25">
      <c r="A719" s="1860" t="s">
        <v>2528</v>
      </c>
      <c r="B719" s="1860" t="s">
        <v>16</v>
      </c>
      <c r="C719" s="1860" t="s">
        <v>3448</v>
      </c>
      <c r="D719" s="1860" t="s">
        <v>3449</v>
      </c>
      <c r="E719" s="1860" t="s">
        <v>2791</v>
      </c>
      <c r="F719" s="1860" t="s">
        <v>3450</v>
      </c>
      <c r="G719" s="1860" t="s">
        <v>3451</v>
      </c>
      <c r="H719" s="1860" t="s">
        <v>22</v>
      </c>
      <c r="I719" s="1860" t="s">
        <v>931</v>
      </c>
    </row>
    <row customHeight="1" ht="11.25">
      <c r="A720" s="1860" t="s">
        <v>2528</v>
      </c>
      <c r="B720" s="1860" t="s">
        <v>16</v>
      </c>
      <c r="C720" s="1860" t="s">
        <v>3458</v>
      </c>
      <c r="D720" s="1860" t="s">
        <v>3459</v>
      </c>
      <c r="E720" s="1860" t="s">
        <v>3454</v>
      </c>
      <c r="F720" s="1860" t="s">
        <v>3460</v>
      </c>
      <c r="G720" s="1860" t="s">
        <v>22</v>
      </c>
      <c r="H720" s="1860" t="s">
        <v>22</v>
      </c>
      <c r="I720" s="1860" t="s">
        <v>931</v>
      </c>
    </row>
    <row customHeight="1" ht="11.25">
      <c r="A721" s="1860" t="s">
        <v>2528</v>
      </c>
      <c r="B721" s="1860" t="s">
        <v>16</v>
      </c>
      <c r="C721" s="1860" t="s">
        <v>3898</v>
      </c>
      <c r="D721" s="1860" t="s">
        <v>3899</v>
      </c>
      <c r="E721" s="1860" t="s">
        <v>3900</v>
      </c>
      <c r="F721" s="1860" t="s">
        <v>2540</v>
      </c>
      <c r="G721" s="1860" t="s">
        <v>3901</v>
      </c>
      <c r="H721" s="1860" t="s">
        <v>22</v>
      </c>
      <c r="I721" s="1860" t="s">
        <v>931</v>
      </c>
    </row>
    <row customHeight="1" ht="11.25">
      <c r="A722" s="1860" t="s">
        <v>2528</v>
      </c>
      <c r="B722" s="1860" t="s">
        <v>16</v>
      </c>
      <c r="C722" s="1860" t="s">
        <v>3621</v>
      </c>
      <c r="D722" s="1860" t="s">
        <v>3622</v>
      </c>
      <c r="E722" s="1860" t="s">
        <v>3623</v>
      </c>
      <c r="F722" s="1860" t="s">
        <v>3460</v>
      </c>
      <c r="G722" s="1860" t="s">
        <v>22</v>
      </c>
      <c r="H722" s="1860" t="s">
        <v>22</v>
      </c>
      <c r="I722" s="1860" t="s">
        <v>931</v>
      </c>
    </row>
    <row customHeight="1" ht="11.25">
      <c r="A723" s="1860" t="s">
        <v>2528</v>
      </c>
      <c r="B723" s="1860" t="s">
        <v>16</v>
      </c>
      <c r="C723" s="1860" t="s">
        <v>2560</v>
      </c>
      <c r="D723" s="1860" t="s">
        <v>2561</v>
      </c>
      <c r="E723" s="1860" t="s">
        <v>2562</v>
      </c>
      <c r="F723" s="1860" t="s">
        <v>2563</v>
      </c>
      <c r="G723" s="1860" t="s">
        <v>2564</v>
      </c>
      <c r="H723" s="1860" t="s">
        <v>22</v>
      </c>
      <c r="I723" s="1860" t="s">
        <v>1901</v>
      </c>
    </row>
    <row customHeight="1" ht="11.25">
      <c r="A724" s="1860" t="s">
        <v>2528</v>
      </c>
      <c r="B724" s="1860" t="s">
        <v>16</v>
      </c>
      <c r="C724" s="1860" t="s">
        <v>22</v>
      </c>
      <c r="D724" s="1860" t="s">
        <v>2697</v>
      </c>
      <c r="E724" s="1860" t="s">
        <v>2698</v>
      </c>
      <c r="F724" s="1860" t="s">
        <v>2540</v>
      </c>
      <c r="G724" s="1860" t="s">
        <v>22</v>
      </c>
      <c r="H724" s="1860" t="s">
        <v>22</v>
      </c>
      <c r="I724" s="1860" t="s">
        <v>1901</v>
      </c>
    </row>
    <row customHeight="1" ht="11.25">
      <c r="A725" s="1860" t="s">
        <v>2528</v>
      </c>
      <c r="B725" s="1860" t="s">
        <v>16</v>
      </c>
      <c r="C725" s="1860" t="s">
        <v>2699</v>
      </c>
      <c r="D725" s="1860" t="s">
        <v>2700</v>
      </c>
      <c r="E725" s="1860" t="s">
        <v>2701</v>
      </c>
      <c r="F725" s="1860" t="s">
        <v>2540</v>
      </c>
      <c r="G725" s="1860" t="s">
        <v>2702</v>
      </c>
      <c r="H725" s="1860" t="s">
        <v>22</v>
      </c>
      <c r="I725" s="1860" t="s">
        <v>1901</v>
      </c>
    </row>
    <row customHeight="1" ht="11.25">
      <c r="A726" s="1860" t="s">
        <v>2528</v>
      </c>
      <c r="B726" s="1860" t="s">
        <v>16</v>
      </c>
      <c r="C726" s="1860" t="s">
        <v>3902</v>
      </c>
      <c r="D726" s="1860" t="s">
        <v>3903</v>
      </c>
      <c r="E726" s="1860" t="s">
        <v>3904</v>
      </c>
      <c r="F726" s="1860" t="s">
        <v>597</v>
      </c>
      <c r="G726" s="1860" t="s">
        <v>3905</v>
      </c>
      <c r="H726" s="1860" t="s">
        <v>22</v>
      </c>
      <c r="I726" s="1860" t="s">
        <v>1901</v>
      </c>
    </row>
    <row customHeight="1" ht="11.25">
      <c r="A727" s="1860" t="s">
        <v>2528</v>
      </c>
      <c r="B727" s="1860" t="s">
        <v>16</v>
      </c>
      <c r="C727" s="1860" t="s">
        <v>3662</v>
      </c>
      <c r="D727" s="1860" t="s">
        <v>3663</v>
      </c>
      <c r="E727" s="1860" t="s">
        <v>3664</v>
      </c>
      <c r="F727" s="1860" t="s">
        <v>597</v>
      </c>
      <c r="G727" s="1860" t="s">
        <v>2676</v>
      </c>
      <c r="H727" s="1860" t="s">
        <v>22</v>
      </c>
      <c r="I727" s="1860" t="s">
        <v>1901</v>
      </c>
    </row>
    <row customHeight="1" ht="11.25">
      <c r="A728" s="1860" t="s">
        <v>2528</v>
      </c>
      <c r="B728" s="1860" t="s">
        <v>16</v>
      </c>
      <c r="C728" s="1860" t="s">
        <v>3906</v>
      </c>
      <c r="D728" s="1860" t="s">
        <v>3907</v>
      </c>
      <c r="E728" s="1860" t="s">
        <v>3908</v>
      </c>
      <c r="F728" s="1860" t="s">
        <v>597</v>
      </c>
      <c r="G728" s="1860" t="s">
        <v>3909</v>
      </c>
      <c r="H728" s="1860" t="s">
        <v>22</v>
      </c>
      <c r="I728" s="1860" t="s">
        <v>1901</v>
      </c>
    </row>
    <row customHeight="1" ht="11.25">
      <c r="A729" s="1860" t="s">
        <v>2528</v>
      </c>
      <c r="B729" s="1860" t="s">
        <v>16</v>
      </c>
      <c r="C729" s="1860" t="s">
        <v>3910</v>
      </c>
      <c r="D729" s="1860" t="s">
        <v>3911</v>
      </c>
      <c r="E729" s="1860" t="s">
        <v>3912</v>
      </c>
      <c r="F729" s="1860" t="s">
        <v>2572</v>
      </c>
      <c r="G729" s="1860" t="s">
        <v>3913</v>
      </c>
      <c r="H729" s="1860" t="s">
        <v>22</v>
      </c>
      <c r="I729" s="1860" t="s">
        <v>1901</v>
      </c>
    </row>
    <row customHeight="1" ht="11.25">
      <c r="A730" s="1860" t="s">
        <v>2528</v>
      </c>
      <c r="B730" s="1860" t="s">
        <v>16</v>
      </c>
      <c r="C730" s="1860" t="s">
        <v>2898</v>
      </c>
      <c r="D730" s="1860" t="s">
        <v>2899</v>
      </c>
      <c r="E730" s="1860" t="s">
        <v>2900</v>
      </c>
      <c r="F730" s="1860" t="s">
        <v>2577</v>
      </c>
      <c r="G730" s="1860" t="s">
        <v>2901</v>
      </c>
      <c r="H730" s="1860" t="s">
        <v>22</v>
      </c>
      <c r="I730" s="1860" t="s">
        <v>1901</v>
      </c>
    </row>
    <row customHeight="1" ht="11.25">
      <c r="A731" s="1860" t="s">
        <v>2528</v>
      </c>
      <c r="B731" s="1860" t="s">
        <v>16</v>
      </c>
      <c r="C731" s="1860" t="s">
        <v>3914</v>
      </c>
      <c r="D731" s="1860" t="s">
        <v>3915</v>
      </c>
      <c r="E731" s="1860" t="s">
        <v>3916</v>
      </c>
      <c r="F731" s="1860" t="s">
        <v>3917</v>
      </c>
      <c r="G731" s="1860" t="s">
        <v>3918</v>
      </c>
      <c r="H731" s="1860" t="s">
        <v>22</v>
      </c>
      <c r="I731" s="1860" t="s">
        <v>1901</v>
      </c>
    </row>
    <row customHeight="1" ht="11.25">
      <c r="A732" s="1860" t="s">
        <v>2528</v>
      </c>
      <c r="B732" s="1860" t="s">
        <v>16</v>
      </c>
      <c r="C732" s="1860" t="s">
        <v>3919</v>
      </c>
      <c r="D732" s="1860" t="s">
        <v>3920</v>
      </c>
      <c r="E732" s="1860" t="s">
        <v>3921</v>
      </c>
      <c r="F732" s="1860" t="s">
        <v>2540</v>
      </c>
      <c r="G732" s="1860" t="s">
        <v>3922</v>
      </c>
      <c r="H732" s="1860" t="s">
        <v>22</v>
      </c>
      <c r="I732" s="1860" t="s">
        <v>1901</v>
      </c>
    </row>
    <row customHeight="1" ht="11.25">
      <c r="A733" s="1860" t="s">
        <v>2528</v>
      </c>
      <c r="B733" s="1860" t="s">
        <v>16</v>
      </c>
      <c r="C733" s="1860" t="s">
        <v>2911</v>
      </c>
      <c r="D733" s="1860" t="s">
        <v>2912</v>
      </c>
      <c r="E733" s="1860" t="s">
        <v>2913</v>
      </c>
      <c r="F733" s="1860" t="s">
        <v>2914</v>
      </c>
      <c r="G733" s="1860" t="s">
        <v>2915</v>
      </c>
      <c r="H733" s="1860" t="s">
        <v>22</v>
      </c>
      <c r="I733" s="1860" t="s">
        <v>1901</v>
      </c>
    </row>
    <row customHeight="1" ht="11.25">
      <c r="A734" s="1860" t="s">
        <v>2528</v>
      </c>
      <c r="B734" s="1860" t="s">
        <v>16</v>
      </c>
      <c r="C734" s="1860" t="s">
        <v>3513</v>
      </c>
      <c r="D734" s="1860" t="s">
        <v>3514</v>
      </c>
      <c r="E734" s="1860" t="s">
        <v>3515</v>
      </c>
      <c r="F734" s="1860" t="s">
        <v>3516</v>
      </c>
      <c r="G734" s="1860" t="s">
        <v>3218</v>
      </c>
      <c r="H734" s="1860" t="s">
        <v>22</v>
      </c>
      <c r="I734" s="1860" t="s">
        <v>1901</v>
      </c>
    </row>
    <row customHeight="1" ht="11.25">
      <c r="A735" s="1860" t="s">
        <v>2528</v>
      </c>
      <c r="B735" s="1860" t="s">
        <v>16</v>
      </c>
      <c r="C735" s="1860" t="s">
        <v>3923</v>
      </c>
      <c r="D735" s="1860" t="s">
        <v>3924</v>
      </c>
      <c r="E735" s="1860" t="s">
        <v>3925</v>
      </c>
      <c r="F735" s="1860" t="s">
        <v>3071</v>
      </c>
      <c r="G735" s="1860" t="s">
        <v>3926</v>
      </c>
      <c r="H735" s="1860" t="s">
        <v>22</v>
      </c>
      <c r="I735" s="1860" t="s">
        <v>1901</v>
      </c>
    </row>
    <row customHeight="1" ht="11.25">
      <c r="A736" s="1860" t="s">
        <v>2528</v>
      </c>
      <c r="B736" s="1860" t="s">
        <v>16</v>
      </c>
      <c r="C736" s="1860" t="s">
        <v>3927</v>
      </c>
      <c r="D736" s="1860" t="s">
        <v>3928</v>
      </c>
      <c r="E736" s="1860" t="s">
        <v>3929</v>
      </c>
      <c r="F736" s="1860" t="s">
        <v>2891</v>
      </c>
      <c r="G736" s="1860" t="s">
        <v>3930</v>
      </c>
      <c r="H736" s="1860" t="s">
        <v>22</v>
      </c>
      <c r="I736" s="1860" t="s">
        <v>1901</v>
      </c>
    </row>
    <row customHeight="1" ht="11.25">
      <c r="A737" s="1860" t="s">
        <v>2528</v>
      </c>
      <c r="B737" s="1860" t="s">
        <v>16</v>
      </c>
      <c r="C737" s="1860" t="s">
        <v>3931</v>
      </c>
      <c r="D737" s="1860" t="s">
        <v>3932</v>
      </c>
      <c r="E737" s="1860" t="s">
        <v>3933</v>
      </c>
      <c r="F737" s="1860" t="s">
        <v>2644</v>
      </c>
      <c r="G737" s="1860" t="s">
        <v>22</v>
      </c>
      <c r="H737" s="1860" t="s">
        <v>22</v>
      </c>
      <c r="I737" s="1860" t="s">
        <v>1901</v>
      </c>
    </row>
    <row customHeight="1" ht="11.25">
      <c r="A738" s="1860" t="s">
        <v>2528</v>
      </c>
      <c r="B738" s="1860" t="s">
        <v>16</v>
      </c>
      <c r="C738" s="1860" t="s">
        <v>3934</v>
      </c>
      <c r="D738" s="1860" t="s">
        <v>3935</v>
      </c>
      <c r="E738" s="1860" t="s">
        <v>3936</v>
      </c>
      <c r="F738" s="1860" t="s">
        <v>2914</v>
      </c>
      <c r="G738" s="1860" t="s">
        <v>3937</v>
      </c>
      <c r="H738" s="1860" t="s">
        <v>22</v>
      </c>
      <c r="I738" s="1860" t="s">
        <v>1901</v>
      </c>
    </row>
    <row customHeight="1" ht="11.25">
      <c r="A739" s="1860" t="s">
        <v>2528</v>
      </c>
      <c r="B739" s="1860" t="s">
        <v>16</v>
      </c>
      <c r="C739" s="1860" t="s">
        <v>3676</v>
      </c>
      <c r="D739" s="1860" t="s">
        <v>3677</v>
      </c>
      <c r="E739" s="1860" t="s">
        <v>3678</v>
      </c>
      <c r="F739" s="1860" t="s">
        <v>3679</v>
      </c>
      <c r="G739" s="1860" t="s">
        <v>3680</v>
      </c>
      <c r="H739" s="1860" t="s">
        <v>22</v>
      </c>
      <c r="I739" s="1860" t="s">
        <v>1901</v>
      </c>
    </row>
    <row customHeight="1" ht="11.25">
      <c r="A740" s="1860" t="s">
        <v>2528</v>
      </c>
      <c r="B740" s="1860" t="s">
        <v>16</v>
      </c>
      <c r="C740" s="1860" t="s">
        <v>2929</v>
      </c>
      <c r="D740" s="1860" t="s">
        <v>2930</v>
      </c>
      <c r="E740" s="1860" t="s">
        <v>2931</v>
      </c>
      <c r="F740" s="1860" t="s">
        <v>2540</v>
      </c>
      <c r="G740" s="1860" t="s">
        <v>2932</v>
      </c>
      <c r="H740" s="1860" t="s">
        <v>22</v>
      </c>
      <c r="I740" s="1860" t="s">
        <v>1901</v>
      </c>
    </row>
    <row customHeight="1" ht="11.25">
      <c r="A741" s="1860" t="s">
        <v>2528</v>
      </c>
      <c r="B741" s="1860" t="s">
        <v>16</v>
      </c>
      <c r="C741" s="1860" t="s">
        <v>3938</v>
      </c>
      <c r="D741" s="1860" t="s">
        <v>3939</v>
      </c>
      <c r="E741" s="1860" t="s">
        <v>3940</v>
      </c>
      <c r="F741" s="1860" t="s">
        <v>2644</v>
      </c>
      <c r="G741" s="1860" t="s">
        <v>3464</v>
      </c>
      <c r="H741" s="1860" t="s">
        <v>3941</v>
      </c>
      <c r="I741" s="1860" t="s">
        <v>1901</v>
      </c>
    </row>
    <row customHeight="1" ht="11.25">
      <c r="A742" s="1860" t="s">
        <v>2528</v>
      </c>
      <c r="B742" s="1860" t="s">
        <v>16</v>
      </c>
      <c r="C742" s="1860" t="s">
        <v>3697</v>
      </c>
      <c r="D742" s="1860" t="s">
        <v>3698</v>
      </c>
      <c r="E742" s="1860" t="s">
        <v>3699</v>
      </c>
      <c r="F742" s="1860" t="s">
        <v>3250</v>
      </c>
      <c r="G742" s="1860" t="s">
        <v>3700</v>
      </c>
      <c r="H742" s="1860" t="s">
        <v>22</v>
      </c>
      <c r="I742" s="1860" t="s">
        <v>1901</v>
      </c>
    </row>
    <row customHeight="1" ht="11.25">
      <c r="A743" s="1860" t="s">
        <v>2528</v>
      </c>
      <c r="B743" s="1860" t="s">
        <v>16</v>
      </c>
      <c r="C743" s="1860" t="s">
        <v>2954</v>
      </c>
      <c r="D743" s="1860" t="s">
        <v>2955</v>
      </c>
      <c r="E743" s="1860" t="s">
        <v>2956</v>
      </c>
      <c r="F743" s="1860" t="s">
        <v>2644</v>
      </c>
      <c r="G743" s="1860" t="s">
        <v>2957</v>
      </c>
      <c r="H743" s="1860" t="s">
        <v>22</v>
      </c>
      <c r="I743" s="1860" t="s">
        <v>1901</v>
      </c>
    </row>
    <row customHeight="1" ht="11.25">
      <c r="A744" s="1860" t="s">
        <v>2528</v>
      </c>
      <c r="B744" s="1860" t="s">
        <v>16</v>
      </c>
      <c r="C744" s="1860" t="s">
        <v>3942</v>
      </c>
      <c r="D744" s="1860" t="s">
        <v>3943</v>
      </c>
      <c r="E744" s="1860" t="s">
        <v>3944</v>
      </c>
      <c r="F744" s="1860" t="s">
        <v>3536</v>
      </c>
      <c r="G744" s="1860" t="s">
        <v>3945</v>
      </c>
      <c r="H744" s="1860" t="s">
        <v>22</v>
      </c>
      <c r="I744" s="1860" t="s">
        <v>1901</v>
      </c>
    </row>
    <row customHeight="1" ht="11.25">
      <c r="A745" s="1860" t="s">
        <v>2528</v>
      </c>
      <c r="B745" s="1860" t="s">
        <v>16</v>
      </c>
      <c r="C745" s="1860" t="s">
        <v>3012</v>
      </c>
      <c r="D745" s="1860" t="s">
        <v>3013</v>
      </c>
      <c r="E745" s="1860" t="s">
        <v>3014</v>
      </c>
      <c r="F745" s="1860" t="s">
        <v>2896</v>
      </c>
      <c r="G745" s="1860" t="s">
        <v>3015</v>
      </c>
      <c r="H745" s="1860" t="s">
        <v>22</v>
      </c>
      <c r="I745" s="1860" t="s">
        <v>1901</v>
      </c>
    </row>
    <row customHeight="1" ht="11.25">
      <c r="A746" s="1860" t="s">
        <v>2528</v>
      </c>
      <c r="B746" s="1860" t="s">
        <v>16</v>
      </c>
      <c r="C746" s="1860" t="s">
        <v>3946</v>
      </c>
      <c r="D746" s="1860" t="s">
        <v>3947</v>
      </c>
      <c r="E746" s="1860" t="s">
        <v>3948</v>
      </c>
      <c r="F746" s="1860" t="s">
        <v>2949</v>
      </c>
      <c r="G746" s="1860" t="s">
        <v>3949</v>
      </c>
      <c r="H746" s="1860" t="s">
        <v>22</v>
      </c>
      <c r="I746" s="1860" t="s">
        <v>1901</v>
      </c>
    </row>
    <row customHeight="1" ht="11.25">
      <c r="A747" s="1860" t="s">
        <v>2528</v>
      </c>
      <c r="B747" s="1860" t="s">
        <v>16</v>
      </c>
      <c r="C747" s="1860" t="s">
        <v>3052</v>
      </c>
      <c r="D747" s="1860" t="s">
        <v>3053</v>
      </c>
      <c r="E747" s="1860" t="s">
        <v>3054</v>
      </c>
      <c r="F747" s="1860" t="s">
        <v>2927</v>
      </c>
      <c r="G747" s="1860" t="s">
        <v>3055</v>
      </c>
      <c r="H747" s="1860" t="s">
        <v>22</v>
      </c>
      <c r="I747" s="1860" t="s">
        <v>1901</v>
      </c>
    </row>
    <row customHeight="1" ht="11.25">
      <c r="A748" s="1860" t="s">
        <v>2528</v>
      </c>
      <c r="B748" s="1860" t="s">
        <v>16</v>
      </c>
      <c r="C748" s="1860" t="s">
        <v>3753</v>
      </c>
      <c r="D748" s="1860" t="s">
        <v>3754</v>
      </c>
      <c r="E748" s="1860" t="s">
        <v>3755</v>
      </c>
      <c r="F748" s="1860" t="s">
        <v>3119</v>
      </c>
      <c r="G748" s="1860" t="s">
        <v>3717</v>
      </c>
      <c r="H748" s="1860" t="s">
        <v>22</v>
      </c>
      <c r="I748" s="1860" t="s">
        <v>1901</v>
      </c>
    </row>
    <row customHeight="1" ht="11.25">
      <c r="A749" s="1860" t="s">
        <v>2528</v>
      </c>
      <c r="B749" s="1860" t="s">
        <v>16</v>
      </c>
      <c r="C749" s="1860" t="s">
        <v>3950</v>
      </c>
      <c r="D749" s="1860" t="s">
        <v>3951</v>
      </c>
      <c r="E749" s="1860" t="s">
        <v>3952</v>
      </c>
      <c r="F749" s="1860" t="s">
        <v>2914</v>
      </c>
      <c r="G749" s="1860" t="s">
        <v>3953</v>
      </c>
      <c r="H749" s="1860" t="s">
        <v>22</v>
      </c>
      <c r="I749" s="1860" t="s">
        <v>1901</v>
      </c>
    </row>
    <row customHeight="1" ht="11.25">
      <c r="A750" s="1860" t="s">
        <v>2528</v>
      </c>
      <c r="B750" s="1860" t="s">
        <v>16</v>
      </c>
      <c r="C750" s="1860" t="s">
        <v>3954</v>
      </c>
      <c r="D750" s="1860" t="s">
        <v>3955</v>
      </c>
      <c r="E750" s="1860" t="s">
        <v>3956</v>
      </c>
      <c r="F750" s="1860" t="s">
        <v>2540</v>
      </c>
      <c r="G750" s="1860" t="s">
        <v>3957</v>
      </c>
      <c r="H750" s="1860" t="s">
        <v>22</v>
      </c>
      <c r="I750" s="1860" t="s">
        <v>1901</v>
      </c>
    </row>
    <row customHeight="1" ht="11.25">
      <c r="A751" s="1860" t="s">
        <v>2528</v>
      </c>
      <c r="B751" s="1860" t="s">
        <v>16</v>
      </c>
      <c r="C751" s="1860" t="s">
        <v>3775</v>
      </c>
      <c r="D751" s="1860" t="s">
        <v>3776</v>
      </c>
      <c r="E751" s="1860" t="s">
        <v>3777</v>
      </c>
      <c r="F751" s="1860" t="s">
        <v>2540</v>
      </c>
      <c r="G751" s="1860" t="s">
        <v>3778</v>
      </c>
      <c r="H751" s="1860" t="s">
        <v>22</v>
      </c>
      <c r="I751" s="1860" t="s">
        <v>1901</v>
      </c>
    </row>
    <row customHeight="1" ht="11.25">
      <c r="A752" s="1860" t="s">
        <v>2528</v>
      </c>
      <c r="B752" s="1860" t="s">
        <v>16</v>
      </c>
      <c r="C752" s="1860" t="s">
        <v>3958</v>
      </c>
      <c r="D752" s="1860" t="s">
        <v>3959</v>
      </c>
      <c r="E752" s="1860" t="s">
        <v>3960</v>
      </c>
      <c r="F752" s="1860" t="s">
        <v>2886</v>
      </c>
      <c r="G752" s="1860" t="s">
        <v>3961</v>
      </c>
      <c r="H752" s="1860" t="s">
        <v>22</v>
      </c>
      <c r="I752" s="1860" t="s">
        <v>1901</v>
      </c>
    </row>
    <row customHeight="1" ht="11.25">
      <c r="A753" s="1860" t="s">
        <v>2528</v>
      </c>
      <c r="B753" s="1860" t="s">
        <v>16</v>
      </c>
      <c r="C753" s="1860" t="s">
        <v>3962</v>
      </c>
      <c r="D753" s="1860" t="s">
        <v>3963</v>
      </c>
      <c r="E753" s="1860" t="s">
        <v>3964</v>
      </c>
      <c r="F753" s="1860" t="s">
        <v>2914</v>
      </c>
      <c r="G753" s="1860" t="s">
        <v>3965</v>
      </c>
      <c r="H753" s="1860" t="s">
        <v>22</v>
      </c>
      <c r="I753" s="1860" t="s">
        <v>1901</v>
      </c>
    </row>
    <row customHeight="1" ht="11.25">
      <c r="A754" s="1860" t="s">
        <v>2528</v>
      </c>
      <c r="B754" s="1860" t="s">
        <v>16</v>
      </c>
      <c r="C754" s="1860" t="s">
        <v>3966</v>
      </c>
      <c r="D754" s="1860" t="s">
        <v>3967</v>
      </c>
      <c r="E754" s="1860" t="s">
        <v>3968</v>
      </c>
      <c r="F754" s="1860" t="s">
        <v>2914</v>
      </c>
      <c r="G754" s="1860" t="s">
        <v>3969</v>
      </c>
      <c r="H754" s="1860" t="s">
        <v>22</v>
      </c>
      <c r="I754" s="1860" t="s">
        <v>1901</v>
      </c>
    </row>
    <row customHeight="1" ht="11.25">
      <c r="A755" s="1860" t="s">
        <v>2528</v>
      </c>
      <c r="B755" s="1860" t="s">
        <v>16</v>
      </c>
      <c r="C755" s="1860" t="s">
        <v>3970</v>
      </c>
      <c r="D755" s="1860" t="s">
        <v>3971</v>
      </c>
      <c r="E755" s="1860" t="s">
        <v>3972</v>
      </c>
      <c r="F755" s="1860" t="s">
        <v>2563</v>
      </c>
      <c r="G755" s="1860" t="s">
        <v>3973</v>
      </c>
      <c r="H755" s="1860" t="s">
        <v>22</v>
      </c>
      <c r="I755" s="1860" t="s">
        <v>1901</v>
      </c>
    </row>
    <row customHeight="1" ht="11.25">
      <c r="A756" s="1860" t="s">
        <v>2528</v>
      </c>
      <c r="B756" s="1860" t="s">
        <v>16</v>
      </c>
      <c r="C756" s="1860" t="s">
        <v>3803</v>
      </c>
      <c r="D756" s="1860" t="s">
        <v>3804</v>
      </c>
      <c r="E756" s="1860" t="s">
        <v>3805</v>
      </c>
      <c r="F756" s="1860" t="s">
        <v>2982</v>
      </c>
      <c r="G756" s="1860" t="s">
        <v>3806</v>
      </c>
      <c r="H756" s="1860" t="s">
        <v>22</v>
      </c>
      <c r="I756" s="1860" t="s">
        <v>1901</v>
      </c>
    </row>
    <row customHeight="1" ht="11.25">
      <c r="A757" s="1860" t="s">
        <v>2528</v>
      </c>
      <c r="B757" s="1860" t="s">
        <v>16</v>
      </c>
      <c r="C757" s="1860" t="s">
        <v>3974</v>
      </c>
      <c r="D757" s="1860" t="s">
        <v>3975</v>
      </c>
      <c r="E757" s="1860" t="s">
        <v>3976</v>
      </c>
      <c r="F757" s="1860" t="s">
        <v>2563</v>
      </c>
      <c r="G757" s="1860" t="s">
        <v>22</v>
      </c>
      <c r="H757" s="1860" t="s">
        <v>22</v>
      </c>
      <c r="I757" s="1860" t="s">
        <v>1901</v>
      </c>
    </row>
    <row customHeight="1" ht="11.25">
      <c r="A758" s="1860" t="s">
        <v>2528</v>
      </c>
      <c r="B758" s="1860" t="s">
        <v>16</v>
      </c>
      <c r="C758" s="1860" t="s">
        <v>3243</v>
      </c>
      <c r="D758" s="1860" t="s">
        <v>3244</v>
      </c>
      <c r="E758" s="1860" t="s">
        <v>3245</v>
      </c>
      <c r="F758" s="1860" t="s">
        <v>2891</v>
      </c>
      <c r="G758" s="1860" t="s">
        <v>3246</v>
      </c>
      <c r="H758" s="1860" t="s">
        <v>22</v>
      </c>
      <c r="I758" s="1860" t="s">
        <v>1901</v>
      </c>
    </row>
    <row customHeight="1" ht="11.25">
      <c r="A759" s="1860" t="s">
        <v>2528</v>
      </c>
      <c r="B759" s="1860" t="s">
        <v>16</v>
      </c>
      <c r="C759" s="1860" t="s">
        <v>3586</v>
      </c>
      <c r="D759" s="1860" t="s">
        <v>3587</v>
      </c>
      <c r="E759" s="1860" t="s">
        <v>3588</v>
      </c>
      <c r="F759" s="1860" t="s">
        <v>2936</v>
      </c>
      <c r="G759" s="1860" t="s">
        <v>3589</v>
      </c>
      <c r="H759" s="1860" t="s">
        <v>22</v>
      </c>
      <c r="I759" s="1860" t="s">
        <v>1901</v>
      </c>
    </row>
    <row customHeight="1" ht="11.25">
      <c r="A760" s="1860" t="s">
        <v>2528</v>
      </c>
      <c r="B760" s="1860" t="s">
        <v>16</v>
      </c>
      <c r="C760" s="1860" t="s">
        <v>3977</v>
      </c>
      <c r="D760" s="1860" t="s">
        <v>3978</v>
      </c>
      <c r="E760" s="1860" t="s">
        <v>3979</v>
      </c>
      <c r="F760" s="1860" t="s">
        <v>2949</v>
      </c>
      <c r="G760" s="1860" t="s">
        <v>3980</v>
      </c>
      <c r="H760" s="1860" t="s">
        <v>22</v>
      </c>
      <c r="I760" s="1860" t="s">
        <v>1901</v>
      </c>
    </row>
    <row customHeight="1" ht="11.25">
      <c r="A761" s="1860" t="s">
        <v>2528</v>
      </c>
      <c r="B761" s="1860" t="s">
        <v>16</v>
      </c>
      <c r="C761" s="1860" t="s">
        <v>3830</v>
      </c>
      <c r="D761" s="1860" t="s">
        <v>3831</v>
      </c>
      <c r="E761" s="1860" t="s">
        <v>3832</v>
      </c>
      <c r="F761" s="1860" t="s">
        <v>2927</v>
      </c>
      <c r="G761" s="1860" t="s">
        <v>3833</v>
      </c>
      <c r="H761" s="1860" t="s">
        <v>22</v>
      </c>
      <c r="I761" s="1860" t="s">
        <v>1901</v>
      </c>
    </row>
    <row customHeight="1" ht="11.25">
      <c r="A762" s="1860" t="s">
        <v>2528</v>
      </c>
      <c r="B762" s="1860" t="s">
        <v>16</v>
      </c>
      <c r="C762" s="1860" t="s">
        <v>3981</v>
      </c>
      <c r="D762" s="1860" t="s">
        <v>3982</v>
      </c>
      <c r="E762" s="1860" t="s">
        <v>3983</v>
      </c>
      <c r="F762" s="1860" t="s">
        <v>2644</v>
      </c>
      <c r="G762" s="1860" t="s">
        <v>22</v>
      </c>
      <c r="H762" s="1860" t="s">
        <v>22</v>
      </c>
      <c r="I762" s="1860" t="s">
        <v>1901</v>
      </c>
    </row>
    <row customHeight="1" ht="11.25">
      <c r="A763" s="1860" t="s">
        <v>2528</v>
      </c>
      <c r="B763" s="1860" t="s">
        <v>16</v>
      </c>
      <c r="C763" s="1860" t="s">
        <v>3984</v>
      </c>
      <c r="D763" s="1860" t="s">
        <v>3985</v>
      </c>
      <c r="E763" s="1860" t="s">
        <v>3986</v>
      </c>
      <c r="F763" s="1860" t="s">
        <v>2540</v>
      </c>
      <c r="G763" s="1860" t="s">
        <v>3987</v>
      </c>
      <c r="H763" s="1860" t="s">
        <v>22</v>
      </c>
      <c r="I763" s="1860" t="s">
        <v>1901</v>
      </c>
    </row>
    <row customHeight="1" ht="11.25">
      <c r="A764" s="1860" t="s">
        <v>2528</v>
      </c>
      <c r="B764" s="1860" t="s">
        <v>16</v>
      </c>
      <c r="C764" s="1860" t="s">
        <v>3988</v>
      </c>
      <c r="D764" s="1860" t="s">
        <v>3989</v>
      </c>
      <c r="E764" s="1860" t="s">
        <v>3990</v>
      </c>
      <c r="F764" s="1860" t="s">
        <v>2905</v>
      </c>
      <c r="G764" s="1860" t="s">
        <v>3991</v>
      </c>
      <c r="H764" s="1860" t="s">
        <v>22</v>
      </c>
      <c r="I764" s="1860" t="s">
        <v>1901</v>
      </c>
    </row>
    <row customHeight="1" ht="11.25">
      <c r="A765" s="1860" t="s">
        <v>2528</v>
      </c>
      <c r="B765" s="1860" t="s">
        <v>16</v>
      </c>
      <c r="C765" s="1860" t="s">
        <v>3992</v>
      </c>
      <c r="D765" s="1860" t="s">
        <v>3993</v>
      </c>
      <c r="E765" s="1860" t="s">
        <v>3994</v>
      </c>
      <c r="F765" s="1860" t="s">
        <v>2540</v>
      </c>
      <c r="G765" s="1860" t="s">
        <v>3995</v>
      </c>
      <c r="H765" s="1860" t="s">
        <v>22</v>
      </c>
      <c r="I765" s="1860" t="s">
        <v>1901</v>
      </c>
    </row>
    <row customHeight="1" ht="11.25">
      <c r="A766" s="1860" t="s">
        <v>2528</v>
      </c>
      <c r="B766" s="1860" t="s">
        <v>16</v>
      </c>
      <c r="C766" s="1860" t="s">
        <v>3861</v>
      </c>
      <c r="D766" s="1860" t="s">
        <v>3862</v>
      </c>
      <c r="E766" s="1860" t="s">
        <v>3863</v>
      </c>
      <c r="F766" s="1860" t="s">
        <v>2914</v>
      </c>
      <c r="G766" s="1860" t="s">
        <v>22</v>
      </c>
      <c r="H766" s="1860" t="s">
        <v>22</v>
      </c>
      <c r="I766" s="1860" t="s">
        <v>1901</v>
      </c>
    </row>
    <row customHeight="1" ht="11.25">
      <c r="A767" s="1860" t="s">
        <v>2528</v>
      </c>
      <c r="B767" s="1860" t="s">
        <v>16</v>
      </c>
      <c r="C767" s="1860" t="s">
        <v>3333</v>
      </c>
      <c r="D767" s="1860" t="s">
        <v>3334</v>
      </c>
      <c r="E767" s="1860" t="s">
        <v>3335</v>
      </c>
      <c r="F767" s="1860" t="s">
        <v>2577</v>
      </c>
      <c r="G767" s="1860" t="s">
        <v>3336</v>
      </c>
      <c r="H767" s="1860" t="s">
        <v>22</v>
      </c>
      <c r="I767" s="1860" t="s">
        <v>1901</v>
      </c>
    </row>
    <row customHeight="1" ht="11.25">
      <c r="A768" s="1860" t="s">
        <v>2528</v>
      </c>
      <c r="B768" s="1860" t="s">
        <v>16</v>
      </c>
      <c r="C768" s="1860" t="s">
        <v>3478</v>
      </c>
      <c r="D768" s="1860" t="s">
        <v>3479</v>
      </c>
      <c r="E768" s="1860" t="s">
        <v>3480</v>
      </c>
      <c r="F768" s="1860" t="s">
        <v>2914</v>
      </c>
      <c r="G768" s="1860" t="s">
        <v>3481</v>
      </c>
      <c r="H768" s="1860" t="s">
        <v>22</v>
      </c>
      <c r="I768" s="1860" t="s">
        <v>1901</v>
      </c>
    </row>
    <row customHeight="1" ht="11.25">
      <c r="A769" s="1860" t="s">
        <v>2528</v>
      </c>
      <c r="B769" s="1860" t="s">
        <v>16</v>
      </c>
      <c r="C769" s="1860" t="s">
        <v>3996</v>
      </c>
      <c r="D769" s="1860" t="s">
        <v>3997</v>
      </c>
      <c r="E769" s="1860" t="s">
        <v>3998</v>
      </c>
      <c r="F769" s="1860" t="s">
        <v>3327</v>
      </c>
      <c r="G769" s="1860" t="s">
        <v>3999</v>
      </c>
      <c r="H769" s="1860" t="s">
        <v>22</v>
      </c>
      <c r="I769" s="1860" t="s">
        <v>1901</v>
      </c>
    </row>
  </sheetData>
  <sheetProtection sheet="1" formatColumns="0" formatRows="0"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7EE8A1-C666-CBF3-ECB6-0.02CADDA1}" mc:Ignorable="x14ac xr xr2 xr3">
  <sheetPr>
    <tabColor rgb="FFFFCC99"/>
  </sheetPr>
  <dimension ref="A1:G456"/>
  <sheetViews>
    <sheetView topLeftCell="A1" showGridLines="0" workbookViewId="0">
      <selection activeCell="A1" sqref="A1"/>
    </sheetView>
  </sheetViews>
  <sheetFormatPr customHeight="1" defaultRowHeight="11.25"/>
  <cols>
    <col min="1" max="1" style="1860" width="9.140625"/>
  </cols>
  <sheetData>
    <row customHeight="1" ht="11.25">
      <c r="A1" s="383" t="s">
        <v>4000</v>
      </c>
      <c r="B1" s="74" t="s">
        <v>4001</v>
      </c>
      <c r="C1" s="74" t="s">
        <v>4002</v>
      </c>
      <c r="D1" s="74" t="s">
        <v>4003</v>
      </c>
      <c r="E1" s="72" t="s">
        <v>4004</v>
      </c>
      <c r="F1" s="72" t="s">
        <v>4005</v>
      </c>
      <c r="G1" s="72" t="s">
        <v>4006</v>
      </c>
    </row>
    <row customHeight="1" ht="11.25">
      <c r="A2" s="383" t="s">
        <v>16</v>
      </c>
      <c r="B2" s="0" t="s">
        <v>4007</v>
      </c>
      <c r="C2" s="0" t="s">
        <v>4008</v>
      </c>
      <c r="D2" s="0" t="s">
        <v>4007</v>
      </c>
      <c r="E2" s="0" t="s">
        <v>4008</v>
      </c>
      <c r="F2" s="0" t="s">
        <v>4009</v>
      </c>
      <c r="G2" s="0" t="s">
        <v>124</v>
      </c>
    </row>
    <row customHeight="1" ht="11.25">
      <c r="A3" s="383" t="s">
        <v>16</v>
      </c>
      <c r="B3" s="0" t="s">
        <v>4007</v>
      </c>
      <c r="C3" s="0" t="s">
        <v>4008</v>
      </c>
      <c r="D3" s="0" t="s">
        <v>4010</v>
      </c>
      <c r="E3" s="0" t="s">
        <v>4011</v>
      </c>
      <c r="F3" s="0" t="s">
        <v>4012</v>
      </c>
      <c r="G3" s="0" t="s">
        <v>104</v>
      </c>
    </row>
    <row customHeight="1" ht="11.25">
      <c r="A4" s="383" t="s">
        <v>16</v>
      </c>
      <c r="B4" s="0" t="s">
        <v>4007</v>
      </c>
      <c r="C4" s="0" t="s">
        <v>4008</v>
      </c>
      <c r="D4" s="0" t="s">
        <v>4013</v>
      </c>
      <c r="E4" s="0" t="s">
        <v>4014</v>
      </c>
      <c r="F4" s="0" t="s">
        <v>4012</v>
      </c>
      <c r="G4" s="0" t="s">
        <v>90</v>
      </c>
    </row>
    <row customHeight="1" ht="11.25">
      <c r="A5" s="383" t="s">
        <v>16</v>
      </c>
      <c r="B5" s="0" t="s">
        <v>4007</v>
      </c>
      <c r="C5" s="0" t="s">
        <v>4008</v>
      </c>
      <c r="D5" s="0" t="s">
        <v>4015</v>
      </c>
      <c r="E5" s="0" t="s">
        <v>4016</v>
      </c>
      <c r="F5" s="0" t="s">
        <v>4012</v>
      </c>
      <c r="G5" s="0" t="s">
        <v>91</v>
      </c>
    </row>
    <row customHeight="1" ht="11.25">
      <c r="A6" s="383" t="s">
        <v>16</v>
      </c>
      <c r="B6" s="0" t="s">
        <v>4007</v>
      </c>
      <c r="C6" s="0" t="s">
        <v>4008</v>
      </c>
      <c r="D6" s="0" t="s">
        <v>4017</v>
      </c>
      <c r="E6" s="0" t="s">
        <v>4018</v>
      </c>
      <c r="F6" s="0" t="s">
        <v>4019</v>
      </c>
      <c r="G6" s="0" t="s">
        <v>125</v>
      </c>
    </row>
    <row customHeight="1" ht="11.25">
      <c r="A7" s="383" t="s">
        <v>16</v>
      </c>
      <c r="B7" s="0" t="s">
        <v>4007</v>
      </c>
      <c r="C7" s="0" t="s">
        <v>4008</v>
      </c>
      <c r="D7" s="0" t="s">
        <v>4020</v>
      </c>
      <c r="E7" s="0" t="s">
        <v>4021</v>
      </c>
      <c r="F7" s="0" t="s">
        <v>4012</v>
      </c>
      <c r="G7" s="0" t="s">
        <v>92</v>
      </c>
    </row>
    <row customHeight="1" ht="11.25">
      <c r="A8" s="383" t="s">
        <v>16</v>
      </c>
      <c r="B8" s="0" t="s">
        <v>4007</v>
      </c>
      <c r="C8" s="0" t="s">
        <v>4008</v>
      </c>
      <c r="D8" s="0" t="s">
        <v>4022</v>
      </c>
      <c r="E8" s="0" t="s">
        <v>4023</v>
      </c>
      <c r="F8" s="0" t="s">
        <v>4012</v>
      </c>
      <c r="G8" s="0" t="s">
        <v>93</v>
      </c>
    </row>
    <row customHeight="1" ht="11.25">
      <c r="A9" s="383" t="s">
        <v>16</v>
      </c>
      <c r="B9" s="0" t="s">
        <v>4024</v>
      </c>
      <c r="C9" s="0" t="s">
        <v>4025</v>
      </c>
      <c r="D9" s="0" t="s">
        <v>4024</v>
      </c>
      <c r="E9" s="0" t="s">
        <v>4025</v>
      </c>
      <c r="F9" s="0" t="s">
        <v>4009</v>
      </c>
      <c r="G9" s="0" t="s">
        <v>126</v>
      </c>
    </row>
    <row customHeight="1" ht="11.25">
      <c r="A10" s="383" t="s">
        <v>16</v>
      </c>
      <c r="B10" s="0" t="s">
        <v>4024</v>
      </c>
      <c r="C10" s="0" t="s">
        <v>4025</v>
      </c>
      <c r="D10" s="0" t="s">
        <v>4026</v>
      </c>
      <c r="E10" s="0" t="s">
        <v>4027</v>
      </c>
      <c r="F10" s="0" t="s">
        <v>4012</v>
      </c>
      <c r="G10" s="0" t="s">
        <v>172</v>
      </c>
    </row>
    <row customHeight="1" ht="11.25">
      <c r="A11" s="383" t="s">
        <v>16</v>
      </c>
      <c r="B11" s="0" t="s">
        <v>4024</v>
      </c>
      <c r="C11" s="0" t="s">
        <v>4025</v>
      </c>
      <c r="D11" s="0" t="s">
        <v>4028</v>
      </c>
      <c r="E11" s="0" t="s">
        <v>4029</v>
      </c>
      <c r="F11" s="0" t="s">
        <v>4030</v>
      </c>
      <c r="G11" s="0" t="s">
        <v>173</v>
      </c>
    </row>
    <row customHeight="1" ht="11.25">
      <c r="A12" s="383" t="s">
        <v>16</v>
      </c>
      <c r="B12" s="0" t="s">
        <v>4024</v>
      </c>
      <c r="C12" s="0" t="s">
        <v>4025</v>
      </c>
      <c r="D12" s="0" t="s">
        <v>4031</v>
      </c>
      <c r="E12" s="0" t="s">
        <v>4032</v>
      </c>
      <c r="F12" s="0" t="s">
        <v>4030</v>
      </c>
      <c r="G12" s="0" t="s">
        <v>174</v>
      </c>
    </row>
    <row customHeight="1" ht="11.25">
      <c r="A13" s="383" t="s">
        <v>16</v>
      </c>
      <c r="B13" s="0" t="s">
        <v>4024</v>
      </c>
      <c r="C13" s="0" t="s">
        <v>4025</v>
      </c>
      <c r="D13" s="0" t="s">
        <v>4033</v>
      </c>
      <c r="E13" s="0" t="s">
        <v>4034</v>
      </c>
      <c r="F13" s="0" t="s">
        <v>4012</v>
      </c>
      <c r="G13" s="0" t="s">
        <v>175</v>
      </c>
    </row>
    <row customHeight="1" ht="11.25">
      <c r="A14" s="383" t="s">
        <v>16</v>
      </c>
      <c r="B14" s="0" t="s">
        <v>4024</v>
      </c>
      <c r="C14" s="0" t="s">
        <v>4025</v>
      </c>
      <c r="D14" s="0" t="s">
        <v>4035</v>
      </c>
      <c r="E14" s="0" t="s">
        <v>4036</v>
      </c>
      <c r="F14" s="0" t="s">
        <v>4019</v>
      </c>
      <c r="G14" s="0" t="s">
        <v>176</v>
      </c>
    </row>
    <row customHeight="1" ht="11.25">
      <c r="A15" s="383" t="s">
        <v>16</v>
      </c>
      <c r="B15" s="0" t="s">
        <v>4024</v>
      </c>
      <c r="C15" s="0" t="s">
        <v>4025</v>
      </c>
      <c r="D15" s="0" t="s">
        <v>4037</v>
      </c>
      <c r="E15" s="0" t="s">
        <v>4038</v>
      </c>
      <c r="F15" s="0" t="s">
        <v>4019</v>
      </c>
      <c r="G15" s="0" t="s">
        <v>177</v>
      </c>
    </row>
    <row customHeight="1" ht="11.25">
      <c r="A16" s="383" t="s">
        <v>16</v>
      </c>
      <c r="B16" s="0" t="s">
        <v>4024</v>
      </c>
      <c r="C16" s="0" t="s">
        <v>4025</v>
      </c>
      <c r="D16" s="0" t="s">
        <v>4039</v>
      </c>
      <c r="E16" s="0" t="s">
        <v>4040</v>
      </c>
      <c r="F16" s="0" t="s">
        <v>4012</v>
      </c>
      <c r="G16" s="0" t="s">
        <v>1744</v>
      </c>
    </row>
    <row customHeight="1" ht="11.25">
      <c r="A17" s="383" t="s">
        <v>16</v>
      </c>
      <c r="B17" s="0" t="s">
        <v>4041</v>
      </c>
      <c r="C17" s="0" t="s">
        <v>4042</v>
      </c>
      <c r="D17" s="0" t="s">
        <v>4041</v>
      </c>
      <c r="E17" s="0" t="s">
        <v>4042</v>
      </c>
      <c r="F17" s="0" t="s">
        <v>4009</v>
      </c>
      <c r="G17" s="0" t="s">
        <v>1750</v>
      </c>
    </row>
    <row customHeight="1" ht="11.25">
      <c r="A18" s="383" t="s">
        <v>16</v>
      </c>
      <c r="B18" s="0" t="s">
        <v>4041</v>
      </c>
      <c r="C18" s="0" t="s">
        <v>4042</v>
      </c>
      <c r="D18" s="0" t="s">
        <v>4043</v>
      </c>
      <c r="E18" s="0" t="s">
        <v>4044</v>
      </c>
      <c r="F18" s="0" t="s">
        <v>4012</v>
      </c>
      <c r="G18" s="0" t="s">
        <v>1762</v>
      </c>
    </row>
    <row customHeight="1" ht="11.25">
      <c r="A19" s="383" t="s">
        <v>16</v>
      </c>
      <c r="B19" s="0" t="s">
        <v>4041</v>
      </c>
      <c r="C19" s="0" t="s">
        <v>4042</v>
      </c>
      <c r="D19" s="0" t="s">
        <v>4045</v>
      </c>
      <c r="E19" s="0" t="s">
        <v>4046</v>
      </c>
      <c r="F19" s="0" t="s">
        <v>4012</v>
      </c>
      <c r="G19" s="0" t="s">
        <v>1776</v>
      </c>
    </row>
    <row customHeight="1" ht="11.25">
      <c r="A20" s="383" t="s">
        <v>16</v>
      </c>
      <c r="B20" s="0" t="s">
        <v>4041</v>
      </c>
      <c r="C20" s="0" t="s">
        <v>4042</v>
      </c>
      <c r="D20" s="0" t="s">
        <v>4047</v>
      </c>
      <c r="E20" s="0" t="s">
        <v>4048</v>
      </c>
      <c r="F20" s="0" t="s">
        <v>4049</v>
      </c>
      <c r="G20" s="0" t="s">
        <v>1788</v>
      </c>
    </row>
    <row customHeight="1" ht="11.25">
      <c r="A21" s="383" t="s">
        <v>16</v>
      </c>
      <c r="B21" s="0" t="s">
        <v>4041</v>
      </c>
      <c r="C21" s="0" t="s">
        <v>4042</v>
      </c>
      <c r="D21" s="0" t="s">
        <v>4050</v>
      </c>
      <c r="E21" s="0" t="s">
        <v>4051</v>
      </c>
      <c r="F21" s="0" t="s">
        <v>4019</v>
      </c>
      <c r="G21" s="0" t="s">
        <v>1797</v>
      </c>
    </row>
    <row customHeight="1" ht="11.25">
      <c r="A22" s="383" t="s">
        <v>16</v>
      </c>
      <c r="B22" s="0" t="s">
        <v>4041</v>
      </c>
      <c r="C22" s="0" t="s">
        <v>4042</v>
      </c>
      <c r="D22" s="0" t="s">
        <v>4052</v>
      </c>
      <c r="E22" s="0" t="s">
        <v>4053</v>
      </c>
      <c r="F22" s="0" t="s">
        <v>4012</v>
      </c>
      <c r="G22" s="0" t="s">
        <v>1813</v>
      </c>
    </row>
    <row customHeight="1" ht="11.25">
      <c r="A23" s="383" t="s">
        <v>16</v>
      </c>
      <c r="B23" s="0" t="s">
        <v>4041</v>
      </c>
      <c r="C23" s="0" t="s">
        <v>4042</v>
      </c>
      <c r="D23" s="0" t="s">
        <v>4054</v>
      </c>
      <c r="E23" s="0" t="s">
        <v>4055</v>
      </c>
      <c r="F23" s="0" t="s">
        <v>4012</v>
      </c>
      <c r="G23" s="0" t="s">
        <v>1820</v>
      </c>
    </row>
    <row customHeight="1" ht="11.25">
      <c r="A24" s="383" t="s">
        <v>16</v>
      </c>
      <c r="B24" s="0" t="s">
        <v>4056</v>
      </c>
      <c r="C24" s="0" t="s">
        <v>4057</v>
      </c>
      <c r="D24" s="0" t="s">
        <v>4058</v>
      </c>
      <c r="E24" s="0" t="s">
        <v>4059</v>
      </c>
      <c r="F24" s="0" t="s">
        <v>4012</v>
      </c>
      <c r="G24" s="0" t="s">
        <v>1828</v>
      </c>
    </row>
    <row customHeight="1" ht="11.25">
      <c r="A25" s="383" t="s">
        <v>16</v>
      </c>
      <c r="B25" s="0" t="s">
        <v>4056</v>
      </c>
      <c r="C25" s="0" t="s">
        <v>4057</v>
      </c>
      <c r="D25" s="0" t="s">
        <v>4060</v>
      </c>
      <c r="E25" s="0" t="s">
        <v>4061</v>
      </c>
      <c r="F25" s="0" t="s">
        <v>4012</v>
      </c>
      <c r="G25" s="0" t="s">
        <v>1835</v>
      </c>
    </row>
    <row customHeight="1" ht="11.25">
      <c r="A26" s="383" t="s">
        <v>16</v>
      </c>
      <c r="B26" s="0" t="s">
        <v>4056</v>
      </c>
      <c r="C26" s="0" t="s">
        <v>4057</v>
      </c>
      <c r="D26" s="0" t="s">
        <v>4062</v>
      </c>
      <c r="E26" s="0" t="s">
        <v>4063</v>
      </c>
      <c r="F26" s="0" t="s">
        <v>4012</v>
      </c>
      <c r="G26" s="0" t="s">
        <v>1839</v>
      </c>
    </row>
    <row customHeight="1" ht="11.25">
      <c r="A27" s="383" t="s">
        <v>16</v>
      </c>
      <c r="B27" s="0" t="s">
        <v>4056</v>
      </c>
      <c r="C27" s="0" t="s">
        <v>4057</v>
      </c>
      <c r="D27" s="0" t="s">
        <v>4056</v>
      </c>
      <c r="E27" s="0" t="s">
        <v>4057</v>
      </c>
      <c r="F27" s="0" t="s">
        <v>4009</v>
      </c>
      <c r="G27" s="0" t="s">
        <v>1844</v>
      </c>
    </row>
    <row customHeight="1" ht="11.25">
      <c r="A28" s="383" t="s">
        <v>16</v>
      </c>
      <c r="B28" s="0" t="s">
        <v>4056</v>
      </c>
      <c r="C28" s="0" t="s">
        <v>4057</v>
      </c>
      <c r="D28" s="0" t="s">
        <v>4064</v>
      </c>
      <c r="E28" s="0" t="s">
        <v>4065</v>
      </c>
      <c r="F28" s="0" t="s">
        <v>4012</v>
      </c>
      <c r="G28" s="0" t="s">
        <v>1852</v>
      </c>
    </row>
    <row customHeight="1" ht="11.25">
      <c r="A29" s="383" t="s">
        <v>16</v>
      </c>
      <c r="B29" s="0" t="s">
        <v>4056</v>
      </c>
      <c r="C29" s="0" t="s">
        <v>4057</v>
      </c>
      <c r="D29" s="0" t="s">
        <v>4066</v>
      </c>
      <c r="E29" s="0" t="s">
        <v>4067</v>
      </c>
      <c r="F29" s="0" t="s">
        <v>4012</v>
      </c>
      <c r="G29" s="0" t="s">
        <v>1854</v>
      </c>
    </row>
    <row customHeight="1" ht="11.25">
      <c r="A30" s="383" t="s">
        <v>16</v>
      </c>
      <c r="B30" s="0" t="s">
        <v>4056</v>
      </c>
      <c r="C30" s="0" t="s">
        <v>4057</v>
      </c>
      <c r="D30" s="0" t="s">
        <v>4068</v>
      </c>
      <c r="E30" s="0" t="s">
        <v>4069</v>
      </c>
      <c r="F30" s="0" t="s">
        <v>4012</v>
      </c>
      <c r="G30" s="0" t="s">
        <v>1857</v>
      </c>
    </row>
    <row customHeight="1" ht="11.25">
      <c r="A31" s="383" t="s">
        <v>16</v>
      </c>
      <c r="B31" s="0" t="s">
        <v>4056</v>
      </c>
      <c r="C31" s="0" t="s">
        <v>4057</v>
      </c>
      <c r="D31" s="0" t="s">
        <v>4070</v>
      </c>
      <c r="E31" s="0" t="s">
        <v>4071</v>
      </c>
      <c r="F31" s="0" t="s">
        <v>4012</v>
      </c>
      <c r="G31" s="0" t="s">
        <v>1863</v>
      </c>
    </row>
    <row customHeight="1" ht="11.25">
      <c r="A32" s="383" t="s">
        <v>16</v>
      </c>
      <c r="B32" s="0" t="s">
        <v>4056</v>
      </c>
      <c r="C32" s="0" t="s">
        <v>4057</v>
      </c>
      <c r="D32" s="0" t="s">
        <v>4072</v>
      </c>
      <c r="E32" s="0" t="s">
        <v>4073</v>
      </c>
      <c r="F32" s="0" t="s">
        <v>4012</v>
      </c>
      <c r="G32" s="0" t="s">
        <v>1865</v>
      </c>
    </row>
    <row customHeight="1" ht="11.25">
      <c r="A33" s="383" t="s">
        <v>16</v>
      </c>
      <c r="B33" s="0" t="s">
        <v>4056</v>
      </c>
      <c r="C33" s="0" t="s">
        <v>4057</v>
      </c>
      <c r="D33" s="0" t="s">
        <v>4074</v>
      </c>
      <c r="E33" s="0" t="s">
        <v>4075</v>
      </c>
      <c r="F33" s="0" t="s">
        <v>4012</v>
      </c>
      <c r="G33" s="0" t="s">
        <v>1867</v>
      </c>
    </row>
    <row customHeight="1" ht="11.25">
      <c r="A34" s="383" t="s">
        <v>16</v>
      </c>
      <c r="B34" s="0" t="s">
        <v>4056</v>
      </c>
      <c r="C34" s="0" t="s">
        <v>4057</v>
      </c>
      <c r="D34" s="0" t="s">
        <v>4076</v>
      </c>
      <c r="E34" s="0" t="s">
        <v>4077</v>
      </c>
      <c r="F34" s="0" t="s">
        <v>4012</v>
      </c>
      <c r="G34" s="0" t="s">
        <v>1869</v>
      </c>
    </row>
    <row customHeight="1" ht="11.25">
      <c r="A35" s="383" t="s">
        <v>16</v>
      </c>
      <c r="B35" s="0" t="s">
        <v>4056</v>
      </c>
      <c r="C35" s="0" t="s">
        <v>4057</v>
      </c>
      <c r="D35" s="0" t="s">
        <v>4078</v>
      </c>
      <c r="E35" s="0" t="s">
        <v>4079</v>
      </c>
      <c r="F35" s="0" t="s">
        <v>4012</v>
      </c>
      <c r="G35" s="0" t="s">
        <v>1874</v>
      </c>
    </row>
    <row customHeight="1" ht="11.25">
      <c r="A36" s="383" t="s">
        <v>16</v>
      </c>
      <c r="B36" s="0" t="s">
        <v>4056</v>
      </c>
      <c r="C36" s="0" t="s">
        <v>4057</v>
      </c>
      <c r="D36" s="0" t="s">
        <v>4080</v>
      </c>
      <c r="E36" s="0" t="s">
        <v>4081</v>
      </c>
      <c r="F36" s="0" t="s">
        <v>4012</v>
      </c>
      <c r="G36" s="0" t="s">
        <v>1879</v>
      </c>
    </row>
    <row customHeight="1" ht="11.25">
      <c r="A37" s="383" t="s">
        <v>16</v>
      </c>
      <c r="B37" s="0" t="s">
        <v>4056</v>
      </c>
      <c r="C37" s="0" t="s">
        <v>4057</v>
      </c>
      <c r="D37" s="0" t="s">
        <v>4082</v>
      </c>
      <c r="E37" s="0" t="s">
        <v>4083</v>
      </c>
      <c r="F37" s="0" t="s">
        <v>4012</v>
      </c>
      <c r="G37" s="0" t="s">
        <v>1883</v>
      </c>
    </row>
    <row customHeight="1" ht="11.25">
      <c r="A38" s="383" t="s">
        <v>16</v>
      </c>
      <c r="B38" s="0" t="s">
        <v>4056</v>
      </c>
      <c r="C38" s="0" t="s">
        <v>4057</v>
      </c>
      <c r="D38" s="0" t="s">
        <v>4084</v>
      </c>
      <c r="E38" s="0" t="s">
        <v>4085</v>
      </c>
      <c r="F38" s="0" t="s">
        <v>4012</v>
      </c>
      <c r="G38" s="0" t="s">
        <v>1891</v>
      </c>
    </row>
    <row customHeight="1" ht="11.25">
      <c r="A39" s="383" t="s">
        <v>16</v>
      </c>
      <c r="B39" s="0" t="s">
        <v>4086</v>
      </c>
      <c r="C39" s="0" t="s">
        <v>4087</v>
      </c>
      <c r="D39" s="0" t="s">
        <v>4086</v>
      </c>
      <c r="E39" s="0" t="s">
        <v>4087</v>
      </c>
      <c r="F39" s="0" t="s">
        <v>4009</v>
      </c>
      <c r="G39" s="0" t="s">
        <v>1897</v>
      </c>
    </row>
    <row customHeight="1" ht="11.25">
      <c r="A40" s="383" t="s">
        <v>16</v>
      </c>
      <c r="B40" s="0" t="s">
        <v>4086</v>
      </c>
      <c r="C40" s="0" t="s">
        <v>4087</v>
      </c>
      <c r="D40" s="0" t="s">
        <v>4088</v>
      </c>
      <c r="E40" s="0" t="s">
        <v>4089</v>
      </c>
      <c r="F40" s="0" t="s">
        <v>4012</v>
      </c>
      <c r="G40" s="0" t="s">
        <v>1902</v>
      </c>
    </row>
    <row customHeight="1" ht="11.25">
      <c r="A41" s="383" t="s">
        <v>16</v>
      </c>
      <c r="B41" s="0" t="s">
        <v>4086</v>
      </c>
      <c r="C41" s="0" t="s">
        <v>4087</v>
      </c>
      <c r="D41" s="0" t="s">
        <v>4090</v>
      </c>
      <c r="E41" s="0" t="s">
        <v>4091</v>
      </c>
      <c r="F41" s="0" t="s">
        <v>4012</v>
      </c>
      <c r="G41" s="0" t="s">
        <v>1906</v>
      </c>
    </row>
    <row customHeight="1" ht="11.25">
      <c r="A42" s="383" t="s">
        <v>16</v>
      </c>
      <c r="B42" s="0" t="s">
        <v>4092</v>
      </c>
      <c r="C42" s="0" t="s">
        <v>4093</v>
      </c>
      <c r="D42" s="0" t="s">
        <v>4094</v>
      </c>
      <c r="E42" s="0" t="s">
        <v>4095</v>
      </c>
      <c r="F42" s="0" t="s">
        <v>4012</v>
      </c>
      <c r="G42" s="0" t="s">
        <v>1909</v>
      </c>
    </row>
    <row customHeight="1" ht="11.25">
      <c r="A43" s="383" t="s">
        <v>16</v>
      </c>
      <c r="B43" s="0" t="s">
        <v>4092</v>
      </c>
      <c r="C43" s="0" t="s">
        <v>4093</v>
      </c>
      <c r="D43" s="0" t="s">
        <v>4092</v>
      </c>
      <c r="E43" s="0" t="s">
        <v>4093</v>
      </c>
      <c r="F43" s="0" t="s">
        <v>4009</v>
      </c>
      <c r="G43" s="0" t="s">
        <v>1916</v>
      </c>
    </row>
    <row customHeight="1" ht="11.25">
      <c r="A44" s="383" t="s">
        <v>16</v>
      </c>
      <c r="B44" s="0" t="s">
        <v>4092</v>
      </c>
      <c r="C44" s="0" t="s">
        <v>4093</v>
      </c>
      <c r="D44" s="0" t="s">
        <v>4096</v>
      </c>
      <c r="E44" s="0" t="s">
        <v>4097</v>
      </c>
      <c r="F44" s="0" t="s">
        <v>4012</v>
      </c>
      <c r="G44" s="0" t="s">
        <v>1925</v>
      </c>
    </row>
    <row customHeight="1" ht="11.25">
      <c r="A45" s="383" t="s">
        <v>16</v>
      </c>
      <c r="B45" s="0" t="s">
        <v>4092</v>
      </c>
      <c r="C45" s="0" t="s">
        <v>4093</v>
      </c>
      <c r="D45" s="0" t="s">
        <v>4098</v>
      </c>
      <c r="E45" s="0" t="s">
        <v>4099</v>
      </c>
      <c r="F45" s="0" t="s">
        <v>4012</v>
      </c>
      <c r="G45" s="0" t="s">
        <v>1930</v>
      </c>
    </row>
    <row customHeight="1" ht="11.25">
      <c r="A46" s="383" t="s">
        <v>16</v>
      </c>
      <c r="B46" s="0" t="s">
        <v>4092</v>
      </c>
      <c r="C46" s="0" t="s">
        <v>4093</v>
      </c>
      <c r="D46" s="0" t="s">
        <v>4100</v>
      </c>
      <c r="E46" s="0" t="s">
        <v>4101</v>
      </c>
      <c r="F46" s="0" t="s">
        <v>4019</v>
      </c>
      <c r="G46" s="0" t="s">
        <v>1933</v>
      </c>
    </row>
    <row customHeight="1" ht="11.25">
      <c r="A47" s="383" t="s">
        <v>16</v>
      </c>
      <c r="B47" s="0" t="s">
        <v>4092</v>
      </c>
      <c r="C47" s="0" t="s">
        <v>4093</v>
      </c>
      <c r="D47" s="0" t="s">
        <v>4102</v>
      </c>
      <c r="E47" s="0" t="s">
        <v>4103</v>
      </c>
      <c r="F47" s="0" t="s">
        <v>4012</v>
      </c>
      <c r="G47" s="0" t="s">
        <v>1939</v>
      </c>
    </row>
    <row customHeight="1" ht="11.25">
      <c r="A48" s="383" t="s">
        <v>16</v>
      </c>
      <c r="B48" s="0" t="s">
        <v>4092</v>
      </c>
      <c r="C48" s="0" t="s">
        <v>4093</v>
      </c>
      <c r="D48" s="0" t="s">
        <v>4104</v>
      </c>
      <c r="E48" s="0" t="s">
        <v>4105</v>
      </c>
      <c r="F48" s="0" t="s">
        <v>4012</v>
      </c>
      <c r="G48" s="0" t="s">
        <v>1944</v>
      </c>
    </row>
    <row customHeight="1" ht="11.25">
      <c r="A49" s="383" t="s">
        <v>16</v>
      </c>
      <c r="B49" s="0" t="s">
        <v>4092</v>
      </c>
      <c r="C49" s="0" t="s">
        <v>4093</v>
      </c>
      <c r="D49" s="0" t="s">
        <v>4106</v>
      </c>
      <c r="E49" s="0" t="s">
        <v>4107</v>
      </c>
      <c r="F49" s="0" t="s">
        <v>4012</v>
      </c>
      <c r="G49" s="0" t="s">
        <v>1947</v>
      </c>
    </row>
    <row customHeight="1" ht="11.25">
      <c r="A50" s="383" t="s">
        <v>16</v>
      </c>
      <c r="B50" s="0" t="s">
        <v>4108</v>
      </c>
      <c r="C50" s="0" t="s">
        <v>4109</v>
      </c>
      <c r="D50" s="0" t="s">
        <v>4110</v>
      </c>
      <c r="E50" s="0" t="s">
        <v>4111</v>
      </c>
      <c r="F50" s="0" t="s">
        <v>4012</v>
      </c>
      <c r="G50" s="0" t="s">
        <v>1951</v>
      </c>
    </row>
    <row customHeight="1" ht="11.25">
      <c r="A51" s="383" t="s">
        <v>16</v>
      </c>
      <c r="B51" s="0" t="s">
        <v>4108</v>
      </c>
      <c r="C51" s="0" t="s">
        <v>4109</v>
      </c>
      <c r="D51" s="0" t="s">
        <v>4112</v>
      </c>
      <c r="E51" s="0" t="s">
        <v>4113</v>
      </c>
      <c r="F51" s="0" t="s">
        <v>4012</v>
      </c>
      <c r="G51" s="0" t="s">
        <v>1956</v>
      </c>
    </row>
    <row customHeight="1" ht="11.25">
      <c r="A52" s="383" t="s">
        <v>16</v>
      </c>
      <c r="B52" s="0" t="s">
        <v>4108</v>
      </c>
      <c r="C52" s="0" t="s">
        <v>4109</v>
      </c>
      <c r="D52" s="0" t="s">
        <v>4114</v>
      </c>
      <c r="E52" s="0" t="s">
        <v>4115</v>
      </c>
      <c r="F52" s="0" t="s">
        <v>4012</v>
      </c>
      <c r="G52" s="0" t="s">
        <v>1960</v>
      </c>
    </row>
    <row customHeight="1" ht="11.25">
      <c r="A53" s="383" t="s">
        <v>16</v>
      </c>
      <c r="B53" s="0" t="s">
        <v>4108</v>
      </c>
      <c r="C53" s="0" t="s">
        <v>4109</v>
      </c>
      <c r="D53" s="0" t="s">
        <v>4108</v>
      </c>
      <c r="E53" s="0" t="s">
        <v>4109</v>
      </c>
      <c r="F53" s="0" t="s">
        <v>4009</v>
      </c>
      <c r="G53" s="0" t="s">
        <v>1962</v>
      </c>
    </row>
    <row customHeight="1" ht="11.25">
      <c r="A54" s="383" t="s">
        <v>16</v>
      </c>
      <c r="B54" s="0" t="s">
        <v>4108</v>
      </c>
      <c r="C54" s="0" t="s">
        <v>4109</v>
      </c>
      <c r="D54" s="0" t="s">
        <v>4116</v>
      </c>
      <c r="E54" s="0" t="s">
        <v>4117</v>
      </c>
      <c r="F54" s="0" t="s">
        <v>4012</v>
      </c>
      <c r="G54" s="0" t="s">
        <v>1965</v>
      </c>
    </row>
    <row customHeight="1" ht="11.25">
      <c r="A55" s="383" t="s">
        <v>16</v>
      </c>
      <c r="B55" s="0" t="s">
        <v>4108</v>
      </c>
      <c r="C55" s="0" t="s">
        <v>4109</v>
      </c>
      <c r="D55" s="0" t="s">
        <v>4118</v>
      </c>
      <c r="E55" s="0" t="s">
        <v>4119</v>
      </c>
      <c r="F55" s="0" t="s">
        <v>4012</v>
      </c>
      <c r="G55" s="0" t="s">
        <v>1970</v>
      </c>
    </row>
    <row customHeight="1" ht="11.25">
      <c r="A56" s="383" t="s">
        <v>16</v>
      </c>
      <c r="B56" s="0" t="s">
        <v>4108</v>
      </c>
      <c r="C56" s="0" t="s">
        <v>4109</v>
      </c>
      <c r="D56" s="0" t="s">
        <v>4120</v>
      </c>
      <c r="E56" s="0" t="s">
        <v>4121</v>
      </c>
      <c r="F56" s="0" t="s">
        <v>4012</v>
      </c>
      <c r="G56" s="0" t="s">
        <v>1973</v>
      </c>
    </row>
    <row customHeight="1" ht="11.25">
      <c r="A57" s="383" t="s">
        <v>16</v>
      </c>
      <c r="B57" s="0" t="s">
        <v>4108</v>
      </c>
      <c r="C57" s="0" t="s">
        <v>4109</v>
      </c>
      <c r="D57" s="0" t="s">
        <v>4122</v>
      </c>
      <c r="E57" s="0" t="s">
        <v>4123</v>
      </c>
      <c r="F57" s="0" t="s">
        <v>4012</v>
      </c>
      <c r="G57" s="0" t="s">
        <v>1976</v>
      </c>
    </row>
    <row customHeight="1" ht="11.25">
      <c r="A58" s="383" t="s">
        <v>16</v>
      </c>
      <c r="B58" s="0" t="s">
        <v>4108</v>
      </c>
      <c r="C58" s="0" t="s">
        <v>4109</v>
      </c>
      <c r="D58" s="0" t="s">
        <v>4124</v>
      </c>
      <c r="E58" s="0" t="s">
        <v>4125</v>
      </c>
      <c r="F58" s="0" t="s">
        <v>4012</v>
      </c>
      <c r="G58" s="0" t="s">
        <v>1979</v>
      </c>
    </row>
    <row customHeight="1" ht="11.25">
      <c r="A59" s="383" t="s">
        <v>16</v>
      </c>
      <c r="B59" s="0" t="s">
        <v>4108</v>
      </c>
      <c r="C59" s="0" t="s">
        <v>4109</v>
      </c>
      <c r="D59" s="0" t="s">
        <v>4126</v>
      </c>
      <c r="E59" s="0" t="s">
        <v>4127</v>
      </c>
      <c r="F59" s="0" t="s">
        <v>4012</v>
      </c>
      <c r="G59" s="0" t="s">
        <v>1983</v>
      </c>
    </row>
    <row customHeight="1" ht="11.25">
      <c r="A60" s="383" t="s">
        <v>16</v>
      </c>
      <c r="B60" s="0" t="s">
        <v>4108</v>
      </c>
      <c r="C60" s="0" t="s">
        <v>4109</v>
      </c>
      <c r="D60" s="0" t="s">
        <v>4128</v>
      </c>
      <c r="E60" s="0" t="s">
        <v>4129</v>
      </c>
      <c r="F60" s="0" t="s">
        <v>4012</v>
      </c>
      <c r="G60" s="0" t="s">
        <v>1986</v>
      </c>
    </row>
    <row customHeight="1" ht="11.25">
      <c r="A61" s="383" t="s">
        <v>16</v>
      </c>
      <c r="B61" s="0" t="s">
        <v>4108</v>
      </c>
      <c r="C61" s="0" t="s">
        <v>4109</v>
      </c>
      <c r="D61" s="0" t="s">
        <v>4130</v>
      </c>
      <c r="E61" s="0" t="s">
        <v>4131</v>
      </c>
      <c r="F61" s="0" t="s">
        <v>4012</v>
      </c>
      <c r="G61" s="0" t="s">
        <v>4132</v>
      </c>
    </row>
    <row customHeight="1" ht="11.25">
      <c r="A62" s="383" t="s">
        <v>16</v>
      </c>
      <c r="B62" s="0" t="s">
        <v>4108</v>
      </c>
      <c r="C62" s="0" t="s">
        <v>4109</v>
      </c>
      <c r="D62" s="0" t="s">
        <v>4133</v>
      </c>
      <c r="E62" s="0" t="s">
        <v>4134</v>
      </c>
      <c r="F62" s="0" t="s">
        <v>4012</v>
      </c>
      <c r="G62" s="0" t="s">
        <v>4135</v>
      </c>
    </row>
    <row customHeight="1" ht="11.25">
      <c r="A63" s="383" t="s">
        <v>16</v>
      </c>
      <c r="B63" s="0" t="s">
        <v>4108</v>
      </c>
      <c r="C63" s="0" t="s">
        <v>4109</v>
      </c>
      <c r="D63" s="0" t="s">
        <v>4136</v>
      </c>
      <c r="E63" s="0" t="s">
        <v>4137</v>
      </c>
      <c r="F63" s="0" t="s">
        <v>4012</v>
      </c>
      <c r="G63" s="0" t="s">
        <v>4138</v>
      </c>
    </row>
    <row customHeight="1" ht="11.25">
      <c r="A64" s="383" t="s">
        <v>16</v>
      </c>
      <c r="B64" s="0" t="s">
        <v>4108</v>
      </c>
      <c r="C64" s="0" t="s">
        <v>4109</v>
      </c>
      <c r="D64" s="0" t="s">
        <v>4139</v>
      </c>
      <c r="E64" s="0" t="s">
        <v>4140</v>
      </c>
      <c r="F64" s="0" t="s">
        <v>4012</v>
      </c>
      <c r="G64" s="0" t="s">
        <v>4141</v>
      </c>
    </row>
    <row customHeight="1" ht="11.25">
      <c r="A65" s="383" t="s">
        <v>16</v>
      </c>
      <c r="B65" s="0" t="s">
        <v>4108</v>
      </c>
      <c r="C65" s="0" t="s">
        <v>4109</v>
      </c>
      <c r="D65" s="0" t="s">
        <v>4142</v>
      </c>
      <c r="E65" s="0" t="s">
        <v>4143</v>
      </c>
      <c r="F65" s="0" t="s">
        <v>4012</v>
      </c>
      <c r="G65" s="0" t="s">
        <v>4144</v>
      </c>
    </row>
    <row customHeight="1" ht="11.25">
      <c r="A66" s="383" t="s">
        <v>16</v>
      </c>
      <c r="B66" s="0" t="s">
        <v>4108</v>
      </c>
      <c r="C66" s="0" t="s">
        <v>4109</v>
      </c>
      <c r="D66" s="0" t="s">
        <v>4145</v>
      </c>
      <c r="E66" s="0" t="s">
        <v>4146</v>
      </c>
      <c r="F66" s="0" t="s">
        <v>4012</v>
      </c>
      <c r="G66" s="0" t="s">
        <v>4147</v>
      </c>
    </row>
    <row customHeight="1" ht="11.25">
      <c r="A67" s="383" t="s">
        <v>16</v>
      </c>
      <c r="B67" s="0" t="s">
        <v>4108</v>
      </c>
      <c r="C67" s="0" t="s">
        <v>4109</v>
      </c>
      <c r="D67" s="0" t="s">
        <v>4148</v>
      </c>
      <c r="E67" s="0" t="s">
        <v>4149</v>
      </c>
      <c r="F67" s="0" t="s">
        <v>4012</v>
      </c>
      <c r="G67" s="0" t="s">
        <v>2302</v>
      </c>
    </row>
    <row customHeight="1" ht="11.25">
      <c r="A68" s="383" t="s">
        <v>16</v>
      </c>
      <c r="B68" s="0" t="s">
        <v>4108</v>
      </c>
      <c r="C68" s="0" t="s">
        <v>4109</v>
      </c>
      <c r="D68" s="0" t="s">
        <v>4150</v>
      </c>
      <c r="E68" s="0" t="s">
        <v>4151</v>
      </c>
      <c r="F68" s="0" t="s">
        <v>4012</v>
      </c>
      <c r="G68" s="0" t="s">
        <v>4152</v>
      </c>
    </row>
    <row customHeight="1" ht="11.25">
      <c r="A69" s="383" t="s">
        <v>16</v>
      </c>
      <c r="B69" s="0" t="s">
        <v>4108</v>
      </c>
      <c r="C69" s="0" t="s">
        <v>4109</v>
      </c>
      <c r="D69" s="0" t="s">
        <v>4153</v>
      </c>
      <c r="E69" s="0" t="s">
        <v>4154</v>
      </c>
      <c r="F69" s="0" t="s">
        <v>4012</v>
      </c>
      <c r="G69" s="0" t="s">
        <v>2505</v>
      </c>
    </row>
    <row customHeight="1" ht="11.25">
      <c r="A70" s="383" t="s">
        <v>16</v>
      </c>
      <c r="B70" s="0" t="s">
        <v>4108</v>
      </c>
      <c r="C70" s="0" t="s">
        <v>4109</v>
      </c>
      <c r="D70" s="0" t="s">
        <v>4155</v>
      </c>
      <c r="E70" s="0" t="s">
        <v>4156</v>
      </c>
      <c r="F70" s="0" t="s">
        <v>4012</v>
      </c>
      <c r="G70" s="0" t="s">
        <v>4157</v>
      </c>
    </row>
    <row customHeight="1" ht="11.25">
      <c r="A71" s="383" t="s">
        <v>16</v>
      </c>
      <c r="B71" s="0" t="s">
        <v>4108</v>
      </c>
      <c r="C71" s="0" t="s">
        <v>4109</v>
      </c>
      <c r="D71" s="0" t="s">
        <v>4158</v>
      </c>
      <c r="E71" s="0" t="s">
        <v>4159</v>
      </c>
      <c r="F71" s="0" t="s">
        <v>4012</v>
      </c>
      <c r="G71" s="0" t="s">
        <v>4160</v>
      </c>
    </row>
    <row customHeight="1" ht="11.25">
      <c r="A72" s="383" t="s">
        <v>16</v>
      </c>
      <c r="B72" s="0" t="s">
        <v>4161</v>
      </c>
      <c r="C72" s="0" t="s">
        <v>4162</v>
      </c>
      <c r="D72" s="0" t="s">
        <v>4163</v>
      </c>
      <c r="E72" s="0" t="s">
        <v>4164</v>
      </c>
      <c r="F72" s="0" t="s">
        <v>4012</v>
      </c>
      <c r="G72" s="0" t="s">
        <v>4165</v>
      </c>
    </row>
    <row customHeight="1" ht="11.25">
      <c r="A73" s="383" t="s">
        <v>16</v>
      </c>
      <c r="B73" s="0" t="s">
        <v>4161</v>
      </c>
      <c r="C73" s="0" t="s">
        <v>4162</v>
      </c>
      <c r="D73" s="0" t="s">
        <v>4161</v>
      </c>
      <c r="E73" s="0" t="s">
        <v>4162</v>
      </c>
      <c r="F73" s="0" t="s">
        <v>4009</v>
      </c>
      <c r="G73" s="0" t="s">
        <v>4166</v>
      </c>
    </row>
    <row customHeight="1" ht="11.25">
      <c r="A74" s="383" t="s">
        <v>16</v>
      </c>
      <c r="B74" s="0" t="s">
        <v>4161</v>
      </c>
      <c r="C74" s="0" t="s">
        <v>4162</v>
      </c>
      <c r="D74" s="0" t="s">
        <v>4167</v>
      </c>
      <c r="E74" s="0" t="s">
        <v>4168</v>
      </c>
      <c r="F74" s="0" t="s">
        <v>4012</v>
      </c>
      <c r="G74" s="0" t="s">
        <v>4169</v>
      </c>
    </row>
    <row customHeight="1" ht="11.25">
      <c r="A75" s="383" t="s">
        <v>16</v>
      </c>
      <c r="B75" s="0" t="s">
        <v>4161</v>
      </c>
      <c r="C75" s="0" t="s">
        <v>4162</v>
      </c>
      <c r="D75" s="0" t="s">
        <v>4170</v>
      </c>
      <c r="E75" s="0" t="s">
        <v>4171</v>
      </c>
      <c r="F75" s="0" t="s">
        <v>4049</v>
      </c>
      <c r="G75" s="0" t="s">
        <v>4172</v>
      </c>
    </row>
    <row customHeight="1" ht="11.25">
      <c r="A76" s="383" t="s">
        <v>16</v>
      </c>
      <c r="B76" s="0" t="s">
        <v>4161</v>
      </c>
      <c r="C76" s="0" t="s">
        <v>4162</v>
      </c>
      <c r="D76" s="0" t="s">
        <v>4173</v>
      </c>
      <c r="E76" s="0" t="s">
        <v>4174</v>
      </c>
      <c r="F76" s="0" t="s">
        <v>4012</v>
      </c>
      <c r="G76" s="0" t="s">
        <v>4175</v>
      </c>
    </row>
    <row customHeight="1" ht="11.25">
      <c r="A77" s="383" t="s">
        <v>16</v>
      </c>
      <c r="B77" s="0" t="s">
        <v>4161</v>
      </c>
      <c r="C77" s="0" t="s">
        <v>4162</v>
      </c>
      <c r="D77" s="0" t="s">
        <v>4176</v>
      </c>
      <c r="E77" s="0" t="s">
        <v>4177</v>
      </c>
      <c r="F77" s="0" t="s">
        <v>4019</v>
      </c>
      <c r="G77" s="0" t="s">
        <v>4178</v>
      </c>
    </row>
    <row customHeight="1" ht="11.25">
      <c r="A78" s="383" t="s">
        <v>16</v>
      </c>
      <c r="B78" s="0" t="s">
        <v>4161</v>
      </c>
      <c r="C78" s="0" t="s">
        <v>4162</v>
      </c>
      <c r="D78" s="0" t="s">
        <v>4179</v>
      </c>
      <c r="E78" s="0" t="s">
        <v>4180</v>
      </c>
      <c r="F78" s="0" t="s">
        <v>4012</v>
      </c>
      <c r="G78" s="0" t="s">
        <v>4181</v>
      </c>
    </row>
    <row customHeight="1" ht="11.25">
      <c r="A79" s="383" t="s">
        <v>16</v>
      </c>
      <c r="B79" s="0" t="s">
        <v>4161</v>
      </c>
      <c r="C79" s="0" t="s">
        <v>4162</v>
      </c>
      <c r="D79" s="0" t="s">
        <v>4182</v>
      </c>
      <c r="E79" s="0" t="s">
        <v>4183</v>
      </c>
      <c r="F79" s="0" t="s">
        <v>4012</v>
      </c>
      <c r="G79" s="0" t="s">
        <v>4184</v>
      </c>
    </row>
    <row customHeight="1" ht="11.25">
      <c r="A80" s="383" t="s">
        <v>16</v>
      </c>
      <c r="B80" s="0" t="s">
        <v>4185</v>
      </c>
      <c r="C80" s="0" t="s">
        <v>4186</v>
      </c>
      <c r="D80" s="0" t="s">
        <v>4187</v>
      </c>
      <c r="E80" s="0" t="s">
        <v>4188</v>
      </c>
      <c r="F80" s="0" t="s">
        <v>4012</v>
      </c>
      <c r="G80" s="0" t="s">
        <v>4189</v>
      </c>
    </row>
    <row customHeight="1" ht="11.25">
      <c r="A81" s="383" t="s">
        <v>16</v>
      </c>
      <c r="B81" s="0" t="s">
        <v>4185</v>
      </c>
      <c r="C81" s="0" t="s">
        <v>4186</v>
      </c>
      <c r="D81" s="0" t="s">
        <v>4163</v>
      </c>
      <c r="E81" s="0" t="s">
        <v>4190</v>
      </c>
      <c r="F81" s="0" t="s">
        <v>4012</v>
      </c>
      <c r="G81" s="0" t="s">
        <v>4191</v>
      </c>
    </row>
    <row customHeight="1" ht="11.25">
      <c r="A82" s="383" t="s">
        <v>16</v>
      </c>
      <c r="B82" s="0" t="s">
        <v>4185</v>
      </c>
      <c r="C82" s="0" t="s">
        <v>4186</v>
      </c>
      <c r="D82" s="0" t="s">
        <v>4192</v>
      </c>
      <c r="E82" s="0" t="s">
        <v>4193</v>
      </c>
      <c r="F82" s="0" t="s">
        <v>4012</v>
      </c>
      <c r="G82" s="0" t="s">
        <v>4194</v>
      </c>
    </row>
    <row customHeight="1" ht="11.25">
      <c r="A83" s="383" t="s">
        <v>16</v>
      </c>
      <c r="B83" s="0" t="s">
        <v>4185</v>
      </c>
      <c r="C83" s="0" t="s">
        <v>4186</v>
      </c>
      <c r="D83" s="0" t="s">
        <v>4195</v>
      </c>
      <c r="E83" s="0" t="s">
        <v>4196</v>
      </c>
      <c r="F83" s="0" t="s">
        <v>4012</v>
      </c>
      <c r="G83" s="0" t="s">
        <v>4197</v>
      </c>
    </row>
    <row customHeight="1" ht="11.25">
      <c r="A84" s="383" t="s">
        <v>16</v>
      </c>
      <c r="B84" s="0" t="s">
        <v>4185</v>
      </c>
      <c r="C84" s="0" t="s">
        <v>4186</v>
      </c>
      <c r="D84" s="0" t="s">
        <v>4198</v>
      </c>
      <c r="E84" s="0" t="s">
        <v>4199</v>
      </c>
      <c r="F84" s="0" t="s">
        <v>4012</v>
      </c>
      <c r="G84" s="0" t="s">
        <v>4200</v>
      </c>
    </row>
    <row customHeight="1" ht="11.25">
      <c r="A85" s="383" t="s">
        <v>16</v>
      </c>
      <c r="B85" s="0" t="s">
        <v>4185</v>
      </c>
      <c r="C85" s="0" t="s">
        <v>4186</v>
      </c>
      <c r="D85" s="0" t="s">
        <v>4185</v>
      </c>
      <c r="E85" s="0" t="s">
        <v>4186</v>
      </c>
      <c r="F85" s="0" t="s">
        <v>4009</v>
      </c>
      <c r="G85" s="0" t="s">
        <v>4201</v>
      </c>
    </row>
    <row customHeight="1" ht="11.25">
      <c r="A86" s="383" t="s">
        <v>16</v>
      </c>
      <c r="B86" s="0" t="s">
        <v>4185</v>
      </c>
      <c r="C86" s="0" t="s">
        <v>4186</v>
      </c>
      <c r="D86" s="0" t="s">
        <v>4202</v>
      </c>
      <c r="E86" s="0" t="s">
        <v>4203</v>
      </c>
      <c r="F86" s="0" t="s">
        <v>4030</v>
      </c>
      <c r="G86" s="0" t="s">
        <v>4204</v>
      </c>
    </row>
    <row customHeight="1" ht="11.25">
      <c r="A87" s="383" t="s">
        <v>16</v>
      </c>
      <c r="B87" s="0" t="s">
        <v>4185</v>
      </c>
      <c r="C87" s="0" t="s">
        <v>4186</v>
      </c>
      <c r="D87" s="0" t="s">
        <v>4205</v>
      </c>
      <c r="E87" s="0" t="s">
        <v>4206</v>
      </c>
      <c r="F87" s="0" t="s">
        <v>4012</v>
      </c>
      <c r="G87" s="0" t="s">
        <v>4207</v>
      </c>
    </row>
    <row customHeight="1" ht="11.25">
      <c r="A88" s="383" t="s">
        <v>16</v>
      </c>
      <c r="B88" s="0" t="s">
        <v>4185</v>
      </c>
      <c r="C88" s="0" t="s">
        <v>4186</v>
      </c>
      <c r="D88" s="0" t="s">
        <v>4208</v>
      </c>
      <c r="E88" s="0" t="s">
        <v>4209</v>
      </c>
      <c r="F88" s="0" t="s">
        <v>4019</v>
      </c>
      <c r="G88" s="0" t="s">
        <v>4210</v>
      </c>
    </row>
    <row customHeight="1" ht="11.25">
      <c r="A89" s="383" t="s">
        <v>16</v>
      </c>
      <c r="B89" s="0" t="s">
        <v>4185</v>
      </c>
      <c r="C89" s="0" t="s">
        <v>4186</v>
      </c>
      <c r="D89" s="0" t="s">
        <v>4211</v>
      </c>
      <c r="E89" s="0" t="s">
        <v>4212</v>
      </c>
      <c r="F89" s="0" t="s">
        <v>4019</v>
      </c>
      <c r="G89" s="0" t="s">
        <v>4213</v>
      </c>
    </row>
    <row customHeight="1" ht="11.25">
      <c r="A90" s="383" t="s">
        <v>16</v>
      </c>
      <c r="B90" s="0" t="s">
        <v>4185</v>
      </c>
      <c r="C90" s="0" t="s">
        <v>4186</v>
      </c>
      <c r="D90" s="0" t="s">
        <v>4214</v>
      </c>
      <c r="E90" s="0" t="s">
        <v>4215</v>
      </c>
      <c r="F90" s="0" t="s">
        <v>4012</v>
      </c>
      <c r="G90" s="0" t="s">
        <v>4216</v>
      </c>
    </row>
    <row customHeight="1" ht="11.25">
      <c r="A91" s="383" t="s">
        <v>16</v>
      </c>
      <c r="B91" s="0" t="s">
        <v>4185</v>
      </c>
      <c r="C91" s="0" t="s">
        <v>4186</v>
      </c>
      <c r="D91" s="0" t="s">
        <v>4217</v>
      </c>
      <c r="E91" s="0" t="s">
        <v>4218</v>
      </c>
      <c r="F91" s="0" t="s">
        <v>4012</v>
      </c>
      <c r="G91" s="0" t="s">
        <v>4219</v>
      </c>
    </row>
    <row customHeight="1" ht="11.25">
      <c r="A92" s="383" t="s">
        <v>16</v>
      </c>
      <c r="B92" s="0" t="s">
        <v>4185</v>
      </c>
      <c r="C92" s="0" t="s">
        <v>4186</v>
      </c>
      <c r="D92" s="0" t="s">
        <v>4220</v>
      </c>
      <c r="E92" s="0" t="s">
        <v>4221</v>
      </c>
      <c r="F92" s="0" t="s">
        <v>4012</v>
      </c>
      <c r="G92" s="0" t="s">
        <v>4222</v>
      </c>
    </row>
    <row customHeight="1" ht="11.25">
      <c r="A93" s="383" t="s">
        <v>16</v>
      </c>
      <c r="B93" s="0" t="s">
        <v>4185</v>
      </c>
      <c r="C93" s="0" t="s">
        <v>4186</v>
      </c>
      <c r="D93" s="0" t="s">
        <v>4223</v>
      </c>
      <c r="E93" s="0" t="s">
        <v>4224</v>
      </c>
      <c r="F93" s="0" t="s">
        <v>4012</v>
      </c>
      <c r="G93" s="0" t="s">
        <v>4225</v>
      </c>
    </row>
    <row customHeight="1" ht="11.25">
      <c r="A94" s="383" t="s">
        <v>16</v>
      </c>
      <c r="B94" s="0" t="s">
        <v>4185</v>
      </c>
      <c r="C94" s="0" t="s">
        <v>4186</v>
      </c>
      <c r="D94" s="0" t="s">
        <v>4226</v>
      </c>
      <c r="E94" s="0" t="s">
        <v>4227</v>
      </c>
      <c r="F94" s="0" t="s">
        <v>4012</v>
      </c>
      <c r="G94" s="0" t="s">
        <v>4228</v>
      </c>
    </row>
    <row customHeight="1" ht="11.25">
      <c r="A95" s="383" t="s">
        <v>16</v>
      </c>
      <c r="B95" s="0" t="s">
        <v>4185</v>
      </c>
      <c r="C95" s="0" t="s">
        <v>4186</v>
      </c>
      <c r="D95" s="0" t="s">
        <v>4229</v>
      </c>
      <c r="E95" s="0" t="s">
        <v>4230</v>
      </c>
      <c r="F95" s="0" t="s">
        <v>4012</v>
      </c>
      <c r="G95" s="0" t="s">
        <v>4231</v>
      </c>
    </row>
    <row customHeight="1" ht="11.25">
      <c r="A96" s="383" t="s">
        <v>16</v>
      </c>
      <c r="B96" s="0" t="s">
        <v>4185</v>
      </c>
      <c r="C96" s="0" t="s">
        <v>4186</v>
      </c>
      <c r="D96" s="0" t="s">
        <v>4232</v>
      </c>
      <c r="E96" s="0" t="s">
        <v>4233</v>
      </c>
      <c r="F96" s="0" t="s">
        <v>4012</v>
      </c>
      <c r="G96" s="0" t="s">
        <v>4234</v>
      </c>
    </row>
    <row customHeight="1" ht="11.25">
      <c r="A97" s="383" t="s">
        <v>16</v>
      </c>
      <c r="B97" s="0" t="s">
        <v>4185</v>
      </c>
      <c r="C97" s="0" t="s">
        <v>4186</v>
      </c>
      <c r="D97" s="0" t="s">
        <v>4235</v>
      </c>
      <c r="E97" s="0" t="s">
        <v>4236</v>
      </c>
      <c r="F97" s="0" t="s">
        <v>4012</v>
      </c>
      <c r="G97" s="0" t="s">
        <v>4237</v>
      </c>
    </row>
    <row customHeight="1" ht="11.25">
      <c r="A98" s="383" t="s">
        <v>16</v>
      </c>
      <c r="B98" s="0" t="s">
        <v>4238</v>
      </c>
      <c r="C98" s="0" t="s">
        <v>4239</v>
      </c>
      <c r="D98" s="0" t="s">
        <v>4163</v>
      </c>
      <c r="E98" s="0" t="s">
        <v>4240</v>
      </c>
      <c r="F98" s="0" t="s">
        <v>4012</v>
      </c>
      <c r="G98" s="0" t="s">
        <v>4241</v>
      </c>
    </row>
    <row customHeight="1" ht="11.25">
      <c r="A99" s="383" t="s">
        <v>16</v>
      </c>
      <c r="B99" s="0" t="s">
        <v>4238</v>
      </c>
      <c r="C99" s="0" t="s">
        <v>4239</v>
      </c>
      <c r="D99" s="0" t="s">
        <v>4242</v>
      </c>
      <c r="E99" s="0" t="s">
        <v>4243</v>
      </c>
      <c r="F99" s="0" t="s">
        <v>4012</v>
      </c>
      <c r="G99" s="0" t="s">
        <v>4244</v>
      </c>
    </row>
    <row customHeight="1" ht="11.25">
      <c r="A100" s="383" t="s">
        <v>16</v>
      </c>
      <c r="B100" s="0" t="s">
        <v>4238</v>
      </c>
      <c r="C100" s="0" t="s">
        <v>4239</v>
      </c>
      <c r="D100" s="0" t="s">
        <v>4245</v>
      </c>
      <c r="E100" s="0" t="s">
        <v>4246</v>
      </c>
      <c r="F100" s="0" t="s">
        <v>4012</v>
      </c>
      <c r="G100" s="0" t="s">
        <v>4247</v>
      </c>
    </row>
    <row customHeight="1" ht="11.25">
      <c r="A101" s="383" t="s">
        <v>16</v>
      </c>
      <c r="B101" s="0" t="s">
        <v>4238</v>
      </c>
      <c r="C101" s="0" t="s">
        <v>4239</v>
      </c>
      <c r="D101" s="0" t="s">
        <v>4094</v>
      </c>
      <c r="E101" s="0" t="s">
        <v>4248</v>
      </c>
      <c r="F101" s="0" t="s">
        <v>4012</v>
      </c>
      <c r="G101" s="0" t="s">
        <v>4249</v>
      </c>
    </row>
    <row customHeight="1" ht="11.25">
      <c r="A102" s="383" t="s">
        <v>16</v>
      </c>
      <c r="B102" s="0" t="s">
        <v>4238</v>
      </c>
      <c r="C102" s="0" t="s">
        <v>4239</v>
      </c>
      <c r="D102" s="0" t="s">
        <v>4238</v>
      </c>
      <c r="E102" s="0" t="s">
        <v>4239</v>
      </c>
      <c r="F102" s="0" t="s">
        <v>4009</v>
      </c>
      <c r="G102" s="0" t="s">
        <v>4250</v>
      </c>
    </row>
    <row customHeight="1" ht="11.25">
      <c r="A103" s="383" t="s">
        <v>16</v>
      </c>
      <c r="B103" s="0" t="s">
        <v>4238</v>
      </c>
      <c r="C103" s="0" t="s">
        <v>4239</v>
      </c>
      <c r="D103" s="0" t="s">
        <v>4251</v>
      </c>
      <c r="E103" s="0" t="s">
        <v>4252</v>
      </c>
      <c r="F103" s="0" t="s">
        <v>4030</v>
      </c>
      <c r="G103" s="0" t="s">
        <v>4253</v>
      </c>
    </row>
    <row customHeight="1" ht="11.25">
      <c r="A104" s="383" t="s">
        <v>16</v>
      </c>
      <c r="B104" s="0" t="s">
        <v>4238</v>
      </c>
      <c r="C104" s="0" t="s">
        <v>4239</v>
      </c>
      <c r="D104" s="0" t="s">
        <v>4254</v>
      </c>
      <c r="E104" s="0" t="s">
        <v>4255</v>
      </c>
      <c r="F104" s="0" t="s">
        <v>4012</v>
      </c>
      <c r="G104" s="0" t="s">
        <v>4256</v>
      </c>
    </row>
    <row customHeight="1" ht="11.25">
      <c r="A105" s="383" t="s">
        <v>16</v>
      </c>
      <c r="B105" s="0" t="s">
        <v>4238</v>
      </c>
      <c r="C105" s="0" t="s">
        <v>4239</v>
      </c>
      <c r="D105" s="0" t="s">
        <v>4257</v>
      </c>
      <c r="E105" s="0" t="s">
        <v>4258</v>
      </c>
      <c r="F105" s="0" t="s">
        <v>4012</v>
      </c>
      <c r="G105" s="0" t="s">
        <v>4259</v>
      </c>
    </row>
    <row customHeight="1" ht="11.25">
      <c r="A106" s="383" t="s">
        <v>16</v>
      </c>
      <c r="B106" s="0" t="s">
        <v>4238</v>
      </c>
      <c r="C106" s="0" t="s">
        <v>4239</v>
      </c>
      <c r="D106" s="0" t="s">
        <v>4260</v>
      </c>
      <c r="E106" s="0" t="s">
        <v>4261</v>
      </c>
      <c r="F106" s="0" t="s">
        <v>4012</v>
      </c>
      <c r="G106" s="0" t="s">
        <v>4262</v>
      </c>
    </row>
    <row customHeight="1" ht="11.25">
      <c r="A107" s="383" t="s">
        <v>16</v>
      </c>
      <c r="B107" s="0" t="s">
        <v>4238</v>
      </c>
      <c r="C107" s="0" t="s">
        <v>4239</v>
      </c>
      <c r="D107" s="0" t="s">
        <v>4263</v>
      </c>
      <c r="E107" s="0" t="s">
        <v>4264</v>
      </c>
      <c r="F107" s="0" t="s">
        <v>4012</v>
      </c>
      <c r="G107" s="0" t="s">
        <v>4265</v>
      </c>
    </row>
    <row customHeight="1" ht="11.25">
      <c r="A108" s="383" t="s">
        <v>16</v>
      </c>
      <c r="B108" s="0" t="s">
        <v>4238</v>
      </c>
      <c r="C108" s="0" t="s">
        <v>4239</v>
      </c>
      <c r="D108" s="0" t="s">
        <v>4266</v>
      </c>
      <c r="E108" s="0" t="s">
        <v>4267</v>
      </c>
      <c r="F108" s="0" t="s">
        <v>4012</v>
      </c>
      <c r="G108" s="0" t="s">
        <v>4268</v>
      </c>
    </row>
    <row customHeight="1" ht="11.25">
      <c r="A109" s="383" t="s">
        <v>16</v>
      </c>
      <c r="B109" s="0" t="s">
        <v>4238</v>
      </c>
      <c r="C109" s="0" t="s">
        <v>4239</v>
      </c>
      <c r="D109" s="0" t="s">
        <v>4269</v>
      </c>
      <c r="E109" s="0" t="s">
        <v>4270</v>
      </c>
      <c r="F109" s="0" t="s">
        <v>4012</v>
      </c>
      <c r="G109" s="0" t="s">
        <v>4271</v>
      </c>
    </row>
    <row customHeight="1" ht="11.25">
      <c r="A110" s="383" t="s">
        <v>16</v>
      </c>
      <c r="B110" s="0" t="s">
        <v>4238</v>
      </c>
      <c r="C110" s="0" t="s">
        <v>4239</v>
      </c>
      <c r="D110" s="0" t="s">
        <v>4272</v>
      </c>
      <c r="E110" s="0" t="s">
        <v>4273</v>
      </c>
      <c r="F110" s="0" t="s">
        <v>4012</v>
      </c>
      <c r="G110" s="0" t="s">
        <v>4274</v>
      </c>
    </row>
    <row customHeight="1" ht="11.25">
      <c r="A111" s="383" t="s">
        <v>16</v>
      </c>
      <c r="B111" s="0" t="s">
        <v>4238</v>
      </c>
      <c r="C111" s="0" t="s">
        <v>4239</v>
      </c>
      <c r="D111" s="0" t="s">
        <v>4275</v>
      </c>
      <c r="E111" s="0" t="s">
        <v>4276</v>
      </c>
      <c r="F111" s="0" t="s">
        <v>4019</v>
      </c>
      <c r="G111" s="0" t="s">
        <v>4277</v>
      </c>
    </row>
    <row customHeight="1" ht="11.25">
      <c r="A112" s="383" t="s">
        <v>16</v>
      </c>
      <c r="B112" s="0" t="s">
        <v>4238</v>
      </c>
      <c r="C112" s="0" t="s">
        <v>4239</v>
      </c>
      <c r="D112" s="0" t="s">
        <v>4278</v>
      </c>
      <c r="E112" s="0" t="s">
        <v>4279</v>
      </c>
      <c r="F112" s="0" t="s">
        <v>4012</v>
      </c>
      <c r="G112" s="0" t="s">
        <v>638</v>
      </c>
    </row>
    <row customHeight="1" ht="11.25">
      <c r="A113" s="383" t="s">
        <v>16</v>
      </c>
      <c r="B113" s="0" t="s">
        <v>4238</v>
      </c>
      <c r="C113" s="0" t="s">
        <v>4239</v>
      </c>
      <c r="D113" s="0" t="s">
        <v>4280</v>
      </c>
      <c r="E113" s="0" t="s">
        <v>4281</v>
      </c>
      <c r="F113" s="0" t="s">
        <v>4012</v>
      </c>
      <c r="G113" s="0" t="s">
        <v>4282</v>
      </c>
    </row>
    <row customHeight="1" ht="11.25">
      <c r="A114" s="383" t="s">
        <v>16</v>
      </c>
      <c r="B114" s="0" t="s">
        <v>4238</v>
      </c>
      <c r="C114" s="0" t="s">
        <v>4239</v>
      </c>
      <c r="D114" s="0" t="s">
        <v>4283</v>
      </c>
      <c r="E114" s="0" t="s">
        <v>4284</v>
      </c>
      <c r="F114" s="0" t="s">
        <v>4012</v>
      </c>
      <c r="G114" s="0" t="s">
        <v>4285</v>
      </c>
    </row>
    <row customHeight="1" ht="11.25">
      <c r="A115" s="383" t="s">
        <v>16</v>
      </c>
      <c r="B115" s="0" t="s">
        <v>4238</v>
      </c>
      <c r="C115" s="0" t="s">
        <v>4239</v>
      </c>
      <c r="D115" s="0" t="s">
        <v>4286</v>
      </c>
      <c r="E115" s="0" t="s">
        <v>4287</v>
      </c>
      <c r="F115" s="0" t="s">
        <v>4012</v>
      </c>
      <c r="G115" s="0" t="s">
        <v>4288</v>
      </c>
    </row>
    <row customHeight="1" ht="11.25">
      <c r="A116" s="383" t="s">
        <v>16</v>
      </c>
      <c r="B116" s="0" t="s">
        <v>4238</v>
      </c>
      <c r="C116" s="0" t="s">
        <v>4239</v>
      </c>
      <c r="D116" s="0" t="s">
        <v>4289</v>
      </c>
      <c r="E116" s="0" t="s">
        <v>4290</v>
      </c>
      <c r="F116" s="0" t="s">
        <v>4012</v>
      </c>
      <c r="G116" s="0" t="s">
        <v>4291</v>
      </c>
    </row>
    <row customHeight="1" ht="11.25">
      <c r="A117" s="383" t="s">
        <v>16</v>
      </c>
      <c r="B117" s="0" t="s">
        <v>4238</v>
      </c>
      <c r="C117" s="0" t="s">
        <v>4239</v>
      </c>
      <c r="D117" s="0" t="s">
        <v>4292</v>
      </c>
      <c r="E117" s="0" t="s">
        <v>4293</v>
      </c>
      <c r="F117" s="0" t="s">
        <v>4012</v>
      </c>
      <c r="G117" s="0" t="s">
        <v>4294</v>
      </c>
    </row>
    <row customHeight="1" ht="11.25">
      <c r="A118" s="383" t="s">
        <v>16</v>
      </c>
      <c r="B118" s="0" t="s">
        <v>4238</v>
      </c>
      <c r="C118" s="0" t="s">
        <v>4239</v>
      </c>
      <c r="D118" s="0" t="s">
        <v>4295</v>
      </c>
      <c r="E118" s="0" t="s">
        <v>4296</v>
      </c>
      <c r="F118" s="0" t="s">
        <v>4012</v>
      </c>
      <c r="G118" s="0" t="s">
        <v>4297</v>
      </c>
    </row>
    <row customHeight="1" ht="11.25">
      <c r="A119" s="383" t="s">
        <v>16</v>
      </c>
      <c r="B119" s="0" t="s">
        <v>4238</v>
      </c>
      <c r="C119" s="0" t="s">
        <v>4239</v>
      </c>
      <c r="D119" s="0" t="s">
        <v>4298</v>
      </c>
      <c r="E119" s="0" t="s">
        <v>4299</v>
      </c>
      <c r="F119" s="0" t="s">
        <v>4012</v>
      </c>
      <c r="G119" s="0" t="s">
        <v>4300</v>
      </c>
    </row>
    <row customHeight="1" ht="11.25">
      <c r="A120" s="383" t="s">
        <v>16</v>
      </c>
      <c r="B120" s="0" t="s">
        <v>4301</v>
      </c>
      <c r="C120" s="0" t="s">
        <v>4302</v>
      </c>
      <c r="D120" s="0" t="s">
        <v>4303</v>
      </c>
      <c r="E120" s="0" t="s">
        <v>4304</v>
      </c>
      <c r="F120" s="0" t="s">
        <v>4012</v>
      </c>
      <c r="G120" s="0" t="s">
        <v>4305</v>
      </c>
    </row>
    <row customHeight="1" ht="11.25">
      <c r="A121" s="383" t="s">
        <v>16</v>
      </c>
      <c r="B121" s="0" t="s">
        <v>4301</v>
      </c>
      <c r="C121" s="0" t="s">
        <v>4302</v>
      </c>
      <c r="D121" s="0" t="s">
        <v>4306</v>
      </c>
      <c r="E121" s="0" t="s">
        <v>4307</v>
      </c>
      <c r="F121" s="0" t="s">
        <v>4012</v>
      </c>
      <c r="G121" s="0" t="s">
        <v>4308</v>
      </c>
    </row>
    <row customHeight="1" ht="11.25">
      <c r="A122" s="383" t="s">
        <v>16</v>
      </c>
      <c r="B122" s="0" t="s">
        <v>4301</v>
      </c>
      <c r="C122" s="0" t="s">
        <v>4302</v>
      </c>
      <c r="D122" s="0" t="s">
        <v>4301</v>
      </c>
      <c r="E122" s="0" t="s">
        <v>4302</v>
      </c>
      <c r="F122" s="0" t="s">
        <v>4009</v>
      </c>
      <c r="G122" s="0" t="s">
        <v>4309</v>
      </c>
    </row>
    <row customHeight="1" ht="11.25">
      <c r="A123" s="383" t="s">
        <v>16</v>
      </c>
      <c r="B123" s="0" t="s">
        <v>4301</v>
      </c>
      <c r="C123" s="0" t="s">
        <v>4302</v>
      </c>
      <c r="D123" s="0" t="s">
        <v>4310</v>
      </c>
      <c r="E123" s="0" t="s">
        <v>4311</v>
      </c>
      <c r="F123" s="0" t="s">
        <v>4012</v>
      </c>
      <c r="G123" s="0" t="s">
        <v>4312</v>
      </c>
    </row>
    <row customHeight="1" ht="11.25">
      <c r="A124" s="383" t="s">
        <v>16</v>
      </c>
      <c r="B124" s="0" t="s">
        <v>4301</v>
      </c>
      <c r="C124" s="0" t="s">
        <v>4302</v>
      </c>
      <c r="D124" s="0" t="s">
        <v>4313</v>
      </c>
      <c r="E124" s="0" t="s">
        <v>4314</v>
      </c>
      <c r="F124" s="0" t="s">
        <v>4012</v>
      </c>
      <c r="G124" s="0" t="s">
        <v>4315</v>
      </c>
    </row>
    <row customHeight="1" ht="11.25">
      <c r="A125" s="383" t="s">
        <v>16</v>
      </c>
      <c r="B125" s="0" t="s">
        <v>4301</v>
      </c>
      <c r="C125" s="0" t="s">
        <v>4302</v>
      </c>
      <c r="D125" s="0" t="s">
        <v>4316</v>
      </c>
      <c r="E125" s="0" t="s">
        <v>4317</v>
      </c>
      <c r="F125" s="0" t="s">
        <v>4012</v>
      </c>
      <c r="G125" s="0" t="s">
        <v>4318</v>
      </c>
    </row>
    <row customHeight="1" ht="11.25">
      <c r="A126" s="383" t="s">
        <v>16</v>
      </c>
      <c r="B126" s="0" t="s">
        <v>4301</v>
      </c>
      <c r="C126" s="0" t="s">
        <v>4302</v>
      </c>
      <c r="D126" s="0" t="s">
        <v>4319</v>
      </c>
      <c r="E126" s="0" t="s">
        <v>4320</v>
      </c>
      <c r="F126" s="0" t="s">
        <v>4012</v>
      </c>
      <c r="G126" s="0" t="s">
        <v>4321</v>
      </c>
    </row>
    <row customHeight="1" ht="11.25">
      <c r="A127" s="383" t="s">
        <v>16</v>
      </c>
      <c r="B127" s="0" t="s">
        <v>4301</v>
      </c>
      <c r="C127" s="0" t="s">
        <v>4302</v>
      </c>
      <c r="D127" s="0" t="s">
        <v>4322</v>
      </c>
      <c r="E127" s="0" t="s">
        <v>4323</v>
      </c>
      <c r="F127" s="0" t="s">
        <v>4012</v>
      </c>
      <c r="G127" s="0" t="s">
        <v>4324</v>
      </c>
    </row>
    <row customHeight="1" ht="11.25">
      <c r="A128" s="383" t="s">
        <v>16</v>
      </c>
      <c r="B128" s="0" t="s">
        <v>4301</v>
      </c>
      <c r="C128" s="0" t="s">
        <v>4302</v>
      </c>
      <c r="D128" s="0" t="s">
        <v>4325</v>
      </c>
      <c r="E128" s="0" t="s">
        <v>4326</v>
      </c>
      <c r="F128" s="0" t="s">
        <v>4012</v>
      </c>
      <c r="G128" s="0" t="s">
        <v>4327</v>
      </c>
    </row>
    <row customHeight="1" ht="11.25">
      <c r="A129" s="383" t="s">
        <v>16</v>
      </c>
      <c r="B129" s="0" t="s">
        <v>4301</v>
      </c>
      <c r="C129" s="0" t="s">
        <v>4302</v>
      </c>
      <c r="D129" s="0" t="s">
        <v>4328</v>
      </c>
      <c r="E129" s="0" t="s">
        <v>4329</v>
      </c>
      <c r="F129" s="0" t="s">
        <v>4012</v>
      </c>
      <c r="G129" s="0" t="s">
        <v>4330</v>
      </c>
    </row>
    <row customHeight="1" ht="11.25">
      <c r="A130" s="383" t="s">
        <v>16</v>
      </c>
      <c r="B130" s="0" t="s">
        <v>4331</v>
      </c>
      <c r="C130" s="0" t="s">
        <v>4332</v>
      </c>
      <c r="D130" s="0" t="s">
        <v>4331</v>
      </c>
      <c r="E130" s="0" t="s">
        <v>4332</v>
      </c>
      <c r="F130" s="0" t="s">
        <v>4333</v>
      </c>
      <c r="G130" s="0" t="s">
        <v>4334</v>
      </c>
    </row>
    <row customHeight="1" ht="11.25">
      <c r="A131" s="383" t="s">
        <v>16</v>
      </c>
      <c r="B131" s="0" t="s">
        <v>4335</v>
      </c>
      <c r="C131" s="0" t="s">
        <v>4336</v>
      </c>
      <c r="D131" s="0" t="s">
        <v>4335</v>
      </c>
      <c r="E131" s="0" t="s">
        <v>4336</v>
      </c>
      <c r="F131" s="0" t="s">
        <v>4333</v>
      </c>
      <c r="G131" s="0" t="s">
        <v>4337</v>
      </c>
    </row>
    <row customHeight="1" ht="11.25">
      <c r="A132" s="383" t="s">
        <v>16</v>
      </c>
      <c r="B132" s="0" t="s">
        <v>4338</v>
      </c>
      <c r="C132" s="0" t="s">
        <v>4339</v>
      </c>
      <c r="D132" s="0" t="s">
        <v>4340</v>
      </c>
      <c r="E132" s="0" t="s">
        <v>4341</v>
      </c>
      <c r="F132" s="0" t="s">
        <v>4012</v>
      </c>
      <c r="G132" s="0" t="s">
        <v>4342</v>
      </c>
    </row>
    <row customHeight="1" ht="11.25">
      <c r="A133" s="383" t="s">
        <v>16</v>
      </c>
      <c r="B133" s="0" t="s">
        <v>4338</v>
      </c>
      <c r="C133" s="0" t="s">
        <v>4339</v>
      </c>
      <c r="D133" s="0" t="s">
        <v>4338</v>
      </c>
      <c r="E133" s="0" t="s">
        <v>4339</v>
      </c>
      <c r="F133" s="0" t="s">
        <v>4009</v>
      </c>
      <c r="G133" s="0" t="s">
        <v>4343</v>
      </c>
    </row>
    <row customHeight="1" ht="11.25">
      <c r="A134" s="383" t="s">
        <v>16</v>
      </c>
      <c r="B134" s="0" t="s">
        <v>4338</v>
      </c>
      <c r="C134" s="0" t="s">
        <v>4339</v>
      </c>
      <c r="D134" s="0" t="s">
        <v>4344</v>
      </c>
      <c r="E134" s="0" t="s">
        <v>4345</v>
      </c>
      <c r="F134" s="0" t="s">
        <v>4012</v>
      </c>
      <c r="G134" s="0" t="s">
        <v>4346</v>
      </c>
    </row>
    <row customHeight="1" ht="11.25">
      <c r="A135" s="383" t="s">
        <v>16</v>
      </c>
      <c r="B135" s="0" t="s">
        <v>4338</v>
      </c>
      <c r="C135" s="0" t="s">
        <v>4339</v>
      </c>
      <c r="D135" s="0" t="s">
        <v>4347</v>
      </c>
      <c r="E135" s="0" t="s">
        <v>4348</v>
      </c>
      <c r="F135" s="0" t="s">
        <v>4012</v>
      </c>
      <c r="G135" s="0" t="s">
        <v>4349</v>
      </c>
    </row>
    <row customHeight="1" ht="11.25">
      <c r="A136" s="383" t="s">
        <v>16</v>
      </c>
      <c r="B136" s="0" t="s">
        <v>4338</v>
      </c>
      <c r="C136" s="0" t="s">
        <v>4339</v>
      </c>
      <c r="D136" s="0" t="s">
        <v>4350</v>
      </c>
      <c r="E136" s="0" t="s">
        <v>4351</v>
      </c>
      <c r="F136" s="0" t="s">
        <v>4049</v>
      </c>
      <c r="G136" s="0" t="s">
        <v>4352</v>
      </c>
    </row>
    <row customHeight="1" ht="11.25">
      <c r="A137" s="383" t="s">
        <v>16</v>
      </c>
      <c r="B137" s="0" t="s">
        <v>4338</v>
      </c>
      <c r="C137" s="0" t="s">
        <v>4339</v>
      </c>
      <c r="D137" s="0" t="s">
        <v>4353</v>
      </c>
      <c r="E137" s="0" t="s">
        <v>4354</v>
      </c>
      <c r="F137" s="0" t="s">
        <v>4012</v>
      </c>
      <c r="G137" s="0" t="s">
        <v>4355</v>
      </c>
    </row>
    <row customHeight="1" ht="11.25">
      <c r="A138" s="383" t="s">
        <v>16</v>
      </c>
      <c r="B138" s="0" t="s">
        <v>4356</v>
      </c>
      <c r="C138" s="0" t="s">
        <v>4357</v>
      </c>
      <c r="D138" s="0" t="s">
        <v>4358</v>
      </c>
      <c r="E138" s="0" t="s">
        <v>4359</v>
      </c>
      <c r="F138" s="0" t="s">
        <v>4012</v>
      </c>
      <c r="G138" s="0" t="s">
        <v>4360</v>
      </c>
    </row>
    <row customHeight="1" ht="11.25">
      <c r="A139" s="383" t="s">
        <v>16</v>
      </c>
      <c r="B139" s="0" t="s">
        <v>4356</v>
      </c>
      <c r="C139" s="0" t="s">
        <v>4357</v>
      </c>
      <c r="D139" s="0" t="s">
        <v>4361</v>
      </c>
      <c r="E139" s="0" t="s">
        <v>4362</v>
      </c>
      <c r="F139" s="0" t="s">
        <v>4012</v>
      </c>
      <c r="G139" s="0" t="s">
        <v>4363</v>
      </c>
    </row>
    <row customHeight="1" ht="11.25">
      <c r="A140" s="383" t="s">
        <v>16</v>
      </c>
      <c r="B140" s="0" t="s">
        <v>4356</v>
      </c>
      <c r="C140" s="0" t="s">
        <v>4357</v>
      </c>
      <c r="D140" s="0" t="s">
        <v>4356</v>
      </c>
      <c r="E140" s="0" t="s">
        <v>4357</v>
      </c>
      <c r="F140" s="0" t="s">
        <v>4009</v>
      </c>
      <c r="G140" s="0" t="s">
        <v>4364</v>
      </c>
    </row>
    <row customHeight="1" ht="11.25">
      <c r="A141" s="383" t="s">
        <v>16</v>
      </c>
      <c r="B141" s="0" t="s">
        <v>4356</v>
      </c>
      <c r="C141" s="0" t="s">
        <v>4357</v>
      </c>
      <c r="D141" s="0" t="s">
        <v>4365</v>
      </c>
      <c r="E141" s="0" t="s">
        <v>4366</v>
      </c>
      <c r="F141" s="0" t="s">
        <v>4012</v>
      </c>
      <c r="G141" s="0" t="s">
        <v>4367</v>
      </c>
    </row>
    <row customHeight="1" ht="11.25">
      <c r="A142" s="383" t="s">
        <v>16</v>
      </c>
      <c r="B142" s="0" t="s">
        <v>4356</v>
      </c>
      <c r="C142" s="0" t="s">
        <v>4357</v>
      </c>
      <c r="D142" s="0" t="s">
        <v>4368</v>
      </c>
      <c r="E142" s="0" t="s">
        <v>4369</v>
      </c>
      <c r="F142" s="0" t="s">
        <v>4012</v>
      </c>
      <c r="G142" s="0" t="s">
        <v>4370</v>
      </c>
    </row>
    <row customHeight="1" ht="11.25">
      <c r="A143" s="383" t="s">
        <v>16</v>
      </c>
      <c r="B143" s="0" t="s">
        <v>4356</v>
      </c>
      <c r="C143" s="0" t="s">
        <v>4357</v>
      </c>
      <c r="D143" s="0" t="s">
        <v>4371</v>
      </c>
      <c r="E143" s="0" t="s">
        <v>4372</v>
      </c>
      <c r="F143" s="0" t="s">
        <v>4012</v>
      </c>
      <c r="G143" s="0" t="s">
        <v>4373</v>
      </c>
    </row>
    <row customHeight="1" ht="11.25">
      <c r="A144" s="383" t="s">
        <v>16</v>
      </c>
      <c r="B144" s="0" t="s">
        <v>4356</v>
      </c>
      <c r="C144" s="0" t="s">
        <v>4357</v>
      </c>
      <c r="D144" s="0" t="s">
        <v>4374</v>
      </c>
      <c r="E144" s="0" t="s">
        <v>4375</v>
      </c>
      <c r="F144" s="0" t="s">
        <v>4012</v>
      </c>
      <c r="G144" s="0" t="s">
        <v>4376</v>
      </c>
    </row>
    <row customHeight="1" ht="11.25">
      <c r="A145" s="383" t="s">
        <v>16</v>
      </c>
      <c r="B145" s="0" t="s">
        <v>4356</v>
      </c>
      <c r="C145" s="0" t="s">
        <v>4357</v>
      </c>
      <c r="D145" s="0" t="s">
        <v>4377</v>
      </c>
      <c r="E145" s="0" t="s">
        <v>4378</v>
      </c>
      <c r="F145" s="0" t="s">
        <v>4012</v>
      </c>
      <c r="G145" s="0" t="s">
        <v>4379</v>
      </c>
    </row>
    <row customHeight="1" ht="11.25">
      <c r="A146" s="383" t="s">
        <v>16</v>
      </c>
      <c r="B146" s="0" t="s">
        <v>4356</v>
      </c>
      <c r="C146" s="0" t="s">
        <v>4357</v>
      </c>
      <c r="D146" s="0" t="s">
        <v>4380</v>
      </c>
      <c r="E146" s="0" t="s">
        <v>4381</v>
      </c>
      <c r="F146" s="0" t="s">
        <v>4049</v>
      </c>
      <c r="G146" s="0" t="s">
        <v>4382</v>
      </c>
    </row>
    <row customHeight="1" ht="11.25">
      <c r="A147" s="383" t="s">
        <v>16</v>
      </c>
      <c r="B147" s="0" t="s">
        <v>4356</v>
      </c>
      <c r="C147" s="0" t="s">
        <v>4357</v>
      </c>
      <c r="D147" s="0" t="s">
        <v>4383</v>
      </c>
      <c r="E147" s="0" t="s">
        <v>4384</v>
      </c>
      <c r="F147" s="0" t="s">
        <v>4012</v>
      </c>
      <c r="G147" s="0" t="s">
        <v>4385</v>
      </c>
    </row>
    <row customHeight="1" ht="11.25">
      <c r="A148" s="383" t="s">
        <v>16</v>
      </c>
      <c r="B148" s="0" t="s">
        <v>4356</v>
      </c>
      <c r="C148" s="0" t="s">
        <v>4357</v>
      </c>
      <c r="D148" s="0" t="s">
        <v>4386</v>
      </c>
      <c r="E148" s="0" t="s">
        <v>4387</v>
      </c>
      <c r="F148" s="0" t="s">
        <v>4012</v>
      </c>
      <c r="G148" s="0" t="s">
        <v>4388</v>
      </c>
    </row>
    <row customHeight="1" ht="11.25">
      <c r="A149" s="383" t="s">
        <v>16</v>
      </c>
      <c r="B149" s="0" t="s">
        <v>4356</v>
      </c>
      <c r="C149" s="0" t="s">
        <v>4357</v>
      </c>
      <c r="D149" s="0" t="s">
        <v>4389</v>
      </c>
      <c r="E149" s="0" t="s">
        <v>4390</v>
      </c>
      <c r="F149" s="0" t="s">
        <v>4019</v>
      </c>
      <c r="G149" s="0" t="s">
        <v>4391</v>
      </c>
    </row>
    <row customHeight="1" ht="11.25">
      <c r="A150" s="383" t="s">
        <v>16</v>
      </c>
      <c r="B150" s="0" t="s">
        <v>4356</v>
      </c>
      <c r="C150" s="0" t="s">
        <v>4357</v>
      </c>
      <c r="D150" s="0" t="s">
        <v>4392</v>
      </c>
      <c r="E150" s="0" t="s">
        <v>4393</v>
      </c>
      <c r="F150" s="0" t="s">
        <v>4012</v>
      </c>
      <c r="G150" s="0" t="s">
        <v>4394</v>
      </c>
    </row>
    <row customHeight="1" ht="11.25">
      <c r="A151" s="383" t="s">
        <v>16</v>
      </c>
      <c r="B151" s="0" t="s">
        <v>4356</v>
      </c>
      <c r="C151" s="0" t="s">
        <v>4357</v>
      </c>
      <c r="D151" s="0" t="s">
        <v>4395</v>
      </c>
      <c r="E151" s="0" t="s">
        <v>4396</v>
      </c>
      <c r="F151" s="0" t="s">
        <v>4012</v>
      </c>
      <c r="G151" s="0" t="s">
        <v>4397</v>
      </c>
    </row>
    <row customHeight="1" ht="11.25">
      <c r="A152" s="383" t="s">
        <v>16</v>
      </c>
      <c r="B152" s="0" t="s">
        <v>4398</v>
      </c>
      <c r="C152" s="0" t="s">
        <v>4399</v>
      </c>
      <c r="D152" s="0" t="s">
        <v>4400</v>
      </c>
      <c r="E152" s="0" t="s">
        <v>4401</v>
      </c>
      <c r="F152" s="0" t="s">
        <v>4012</v>
      </c>
      <c r="G152" s="0" t="s">
        <v>4402</v>
      </c>
    </row>
    <row customHeight="1" ht="11.25">
      <c r="A153" s="383" t="s">
        <v>16</v>
      </c>
      <c r="B153" s="0" t="s">
        <v>4398</v>
      </c>
      <c r="C153" s="0" t="s">
        <v>4399</v>
      </c>
      <c r="D153" s="0" t="s">
        <v>4403</v>
      </c>
      <c r="E153" s="0" t="s">
        <v>4404</v>
      </c>
      <c r="F153" s="0" t="s">
        <v>4030</v>
      </c>
      <c r="G153" s="0" t="s">
        <v>4405</v>
      </c>
    </row>
    <row customHeight="1" ht="11.25">
      <c r="A154" s="383" t="s">
        <v>16</v>
      </c>
      <c r="B154" s="0" t="s">
        <v>4398</v>
      </c>
      <c r="C154" s="0" t="s">
        <v>4399</v>
      </c>
      <c r="D154" s="0" t="s">
        <v>4398</v>
      </c>
      <c r="E154" s="0" t="s">
        <v>4399</v>
      </c>
      <c r="F154" s="0" t="s">
        <v>4009</v>
      </c>
      <c r="G154" s="0" t="s">
        <v>4406</v>
      </c>
    </row>
    <row customHeight="1" ht="11.25">
      <c r="A155" s="383" t="s">
        <v>16</v>
      </c>
      <c r="B155" s="0" t="s">
        <v>4398</v>
      </c>
      <c r="C155" s="0" t="s">
        <v>4399</v>
      </c>
      <c r="D155" s="0" t="s">
        <v>4407</v>
      </c>
      <c r="E155" s="0" t="s">
        <v>4408</v>
      </c>
      <c r="F155" s="0" t="s">
        <v>4049</v>
      </c>
      <c r="G155" s="0" t="s">
        <v>4409</v>
      </c>
    </row>
    <row customHeight="1" ht="11.25">
      <c r="A156" s="383" t="s">
        <v>16</v>
      </c>
      <c r="B156" s="0" t="s">
        <v>4398</v>
      </c>
      <c r="C156" s="0" t="s">
        <v>4399</v>
      </c>
      <c r="D156" s="0" t="s">
        <v>4410</v>
      </c>
      <c r="E156" s="0" t="s">
        <v>4411</v>
      </c>
      <c r="F156" s="0" t="s">
        <v>4012</v>
      </c>
      <c r="G156" s="0" t="s">
        <v>4412</v>
      </c>
    </row>
    <row customHeight="1" ht="11.25">
      <c r="A157" s="383" t="s">
        <v>16</v>
      </c>
      <c r="B157" s="0" t="s">
        <v>4398</v>
      </c>
      <c r="C157" s="0" t="s">
        <v>4399</v>
      </c>
      <c r="D157" s="0" t="s">
        <v>4413</v>
      </c>
      <c r="E157" s="0" t="s">
        <v>4414</v>
      </c>
      <c r="F157" s="0" t="s">
        <v>4012</v>
      </c>
      <c r="G157" s="0" t="s">
        <v>4415</v>
      </c>
    </row>
    <row customHeight="1" ht="11.25">
      <c r="A158" s="383" t="s">
        <v>16</v>
      </c>
      <c r="B158" s="0" t="s">
        <v>4398</v>
      </c>
      <c r="C158" s="0" t="s">
        <v>4399</v>
      </c>
      <c r="D158" s="0" t="s">
        <v>4416</v>
      </c>
      <c r="E158" s="0" t="s">
        <v>4417</v>
      </c>
      <c r="F158" s="0" t="s">
        <v>4012</v>
      </c>
      <c r="G158" s="0" t="s">
        <v>4418</v>
      </c>
    </row>
    <row customHeight="1" ht="11.25">
      <c r="A159" s="383" t="s">
        <v>16</v>
      </c>
      <c r="B159" s="0" t="s">
        <v>4398</v>
      </c>
      <c r="C159" s="0" t="s">
        <v>4399</v>
      </c>
      <c r="D159" s="0" t="s">
        <v>4419</v>
      </c>
      <c r="E159" s="0" t="s">
        <v>4420</v>
      </c>
      <c r="F159" s="0" t="s">
        <v>4012</v>
      </c>
      <c r="G159" s="0" t="s">
        <v>4421</v>
      </c>
    </row>
    <row customHeight="1" ht="11.25">
      <c r="A160" s="383" t="s">
        <v>16</v>
      </c>
      <c r="B160" s="0" t="s">
        <v>4398</v>
      </c>
      <c r="C160" s="0" t="s">
        <v>4399</v>
      </c>
      <c r="D160" s="0" t="s">
        <v>4422</v>
      </c>
      <c r="E160" s="0" t="s">
        <v>4423</v>
      </c>
      <c r="F160" s="0" t="s">
        <v>4019</v>
      </c>
      <c r="G160" s="0" t="s">
        <v>4424</v>
      </c>
    </row>
    <row customHeight="1" ht="11.25">
      <c r="A161" s="383" t="s">
        <v>16</v>
      </c>
      <c r="B161" s="0" t="s">
        <v>4398</v>
      </c>
      <c r="C161" s="0" t="s">
        <v>4399</v>
      </c>
      <c r="D161" s="0" t="s">
        <v>4425</v>
      </c>
      <c r="E161" s="0" t="s">
        <v>4426</v>
      </c>
      <c r="F161" s="0" t="s">
        <v>4019</v>
      </c>
      <c r="G161" s="0" t="s">
        <v>4427</v>
      </c>
    </row>
    <row customHeight="1" ht="11.25">
      <c r="A162" s="383" t="s">
        <v>16</v>
      </c>
      <c r="B162" s="0" t="s">
        <v>4398</v>
      </c>
      <c r="C162" s="0" t="s">
        <v>4399</v>
      </c>
      <c r="D162" s="0" t="s">
        <v>4428</v>
      </c>
      <c r="E162" s="0" t="s">
        <v>4429</v>
      </c>
      <c r="F162" s="0" t="s">
        <v>4012</v>
      </c>
      <c r="G162" s="0" t="s">
        <v>4430</v>
      </c>
    </row>
    <row customHeight="1" ht="11.25">
      <c r="A163" s="383" t="s">
        <v>16</v>
      </c>
      <c r="B163" s="0" t="s">
        <v>4398</v>
      </c>
      <c r="C163" s="0" t="s">
        <v>4399</v>
      </c>
      <c r="D163" s="0" t="s">
        <v>4431</v>
      </c>
      <c r="E163" s="0" t="s">
        <v>4432</v>
      </c>
      <c r="F163" s="0" t="s">
        <v>4012</v>
      </c>
      <c r="G163" s="0" t="s">
        <v>4433</v>
      </c>
    </row>
    <row customHeight="1" ht="11.25">
      <c r="A164" s="383" t="s">
        <v>16</v>
      </c>
      <c r="B164" s="0" t="s">
        <v>4398</v>
      </c>
      <c r="C164" s="0" t="s">
        <v>4399</v>
      </c>
      <c r="D164" s="0" t="s">
        <v>4434</v>
      </c>
      <c r="E164" s="0" t="s">
        <v>4435</v>
      </c>
      <c r="F164" s="0" t="s">
        <v>4012</v>
      </c>
      <c r="G164" s="0" t="s">
        <v>4436</v>
      </c>
    </row>
    <row customHeight="1" ht="11.25">
      <c r="A165" s="383" t="s">
        <v>16</v>
      </c>
      <c r="B165" s="0" t="s">
        <v>4437</v>
      </c>
      <c r="C165" s="0" t="s">
        <v>4438</v>
      </c>
      <c r="D165" s="0" t="s">
        <v>4060</v>
      </c>
      <c r="E165" s="0" t="s">
        <v>4439</v>
      </c>
      <c r="F165" s="0" t="s">
        <v>4012</v>
      </c>
      <c r="G165" s="0" t="s">
        <v>4440</v>
      </c>
    </row>
    <row customHeight="1" ht="11.25">
      <c r="A166" s="383" t="s">
        <v>16</v>
      </c>
      <c r="B166" s="0" t="s">
        <v>4437</v>
      </c>
      <c r="C166" s="0" t="s">
        <v>4438</v>
      </c>
      <c r="D166" s="0" t="s">
        <v>4441</v>
      </c>
      <c r="E166" s="0" t="s">
        <v>4442</v>
      </c>
      <c r="F166" s="0" t="s">
        <v>4012</v>
      </c>
      <c r="G166" s="0" t="s">
        <v>4443</v>
      </c>
    </row>
    <row customHeight="1" ht="11.25">
      <c r="A167" s="383" t="s">
        <v>16</v>
      </c>
      <c r="B167" s="0" t="s">
        <v>4437</v>
      </c>
      <c r="C167" s="0" t="s">
        <v>4438</v>
      </c>
      <c r="D167" s="0" t="s">
        <v>4444</v>
      </c>
      <c r="E167" s="0" t="s">
        <v>4445</v>
      </c>
      <c r="F167" s="0" t="s">
        <v>4012</v>
      </c>
      <c r="G167" s="0" t="s">
        <v>4446</v>
      </c>
    </row>
    <row customHeight="1" ht="11.25">
      <c r="A168" s="383" t="s">
        <v>16</v>
      </c>
      <c r="B168" s="0" t="s">
        <v>4437</v>
      </c>
      <c r="C168" s="0" t="s">
        <v>4438</v>
      </c>
      <c r="D168" s="0" t="s">
        <v>4447</v>
      </c>
      <c r="E168" s="0" t="s">
        <v>4448</v>
      </c>
      <c r="F168" s="0" t="s">
        <v>4012</v>
      </c>
      <c r="G168" s="0" t="s">
        <v>4449</v>
      </c>
    </row>
    <row customHeight="1" ht="11.25">
      <c r="A169" s="383" t="s">
        <v>16</v>
      </c>
      <c r="B169" s="0" t="s">
        <v>4437</v>
      </c>
      <c r="C169" s="0" t="s">
        <v>4438</v>
      </c>
      <c r="D169" s="0" t="s">
        <v>4450</v>
      </c>
      <c r="E169" s="0" t="s">
        <v>4451</v>
      </c>
      <c r="F169" s="0" t="s">
        <v>4012</v>
      </c>
      <c r="G169" s="0" t="s">
        <v>4452</v>
      </c>
    </row>
    <row customHeight="1" ht="11.25">
      <c r="A170" s="383" t="s">
        <v>16</v>
      </c>
      <c r="B170" s="0" t="s">
        <v>4437</v>
      </c>
      <c r="C170" s="0" t="s">
        <v>4438</v>
      </c>
      <c r="D170" s="0" t="s">
        <v>4453</v>
      </c>
      <c r="E170" s="0" t="s">
        <v>4454</v>
      </c>
      <c r="F170" s="0" t="s">
        <v>4012</v>
      </c>
      <c r="G170" s="0" t="s">
        <v>4455</v>
      </c>
    </row>
    <row customHeight="1" ht="11.25">
      <c r="A171" s="383" t="s">
        <v>16</v>
      </c>
      <c r="B171" s="0" t="s">
        <v>4437</v>
      </c>
      <c r="C171" s="0" t="s">
        <v>4438</v>
      </c>
      <c r="D171" s="0" t="s">
        <v>4456</v>
      </c>
      <c r="E171" s="0" t="s">
        <v>4457</v>
      </c>
      <c r="F171" s="0" t="s">
        <v>4012</v>
      </c>
      <c r="G171" s="0" t="s">
        <v>4458</v>
      </c>
    </row>
    <row customHeight="1" ht="11.25">
      <c r="A172" s="383" t="s">
        <v>16</v>
      </c>
      <c r="B172" s="0" t="s">
        <v>4437</v>
      </c>
      <c r="C172" s="0" t="s">
        <v>4438</v>
      </c>
      <c r="D172" s="0" t="s">
        <v>4459</v>
      </c>
      <c r="E172" s="0" t="s">
        <v>4460</v>
      </c>
      <c r="F172" s="0" t="s">
        <v>4012</v>
      </c>
      <c r="G172" s="0" t="s">
        <v>4461</v>
      </c>
    </row>
    <row customHeight="1" ht="11.25">
      <c r="A173" s="383" t="s">
        <v>16</v>
      </c>
      <c r="B173" s="0" t="s">
        <v>4437</v>
      </c>
      <c r="C173" s="0" t="s">
        <v>4438</v>
      </c>
      <c r="D173" s="0" t="s">
        <v>4462</v>
      </c>
      <c r="E173" s="0" t="s">
        <v>4463</v>
      </c>
      <c r="F173" s="0" t="s">
        <v>4012</v>
      </c>
      <c r="G173" s="0" t="s">
        <v>4464</v>
      </c>
    </row>
    <row customHeight="1" ht="11.25">
      <c r="A174" s="383" t="s">
        <v>16</v>
      </c>
      <c r="B174" s="0" t="s">
        <v>4437</v>
      </c>
      <c r="C174" s="0" t="s">
        <v>4438</v>
      </c>
      <c r="D174" s="0" t="s">
        <v>4465</v>
      </c>
      <c r="E174" s="0" t="s">
        <v>4466</v>
      </c>
      <c r="F174" s="0" t="s">
        <v>4012</v>
      </c>
      <c r="G174" s="0" t="s">
        <v>4467</v>
      </c>
    </row>
    <row customHeight="1" ht="11.25">
      <c r="A175" s="383" t="s">
        <v>16</v>
      </c>
      <c r="B175" s="0" t="s">
        <v>4437</v>
      </c>
      <c r="C175" s="0" t="s">
        <v>4438</v>
      </c>
      <c r="D175" s="0" t="s">
        <v>4437</v>
      </c>
      <c r="E175" s="0" t="s">
        <v>4438</v>
      </c>
      <c r="F175" s="0" t="s">
        <v>4009</v>
      </c>
      <c r="G175" s="0" t="s">
        <v>4468</v>
      </c>
    </row>
    <row customHeight="1" ht="11.25">
      <c r="A176" s="383" t="s">
        <v>16</v>
      </c>
      <c r="B176" s="0" t="s">
        <v>4437</v>
      </c>
      <c r="C176" s="0" t="s">
        <v>4438</v>
      </c>
      <c r="D176" s="0" t="s">
        <v>4469</v>
      </c>
      <c r="E176" s="0" t="s">
        <v>4470</v>
      </c>
      <c r="F176" s="0" t="s">
        <v>4012</v>
      </c>
      <c r="G176" s="0" t="s">
        <v>4471</v>
      </c>
    </row>
    <row customHeight="1" ht="11.25">
      <c r="A177" s="383" t="s">
        <v>16</v>
      </c>
      <c r="B177" s="0" t="s">
        <v>4437</v>
      </c>
      <c r="C177" s="0" t="s">
        <v>4438</v>
      </c>
      <c r="D177" s="0" t="s">
        <v>4472</v>
      </c>
      <c r="E177" s="0" t="s">
        <v>4473</v>
      </c>
      <c r="F177" s="0" t="s">
        <v>4012</v>
      </c>
      <c r="G177" s="0" t="s">
        <v>4474</v>
      </c>
    </row>
    <row customHeight="1" ht="11.25">
      <c r="A178" s="383" t="s">
        <v>16</v>
      </c>
      <c r="B178" s="0" t="s">
        <v>4437</v>
      </c>
      <c r="C178" s="0" t="s">
        <v>4438</v>
      </c>
      <c r="D178" s="0" t="s">
        <v>4475</v>
      </c>
      <c r="E178" s="0" t="s">
        <v>4476</v>
      </c>
      <c r="F178" s="0" t="s">
        <v>4012</v>
      </c>
      <c r="G178" s="0" t="s">
        <v>4477</v>
      </c>
    </row>
    <row customHeight="1" ht="11.25">
      <c r="A179" s="383" t="s">
        <v>16</v>
      </c>
      <c r="B179" s="0" t="s">
        <v>4437</v>
      </c>
      <c r="C179" s="0" t="s">
        <v>4438</v>
      </c>
      <c r="D179" s="0" t="s">
        <v>4478</v>
      </c>
      <c r="E179" s="0" t="s">
        <v>4479</v>
      </c>
      <c r="F179" s="0" t="s">
        <v>4012</v>
      </c>
      <c r="G179" s="0" t="s">
        <v>4480</v>
      </c>
    </row>
    <row customHeight="1" ht="11.25">
      <c r="A180" s="383" t="s">
        <v>16</v>
      </c>
      <c r="B180" s="0" t="s">
        <v>4437</v>
      </c>
      <c r="C180" s="0" t="s">
        <v>4438</v>
      </c>
      <c r="D180" s="0" t="s">
        <v>4481</v>
      </c>
      <c r="E180" s="0" t="s">
        <v>4482</v>
      </c>
      <c r="F180" s="0" t="s">
        <v>4012</v>
      </c>
      <c r="G180" s="0" t="s">
        <v>4483</v>
      </c>
    </row>
    <row customHeight="1" ht="11.25">
      <c r="A181" s="383" t="s">
        <v>16</v>
      </c>
      <c r="B181" s="0" t="s">
        <v>4437</v>
      </c>
      <c r="C181" s="0" t="s">
        <v>4438</v>
      </c>
      <c r="D181" s="0" t="s">
        <v>4484</v>
      </c>
      <c r="E181" s="0" t="s">
        <v>4485</v>
      </c>
      <c r="F181" s="0" t="s">
        <v>4012</v>
      </c>
      <c r="G181" s="0" t="s">
        <v>4486</v>
      </c>
    </row>
    <row customHeight="1" ht="11.25">
      <c r="A182" s="383" t="s">
        <v>16</v>
      </c>
      <c r="B182" s="0" t="s">
        <v>4437</v>
      </c>
      <c r="C182" s="0" t="s">
        <v>4438</v>
      </c>
      <c r="D182" s="0" t="s">
        <v>4487</v>
      </c>
      <c r="E182" s="0" t="s">
        <v>4488</v>
      </c>
      <c r="F182" s="0" t="s">
        <v>4012</v>
      </c>
      <c r="G182" s="0" t="s">
        <v>4489</v>
      </c>
    </row>
    <row customHeight="1" ht="11.25">
      <c r="A183" s="383" t="s">
        <v>16</v>
      </c>
      <c r="B183" s="0" t="s">
        <v>4437</v>
      </c>
      <c r="C183" s="0" t="s">
        <v>4438</v>
      </c>
      <c r="D183" s="0" t="s">
        <v>4490</v>
      </c>
      <c r="E183" s="0" t="s">
        <v>4491</v>
      </c>
      <c r="F183" s="0" t="s">
        <v>4012</v>
      </c>
      <c r="G183" s="0" t="s">
        <v>4492</v>
      </c>
    </row>
    <row customHeight="1" ht="11.25">
      <c r="A184" s="383" t="s">
        <v>16</v>
      </c>
      <c r="B184" s="0" t="s">
        <v>4437</v>
      </c>
      <c r="C184" s="0" t="s">
        <v>4438</v>
      </c>
      <c r="D184" s="0" t="s">
        <v>4493</v>
      </c>
      <c r="E184" s="0" t="s">
        <v>4494</v>
      </c>
      <c r="F184" s="0" t="s">
        <v>4012</v>
      </c>
      <c r="G184" s="0" t="s">
        <v>4495</v>
      </c>
    </row>
    <row customHeight="1" ht="11.25">
      <c r="A185" s="383" t="s">
        <v>16</v>
      </c>
      <c r="B185" s="0" t="s">
        <v>4437</v>
      </c>
      <c r="C185" s="0" t="s">
        <v>4438</v>
      </c>
      <c r="D185" s="0" t="s">
        <v>4496</v>
      </c>
      <c r="E185" s="0" t="s">
        <v>4497</v>
      </c>
      <c r="F185" s="0" t="s">
        <v>4012</v>
      </c>
      <c r="G185" s="0" t="s">
        <v>4498</v>
      </c>
    </row>
    <row customHeight="1" ht="11.25">
      <c r="A186" s="383" t="s">
        <v>16</v>
      </c>
      <c r="B186" s="0" t="s">
        <v>4437</v>
      </c>
      <c r="C186" s="0" t="s">
        <v>4438</v>
      </c>
      <c r="D186" s="0" t="s">
        <v>4499</v>
      </c>
      <c r="E186" s="0" t="s">
        <v>4500</v>
      </c>
      <c r="F186" s="0" t="s">
        <v>4012</v>
      </c>
      <c r="G186" s="0" t="s">
        <v>4501</v>
      </c>
    </row>
    <row customHeight="1" ht="11.25">
      <c r="A187" s="383" t="s">
        <v>16</v>
      </c>
      <c r="B187" s="0" t="s">
        <v>4437</v>
      </c>
      <c r="C187" s="0" t="s">
        <v>4438</v>
      </c>
      <c r="D187" s="0" t="s">
        <v>4502</v>
      </c>
      <c r="E187" s="0" t="s">
        <v>4503</v>
      </c>
      <c r="F187" s="0" t="s">
        <v>4012</v>
      </c>
      <c r="G187" s="0" t="s">
        <v>4504</v>
      </c>
    </row>
    <row customHeight="1" ht="11.25">
      <c r="A188" s="383" t="s">
        <v>16</v>
      </c>
      <c r="B188" s="0" t="s">
        <v>4437</v>
      </c>
      <c r="C188" s="0" t="s">
        <v>4438</v>
      </c>
      <c r="D188" s="0" t="s">
        <v>4505</v>
      </c>
      <c r="E188" s="0" t="s">
        <v>4506</v>
      </c>
      <c r="F188" s="0" t="s">
        <v>4012</v>
      </c>
      <c r="G188" s="0" t="s">
        <v>4507</v>
      </c>
    </row>
    <row customHeight="1" ht="11.25">
      <c r="A189" s="383" t="s">
        <v>16</v>
      </c>
      <c r="B189" s="0" t="s">
        <v>4437</v>
      </c>
      <c r="C189" s="0" t="s">
        <v>4438</v>
      </c>
      <c r="D189" s="0" t="s">
        <v>4508</v>
      </c>
      <c r="E189" s="0" t="s">
        <v>4509</v>
      </c>
      <c r="F189" s="0" t="s">
        <v>4012</v>
      </c>
      <c r="G189" s="0" t="s">
        <v>4510</v>
      </c>
    </row>
    <row customHeight="1" ht="11.25">
      <c r="A190" s="383" t="s">
        <v>16</v>
      </c>
      <c r="B190" s="0" t="s">
        <v>4437</v>
      </c>
      <c r="C190" s="0" t="s">
        <v>4438</v>
      </c>
      <c r="D190" s="0" t="s">
        <v>4511</v>
      </c>
      <c r="E190" s="0" t="s">
        <v>4512</v>
      </c>
      <c r="F190" s="0" t="s">
        <v>4012</v>
      </c>
      <c r="G190" s="0" t="s">
        <v>4513</v>
      </c>
    </row>
    <row customHeight="1" ht="11.25">
      <c r="A191" s="383" t="s">
        <v>16</v>
      </c>
      <c r="B191" s="0" t="s">
        <v>4437</v>
      </c>
      <c r="C191" s="0" t="s">
        <v>4438</v>
      </c>
      <c r="D191" s="0" t="s">
        <v>4514</v>
      </c>
      <c r="E191" s="0" t="s">
        <v>4515</v>
      </c>
      <c r="F191" s="0" t="s">
        <v>4012</v>
      </c>
      <c r="G191" s="0" t="s">
        <v>4516</v>
      </c>
    </row>
    <row customHeight="1" ht="11.25">
      <c r="A192" s="383" t="s">
        <v>16</v>
      </c>
      <c r="B192" s="0" t="s">
        <v>4437</v>
      </c>
      <c r="C192" s="0" t="s">
        <v>4438</v>
      </c>
      <c r="D192" s="0" t="s">
        <v>4517</v>
      </c>
      <c r="E192" s="0" t="s">
        <v>4518</v>
      </c>
      <c r="F192" s="0" t="s">
        <v>4012</v>
      </c>
      <c r="G192" s="0" t="s">
        <v>4519</v>
      </c>
    </row>
    <row customHeight="1" ht="11.25">
      <c r="A193" s="383" t="s">
        <v>16</v>
      </c>
      <c r="B193" s="0" t="s">
        <v>4437</v>
      </c>
      <c r="C193" s="0" t="s">
        <v>4438</v>
      </c>
      <c r="D193" s="0" t="s">
        <v>4520</v>
      </c>
      <c r="E193" s="0" t="s">
        <v>4521</v>
      </c>
      <c r="F193" s="0" t="s">
        <v>4012</v>
      </c>
      <c r="G193" s="0" t="s">
        <v>4522</v>
      </c>
    </row>
    <row customHeight="1" ht="11.25">
      <c r="A194" s="383" t="s">
        <v>16</v>
      </c>
      <c r="B194" s="0" t="s">
        <v>4437</v>
      </c>
      <c r="C194" s="0" t="s">
        <v>4438</v>
      </c>
      <c r="D194" s="0" t="s">
        <v>4523</v>
      </c>
      <c r="E194" s="0" t="s">
        <v>4524</v>
      </c>
      <c r="F194" s="0" t="s">
        <v>4012</v>
      </c>
      <c r="G194" s="0" t="s">
        <v>4525</v>
      </c>
    </row>
    <row customHeight="1" ht="11.25">
      <c r="A195" s="383" t="s">
        <v>16</v>
      </c>
      <c r="B195" s="0" t="s">
        <v>4437</v>
      </c>
      <c r="C195" s="0" t="s">
        <v>4438</v>
      </c>
      <c r="D195" s="0" t="s">
        <v>4526</v>
      </c>
      <c r="E195" s="0" t="s">
        <v>4527</v>
      </c>
      <c r="F195" s="0" t="s">
        <v>4012</v>
      </c>
      <c r="G195" s="0" t="s">
        <v>4528</v>
      </c>
    </row>
    <row customHeight="1" ht="11.25">
      <c r="A196" s="383" t="s">
        <v>16</v>
      </c>
      <c r="B196" s="0" t="s">
        <v>4437</v>
      </c>
      <c r="C196" s="0" t="s">
        <v>4438</v>
      </c>
      <c r="D196" s="0" t="s">
        <v>4529</v>
      </c>
      <c r="E196" s="0" t="s">
        <v>4530</v>
      </c>
      <c r="F196" s="0" t="s">
        <v>4019</v>
      </c>
      <c r="G196" s="0" t="s">
        <v>4531</v>
      </c>
    </row>
    <row customHeight="1" ht="11.25">
      <c r="A197" s="383" t="s">
        <v>16</v>
      </c>
      <c r="B197" s="0" t="s">
        <v>4532</v>
      </c>
      <c r="C197" s="0" t="s">
        <v>4533</v>
      </c>
      <c r="D197" s="0" t="s">
        <v>4534</v>
      </c>
      <c r="E197" s="0" t="s">
        <v>4535</v>
      </c>
      <c r="F197" s="0" t="s">
        <v>4012</v>
      </c>
      <c r="G197" s="0" t="s">
        <v>4536</v>
      </c>
    </row>
    <row customHeight="1" ht="11.25">
      <c r="A198" s="383" t="s">
        <v>16</v>
      </c>
      <c r="B198" s="0" t="s">
        <v>4532</v>
      </c>
      <c r="C198" s="0" t="s">
        <v>4533</v>
      </c>
      <c r="D198" s="0" t="s">
        <v>4537</v>
      </c>
      <c r="E198" s="0" t="s">
        <v>4538</v>
      </c>
      <c r="F198" s="0" t="s">
        <v>4030</v>
      </c>
      <c r="G198" s="0" t="s">
        <v>4539</v>
      </c>
    </row>
    <row customHeight="1" ht="11.25">
      <c r="A199" s="383" t="s">
        <v>16</v>
      </c>
      <c r="B199" s="0" t="s">
        <v>4532</v>
      </c>
      <c r="C199" s="0" t="s">
        <v>4533</v>
      </c>
      <c r="D199" s="0" t="s">
        <v>4540</v>
      </c>
      <c r="E199" s="0" t="s">
        <v>4541</v>
      </c>
      <c r="F199" s="0" t="s">
        <v>4030</v>
      </c>
      <c r="G199" s="0" t="s">
        <v>4542</v>
      </c>
    </row>
    <row customHeight="1" ht="11.25">
      <c r="A200" s="383" t="s">
        <v>16</v>
      </c>
      <c r="B200" s="0" t="s">
        <v>4532</v>
      </c>
      <c r="C200" s="0" t="s">
        <v>4533</v>
      </c>
      <c r="D200" s="0" t="s">
        <v>4543</v>
      </c>
      <c r="E200" s="0" t="s">
        <v>4544</v>
      </c>
      <c r="F200" s="0" t="s">
        <v>4049</v>
      </c>
      <c r="G200" s="0" t="s">
        <v>4545</v>
      </c>
    </row>
    <row customHeight="1" ht="11.25">
      <c r="A201" s="383" t="s">
        <v>16</v>
      </c>
      <c r="B201" s="0" t="s">
        <v>4532</v>
      </c>
      <c r="C201" s="0" t="s">
        <v>4533</v>
      </c>
      <c r="D201" s="0" t="s">
        <v>4532</v>
      </c>
      <c r="E201" s="0" t="s">
        <v>4533</v>
      </c>
      <c r="F201" s="0" t="s">
        <v>4009</v>
      </c>
      <c r="G201" s="0" t="s">
        <v>4546</v>
      </c>
    </row>
    <row customHeight="1" ht="11.25">
      <c r="A202" s="383" t="s">
        <v>16</v>
      </c>
      <c r="B202" s="0" t="s">
        <v>4532</v>
      </c>
      <c r="C202" s="0" t="s">
        <v>4533</v>
      </c>
      <c r="D202" s="0" t="s">
        <v>4547</v>
      </c>
      <c r="E202" s="0" t="s">
        <v>4548</v>
      </c>
      <c r="F202" s="0" t="s">
        <v>4019</v>
      </c>
      <c r="G202" s="0" t="s">
        <v>4549</v>
      </c>
    </row>
    <row customHeight="1" ht="11.25">
      <c r="A203" s="383" t="s">
        <v>16</v>
      </c>
      <c r="B203" s="0" t="s">
        <v>4532</v>
      </c>
      <c r="C203" s="0" t="s">
        <v>4533</v>
      </c>
      <c r="D203" s="0" t="s">
        <v>4550</v>
      </c>
      <c r="E203" s="0" t="s">
        <v>4551</v>
      </c>
      <c r="F203" s="0" t="s">
        <v>4019</v>
      </c>
      <c r="G203" s="0" t="s">
        <v>4552</v>
      </c>
    </row>
    <row customHeight="1" ht="11.25">
      <c r="A204" s="383" t="s">
        <v>16</v>
      </c>
      <c r="B204" s="0" t="s">
        <v>4532</v>
      </c>
      <c r="C204" s="0" t="s">
        <v>4533</v>
      </c>
      <c r="D204" s="0" t="s">
        <v>4553</v>
      </c>
      <c r="E204" s="0" t="s">
        <v>4554</v>
      </c>
      <c r="F204" s="0" t="s">
        <v>4019</v>
      </c>
      <c r="G204" s="0" t="s">
        <v>4555</v>
      </c>
    </row>
    <row customHeight="1" ht="11.25">
      <c r="A205" s="383" t="s">
        <v>16</v>
      </c>
      <c r="B205" s="0" t="s">
        <v>4532</v>
      </c>
      <c r="C205" s="0" t="s">
        <v>4533</v>
      </c>
      <c r="D205" s="0" t="s">
        <v>4556</v>
      </c>
      <c r="E205" s="0" t="s">
        <v>4557</v>
      </c>
      <c r="F205" s="0" t="s">
        <v>4019</v>
      </c>
      <c r="G205" s="0" t="s">
        <v>4558</v>
      </c>
    </row>
    <row customHeight="1" ht="11.25">
      <c r="A206" s="383" t="s">
        <v>16</v>
      </c>
      <c r="B206" s="0" t="s">
        <v>4532</v>
      </c>
      <c r="C206" s="0" t="s">
        <v>4533</v>
      </c>
      <c r="D206" s="0" t="s">
        <v>4559</v>
      </c>
      <c r="E206" s="0" t="s">
        <v>4560</v>
      </c>
      <c r="F206" s="0" t="s">
        <v>4012</v>
      </c>
      <c r="G206" s="0" t="s">
        <v>4561</v>
      </c>
    </row>
    <row customHeight="1" ht="11.25">
      <c r="A207" s="383" t="s">
        <v>16</v>
      </c>
      <c r="B207" s="0" t="s">
        <v>4532</v>
      </c>
      <c r="C207" s="0" t="s">
        <v>4533</v>
      </c>
      <c r="D207" s="0" t="s">
        <v>4562</v>
      </c>
      <c r="E207" s="0" t="s">
        <v>4563</v>
      </c>
      <c r="F207" s="0" t="s">
        <v>4012</v>
      </c>
      <c r="G207" s="0" t="s">
        <v>4564</v>
      </c>
    </row>
    <row customHeight="1" ht="11.25">
      <c r="A208" s="383" t="s">
        <v>16</v>
      </c>
      <c r="B208" s="0" t="s">
        <v>4565</v>
      </c>
      <c r="C208" s="0" t="s">
        <v>4566</v>
      </c>
      <c r="D208" s="0" t="s">
        <v>4567</v>
      </c>
      <c r="E208" s="0" t="s">
        <v>4568</v>
      </c>
      <c r="F208" s="0" t="s">
        <v>4012</v>
      </c>
      <c r="G208" s="0" t="s">
        <v>4569</v>
      </c>
    </row>
    <row customHeight="1" ht="11.25">
      <c r="A209" s="383" t="s">
        <v>16</v>
      </c>
      <c r="B209" s="0" t="s">
        <v>4565</v>
      </c>
      <c r="C209" s="0" t="s">
        <v>4566</v>
      </c>
      <c r="D209" s="0" t="s">
        <v>4565</v>
      </c>
      <c r="E209" s="0" t="s">
        <v>4566</v>
      </c>
      <c r="F209" s="0" t="s">
        <v>4009</v>
      </c>
      <c r="G209" s="0" t="s">
        <v>4570</v>
      </c>
    </row>
    <row customHeight="1" ht="11.25">
      <c r="A210" s="383" t="s">
        <v>16</v>
      </c>
      <c r="B210" s="0" t="s">
        <v>4565</v>
      </c>
      <c r="C210" s="0" t="s">
        <v>4566</v>
      </c>
      <c r="D210" s="0" t="s">
        <v>4571</v>
      </c>
      <c r="E210" s="0" t="s">
        <v>4572</v>
      </c>
      <c r="F210" s="0" t="s">
        <v>4012</v>
      </c>
      <c r="G210" s="0" t="s">
        <v>4573</v>
      </c>
    </row>
    <row customHeight="1" ht="11.25">
      <c r="A211" s="383" t="s">
        <v>16</v>
      </c>
      <c r="B211" s="0" t="s">
        <v>4565</v>
      </c>
      <c r="C211" s="0" t="s">
        <v>4566</v>
      </c>
      <c r="D211" s="0" t="s">
        <v>4574</v>
      </c>
      <c r="E211" s="0" t="s">
        <v>4575</v>
      </c>
      <c r="F211" s="0" t="s">
        <v>4012</v>
      </c>
      <c r="G211" s="0" t="s">
        <v>4576</v>
      </c>
    </row>
    <row customHeight="1" ht="11.25">
      <c r="A212" s="383" t="s">
        <v>16</v>
      </c>
      <c r="B212" s="0" t="s">
        <v>4565</v>
      </c>
      <c r="C212" s="0" t="s">
        <v>4566</v>
      </c>
      <c r="D212" s="0" t="s">
        <v>4577</v>
      </c>
      <c r="E212" s="0" t="s">
        <v>4578</v>
      </c>
      <c r="F212" s="0" t="s">
        <v>4012</v>
      </c>
      <c r="G212" s="0" t="s">
        <v>4579</v>
      </c>
    </row>
    <row customHeight="1" ht="11.25">
      <c r="A213" s="383" t="s">
        <v>16</v>
      </c>
      <c r="B213" s="0" t="s">
        <v>4565</v>
      </c>
      <c r="C213" s="0" t="s">
        <v>4566</v>
      </c>
      <c r="D213" s="0" t="s">
        <v>4580</v>
      </c>
      <c r="E213" s="0" t="s">
        <v>4581</v>
      </c>
      <c r="F213" s="0" t="s">
        <v>4012</v>
      </c>
      <c r="G213" s="0" t="s">
        <v>4582</v>
      </c>
    </row>
    <row customHeight="1" ht="11.25">
      <c r="A214" s="383" t="s">
        <v>16</v>
      </c>
      <c r="B214" s="0" t="s">
        <v>4565</v>
      </c>
      <c r="C214" s="0" t="s">
        <v>4566</v>
      </c>
      <c r="D214" s="0" t="s">
        <v>4583</v>
      </c>
      <c r="E214" s="0" t="s">
        <v>4584</v>
      </c>
      <c r="F214" s="0" t="s">
        <v>4012</v>
      </c>
      <c r="G214" s="0" t="s">
        <v>4585</v>
      </c>
    </row>
    <row customHeight="1" ht="11.25">
      <c r="A215" s="383" t="s">
        <v>16</v>
      </c>
      <c r="B215" s="0" t="s">
        <v>4586</v>
      </c>
      <c r="C215" s="0" t="s">
        <v>4587</v>
      </c>
      <c r="D215" s="0" t="s">
        <v>4588</v>
      </c>
      <c r="E215" s="0" t="s">
        <v>4589</v>
      </c>
      <c r="F215" s="0" t="s">
        <v>4012</v>
      </c>
      <c r="G215" s="0" t="s">
        <v>4590</v>
      </c>
    </row>
    <row customHeight="1" ht="11.25">
      <c r="A216" s="383" t="s">
        <v>16</v>
      </c>
      <c r="B216" s="0" t="s">
        <v>4586</v>
      </c>
      <c r="C216" s="0" t="s">
        <v>4587</v>
      </c>
      <c r="D216" s="0" t="s">
        <v>4066</v>
      </c>
      <c r="E216" s="0" t="s">
        <v>4591</v>
      </c>
      <c r="F216" s="0" t="s">
        <v>4012</v>
      </c>
      <c r="G216" s="0" t="s">
        <v>4592</v>
      </c>
    </row>
    <row customHeight="1" ht="11.25">
      <c r="A217" s="383" t="s">
        <v>16</v>
      </c>
      <c r="B217" s="0" t="s">
        <v>4586</v>
      </c>
      <c r="C217" s="0" t="s">
        <v>4587</v>
      </c>
      <c r="D217" s="0" t="s">
        <v>4593</v>
      </c>
      <c r="E217" s="0" t="s">
        <v>4594</v>
      </c>
      <c r="F217" s="0" t="s">
        <v>4012</v>
      </c>
      <c r="G217" s="0" t="s">
        <v>4595</v>
      </c>
    </row>
    <row customHeight="1" ht="11.25">
      <c r="A218" s="383" t="s">
        <v>16</v>
      </c>
      <c r="B218" s="0" t="s">
        <v>4586</v>
      </c>
      <c r="C218" s="0" t="s">
        <v>4587</v>
      </c>
      <c r="D218" s="0" t="s">
        <v>4596</v>
      </c>
      <c r="E218" s="0" t="s">
        <v>4597</v>
      </c>
      <c r="F218" s="0" t="s">
        <v>4012</v>
      </c>
      <c r="G218" s="0" t="s">
        <v>4598</v>
      </c>
    </row>
    <row customHeight="1" ht="11.25">
      <c r="A219" s="383" t="s">
        <v>16</v>
      </c>
      <c r="B219" s="0" t="s">
        <v>4586</v>
      </c>
      <c r="C219" s="0" t="s">
        <v>4587</v>
      </c>
      <c r="D219" s="0" t="s">
        <v>4599</v>
      </c>
      <c r="E219" s="0" t="s">
        <v>4600</v>
      </c>
      <c r="F219" s="0" t="s">
        <v>4012</v>
      </c>
      <c r="G219" s="0" t="s">
        <v>4601</v>
      </c>
    </row>
    <row customHeight="1" ht="11.25">
      <c r="A220" s="383" t="s">
        <v>16</v>
      </c>
      <c r="B220" s="0" t="s">
        <v>4586</v>
      </c>
      <c r="C220" s="0" t="s">
        <v>4587</v>
      </c>
      <c r="D220" s="0" t="s">
        <v>4602</v>
      </c>
      <c r="E220" s="0" t="s">
        <v>4603</v>
      </c>
      <c r="F220" s="0" t="s">
        <v>4012</v>
      </c>
      <c r="G220" s="0" t="s">
        <v>4604</v>
      </c>
    </row>
    <row customHeight="1" ht="11.25">
      <c r="A221" s="383" t="s">
        <v>16</v>
      </c>
      <c r="B221" s="0" t="s">
        <v>4586</v>
      </c>
      <c r="C221" s="0" t="s">
        <v>4587</v>
      </c>
      <c r="D221" s="0" t="s">
        <v>4605</v>
      </c>
      <c r="E221" s="0" t="s">
        <v>4606</v>
      </c>
      <c r="F221" s="0" t="s">
        <v>4012</v>
      </c>
      <c r="G221" s="0" t="s">
        <v>4607</v>
      </c>
    </row>
    <row customHeight="1" ht="11.25">
      <c r="A222" s="383" t="s">
        <v>16</v>
      </c>
      <c r="B222" s="0" t="s">
        <v>4586</v>
      </c>
      <c r="C222" s="0" t="s">
        <v>4587</v>
      </c>
      <c r="D222" s="0" t="s">
        <v>4608</v>
      </c>
      <c r="E222" s="0" t="s">
        <v>4609</v>
      </c>
      <c r="F222" s="0" t="s">
        <v>4012</v>
      </c>
      <c r="G222" s="0" t="s">
        <v>4610</v>
      </c>
    </row>
    <row customHeight="1" ht="11.25">
      <c r="A223" s="383" t="s">
        <v>16</v>
      </c>
      <c r="B223" s="0" t="s">
        <v>4586</v>
      </c>
      <c r="C223" s="0" t="s">
        <v>4587</v>
      </c>
      <c r="D223" s="0" t="s">
        <v>4586</v>
      </c>
      <c r="E223" s="0" t="s">
        <v>4587</v>
      </c>
      <c r="F223" s="0" t="s">
        <v>4009</v>
      </c>
      <c r="G223" s="0" t="s">
        <v>4611</v>
      </c>
    </row>
    <row customHeight="1" ht="11.25">
      <c r="A224" s="383" t="s">
        <v>16</v>
      </c>
      <c r="B224" s="0" t="s">
        <v>4586</v>
      </c>
      <c r="C224" s="0" t="s">
        <v>4587</v>
      </c>
      <c r="D224" s="0" t="s">
        <v>4612</v>
      </c>
      <c r="E224" s="0" t="s">
        <v>4613</v>
      </c>
      <c r="F224" s="0" t="s">
        <v>4012</v>
      </c>
      <c r="G224" s="0" t="s">
        <v>4614</v>
      </c>
    </row>
    <row customHeight="1" ht="11.25">
      <c r="A225" s="383" t="s">
        <v>16</v>
      </c>
      <c r="B225" s="0" t="s">
        <v>4586</v>
      </c>
      <c r="C225" s="0" t="s">
        <v>4587</v>
      </c>
      <c r="D225" s="0" t="s">
        <v>4615</v>
      </c>
      <c r="E225" s="0" t="s">
        <v>4616</v>
      </c>
      <c r="F225" s="0" t="s">
        <v>4012</v>
      </c>
      <c r="G225" s="0" t="s">
        <v>4617</v>
      </c>
    </row>
    <row customHeight="1" ht="11.25">
      <c r="A226" s="383" t="s">
        <v>16</v>
      </c>
      <c r="B226" s="0" t="s">
        <v>4586</v>
      </c>
      <c r="C226" s="0" t="s">
        <v>4587</v>
      </c>
      <c r="D226" s="0" t="s">
        <v>4618</v>
      </c>
      <c r="E226" s="0" t="s">
        <v>4619</v>
      </c>
      <c r="F226" s="0" t="s">
        <v>4012</v>
      </c>
      <c r="G226" s="0" t="s">
        <v>4620</v>
      </c>
    </row>
    <row customHeight="1" ht="11.25">
      <c r="A227" s="383" t="s">
        <v>16</v>
      </c>
      <c r="B227" s="0" t="s">
        <v>4586</v>
      </c>
      <c r="C227" s="0" t="s">
        <v>4587</v>
      </c>
      <c r="D227" s="0" t="s">
        <v>4621</v>
      </c>
      <c r="E227" s="0" t="s">
        <v>4622</v>
      </c>
      <c r="F227" s="0" t="s">
        <v>4012</v>
      </c>
      <c r="G227" s="0" t="s">
        <v>4623</v>
      </c>
    </row>
    <row customHeight="1" ht="11.25">
      <c r="A228" s="383" t="s">
        <v>16</v>
      </c>
      <c r="B228" s="0" t="s">
        <v>4586</v>
      </c>
      <c r="C228" s="0" t="s">
        <v>4587</v>
      </c>
      <c r="D228" s="0" t="s">
        <v>4624</v>
      </c>
      <c r="E228" s="0" t="s">
        <v>4625</v>
      </c>
      <c r="F228" s="0" t="s">
        <v>4012</v>
      </c>
      <c r="G228" s="0" t="s">
        <v>4626</v>
      </c>
    </row>
    <row customHeight="1" ht="11.25">
      <c r="A229" s="383" t="s">
        <v>16</v>
      </c>
      <c r="B229" s="0" t="s">
        <v>4586</v>
      </c>
      <c r="C229" s="0" t="s">
        <v>4587</v>
      </c>
      <c r="D229" s="0" t="s">
        <v>4627</v>
      </c>
      <c r="E229" s="0" t="s">
        <v>4628</v>
      </c>
      <c r="F229" s="0" t="s">
        <v>4012</v>
      </c>
      <c r="G229" s="0" t="s">
        <v>4629</v>
      </c>
    </row>
    <row customHeight="1" ht="11.25">
      <c r="A230" s="383" t="s">
        <v>16</v>
      </c>
      <c r="B230" s="0" t="s">
        <v>4586</v>
      </c>
      <c r="C230" s="0" t="s">
        <v>4587</v>
      </c>
      <c r="D230" s="0" t="s">
        <v>4630</v>
      </c>
      <c r="E230" s="0" t="s">
        <v>4631</v>
      </c>
      <c r="F230" s="0" t="s">
        <v>4012</v>
      </c>
      <c r="G230" s="0" t="s">
        <v>4632</v>
      </c>
    </row>
    <row customHeight="1" ht="11.25">
      <c r="A231" s="383" t="s">
        <v>16</v>
      </c>
      <c r="B231" s="0" t="s">
        <v>4586</v>
      </c>
      <c r="C231" s="0" t="s">
        <v>4587</v>
      </c>
      <c r="D231" s="0" t="s">
        <v>4633</v>
      </c>
      <c r="E231" s="0" t="s">
        <v>4634</v>
      </c>
      <c r="F231" s="0" t="s">
        <v>4012</v>
      </c>
      <c r="G231" s="0" t="s">
        <v>4635</v>
      </c>
    </row>
    <row customHeight="1" ht="11.25">
      <c r="A232" s="383" t="s">
        <v>16</v>
      </c>
      <c r="B232" s="0" t="s">
        <v>4586</v>
      </c>
      <c r="C232" s="0" t="s">
        <v>4587</v>
      </c>
      <c r="D232" s="0" t="s">
        <v>4636</v>
      </c>
      <c r="E232" s="0" t="s">
        <v>4637</v>
      </c>
      <c r="F232" s="0" t="s">
        <v>4012</v>
      </c>
      <c r="G232" s="0" t="s">
        <v>4638</v>
      </c>
    </row>
    <row customHeight="1" ht="11.25">
      <c r="A233" s="383" t="s">
        <v>16</v>
      </c>
      <c r="B233" s="0" t="s">
        <v>4586</v>
      </c>
      <c r="C233" s="0" t="s">
        <v>4587</v>
      </c>
      <c r="D233" s="0" t="s">
        <v>4639</v>
      </c>
      <c r="E233" s="0" t="s">
        <v>4640</v>
      </c>
      <c r="F233" s="0" t="s">
        <v>4012</v>
      </c>
      <c r="G233" s="0" t="s">
        <v>4641</v>
      </c>
    </row>
    <row customHeight="1" ht="11.25">
      <c r="A234" s="383" t="s">
        <v>16</v>
      </c>
      <c r="B234" s="0" t="s">
        <v>4586</v>
      </c>
      <c r="C234" s="0" t="s">
        <v>4587</v>
      </c>
      <c r="D234" s="0" t="s">
        <v>4642</v>
      </c>
      <c r="E234" s="0" t="s">
        <v>4643</v>
      </c>
      <c r="F234" s="0" t="s">
        <v>4012</v>
      </c>
      <c r="G234" s="0" t="s">
        <v>4644</v>
      </c>
    </row>
    <row customHeight="1" ht="11.25">
      <c r="A235" s="383" t="s">
        <v>16</v>
      </c>
      <c r="B235" s="0" t="s">
        <v>100</v>
      </c>
      <c r="C235" s="0" t="s">
        <v>4645</v>
      </c>
      <c r="D235" s="0" t="s">
        <v>101</v>
      </c>
      <c r="E235" s="0" t="s">
        <v>102</v>
      </c>
      <c r="F235" s="0" t="s">
        <v>4030</v>
      </c>
      <c r="G235" s="0" t="s">
        <v>99</v>
      </c>
    </row>
    <row customHeight="1" ht="11.25">
      <c r="A236" s="383" t="s">
        <v>16</v>
      </c>
      <c r="B236" s="0" t="s">
        <v>100</v>
      </c>
      <c r="C236" s="0" t="s">
        <v>4645</v>
      </c>
      <c r="D236" s="0" t="s">
        <v>4646</v>
      </c>
      <c r="E236" s="0" t="s">
        <v>4647</v>
      </c>
      <c r="F236" s="0" t="s">
        <v>4012</v>
      </c>
      <c r="G236" s="0" t="s">
        <v>4648</v>
      </c>
    </row>
    <row customHeight="1" ht="11.25">
      <c r="A237" s="383" t="s">
        <v>16</v>
      </c>
      <c r="B237" s="0" t="s">
        <v>100</v>
      </c>
      <c r="C237" s="0" t="s">
        <v>4645</v>
      </c>
      <c r="D237" s="0" t="s">
        <v>4649</v>
      </c>
      <c r="E237" s="0" t="s">
        <v>4650</v>
      </c>
      <c r="F237" s="0" t="s">
        <v>4049</v>
      </c>
      <c r="G237" s="0" t="s">
        <v>4651</v>
      </c>
    </row>
    <row customHeight="1" ht="11.25">
      <c r="A238" s="383" t="s">
        <v>16</v>
      </c>
      <c r="B238" s="0" t="s">
        <v>100</v>
      </c>
      <c r="C238" s="0" t="s">
        <v>4645</v>
      </c>
      <c r="D238" s="0" t="s">
        <v>100</v>
      </c>
      <c r="E238" s="0" t="s">
        <v>4645</v>
      </c>
      <c r="F238" s="0" t="s">
        <v>4009</v>
      </c>
      <c r="G238" s="0" t="s">
        <v>4652</v>
      </c>
    </row>
    <row customHeight="1" ht="11.25">
      <c r="A239" s="383" t="s">
        <v>16</v>
      </c>
      <c r="B239" s="0" t="s">
        <v>100</v>
      </c>
      <c r="C239" s="0" t="s">
        <v>4645</v>
      </c>
      <c r="D239" s="0" t="s">
        <v>112</v>
      </c>
      <c r="E239" s="0" t="s">
        <v>113</v>
      </c>
      <c r="F239" s="0" t="s">
        <v>4019</v>
      </c>
      <c r="G239" s="0" t="s">
        <v>111</v>
      </c>
    </row>
    <row customHeight="1" ht="11.25">
      <c r="A240" s="383" t="s">
        <v>16</v>
      </c>
      <c r="B240" s="0" t="s">
        <v>100</v>
      </c>
      <c r="C240" s="0" t="s">
        <v>4645</v>
      </c>
      <c r="D240" s="0" t="s">
        <v>4653</v>
      </c>
      <c r="E240" s="0" t="s">
        <v>4654</v>
      </c>
      <c r="F240" s="0" t="s">
        <v>4019</v>
      </c>
      <c r="G240" s="0" t="s">
        <v>4655</v>
      </c>
    </row>
    <row customHeight="1" ht="11.25">
      <c r="A241" s="383" t="s">
        <v>16</v>
      </c>
      <c r="B241" s="0" t="s">
        <v>100</v>
      </c>
      <c r="C241" s="0" t="s">
        <v>4645</v>
      </c>
      <c r="D241" s="0" t="s">
        <v>108</v>
      </c>
      <c r="E241" s="0" t="s">
        <v>109</v>
      </c>
      <c r="F241" s="0" t="s">
        <v>4019</v>
      </c>
      <c r="G241" s="0" t="s">
        <v>107</v>
      </c>
    </row>
    <row customHeight="1" ht="11.25">
      <c r="A242" s="383" t="s">
        <v>16</v>
      </c>
      <c r="B242" s="0" t="s">
        <v>100</v>
      </c>
      <c r="C242" s="0" t="s">
        <v>4645</v>
      </c>
      <c r="D242" s="0" t="s">
        <v>4656</v>
      </c>
      <c r="E242" s="0" t="s">
        <v>4657</v>
      </c>
      <c r="F242" s="0" t="s">
        <v>4019</v>
      </c>
      <c r="G242" s="0" t="s">
        <v>4658</v>
      </c>
    </row>
    <row customHeight="1" ht="11.25">
      <c r="A243" s="383" t="s">
        <v>16</v>
      </c>
      <c r="B243" s="0" t="s">
        <v>100</v>
      </c>
      <c r="C243" s="0" t="s">
        <v>4645</v>
      </c>
      <c r="D243" s="0" t="s">
        <v>116</v>
      </c>
      <c r="E243" s="0" t="s">
        <v>117</v>
      </c>
      <c r="F243" s="0" t="s">
        <v>4019</v>
      </c>
      <c r="G243" s="0" t="s">
        <v>115</v>
      </c>
    </row>
    <row customHeight="1" ht="11.25">
      <c r="A244" s="383" t="s">
        <v>16</v>
      </c>
      <c r="B244" s="0" t="s">
        <v>4659</v>
      </c>
      <c r="C244" s="0" t="s">
        <v>4660</v>
      </c>
      <c r="D244" s="0" t="s">
        <v>4661</v>
      </c>
      <c r="E244" s="0" t="s">
        <v>4662</v>
      </c>
      <c r="F244" s="0" t="s">
        <v>4012</v>
      </c>
      <c r="G244" s="0" t="s">
        <v>4663</v>
      </c>
    </row>
    <row customHeight="1" ht="11.25">
      <c r="A245" s="383" t="s">
        <v>16</v>
      </c>
      <c r="B245" s="0" t="s">
        <v>4659</v>
      </c>
      <c r="C245" s="0" t="s">
        <v>4660</v>
      </c>
      <c r="D245" s="0" t="s">
        <v>4659</v>
      </c>
      <c r="E245" s="0" t="s">
        <v>4660</v>
      </c>
      <c r="F245" s="0" t="s">
        <v>4009</v>
      </c>
      <c r="G245" s="0" t="s">
        <v>4664</v>
      </c>
    </row>
    <row customHeight="1" ht="11.25">
      <c r="A246" s="383" t="s">
        <v>16</v>
      </c>
      <c r="B246" s="0" t="s">
        <v>4659</v>
      </c>
      <c r="C246" s="0" t="s">
        <v>4660</v>
      </c>
      <c r="D246" s="0" t="s">
        <v>4665</v>
      </c>
      <c r="E246" s="0" t="s">
        <v>4666</v>
      </c>
      <c r="F246" s="0" t="s">
        <v>4019</v>
      </c>
      <c r="G246" s="0" t="s">
        <v>4667</v>
      </c>
    </row>
    <row customHeight="1" ht="11.25">
      <c r="A247" s="383" t="s">
        <v>16</v>
      </c>
      <c r="B247" s="0" t="s">
        <v>4659</v>
      </c>
      <c r="C247" s="0" t="s">
        <v>4660</v>
      </c>
      <c r="D247" s="0" t="s">
        <v>4668</v>
      </c>
      <c r="E247" s="0" t="s">
        <v>4669</v>
      </c>
      <c r="F247" s="0" t="s">
        <v>4012</v>
      </c>
      <c r="G247" s="0" t="s">
        <v>4670</v>
      </c>
    </row>
    <row customHeight="1" ht="11.25">
      <c r="A248" s="383" t="s">
        <v>16</v>
      </c>
      <c r="B248" s="0" t="s">
        <v>4659</v>
      </c>
      <c r="C248" s="0" t="s">
        <v>4660</v>
      </c>
      <c r="D248" s="0" t="s">
        <v>4671</v>
      </c>
      <c r="E248" s="0" t="s">
        <v>4672</v>
      </c>
      <c r="F248" s="0" t="s">
        <v>4012</v>
      </c>
      <c r="G248" s="0" t="s">
        <v>4673</v>
      </c>
    </row>
    <row customHeight="1" ht="11.25">
      <c r="A249" s="383" t="s">
        <v>16</v>
      </c>
      <c r="B249" s="0" t="s">
        <v>4674</v>
      </c>
      <c r="C249" s="0" t="s">
        <v>4675</v>
      </c>
      <c r="D249" s="0" t="s">
        <v>4676</v>
      </c>
      <c r="E249" s="0" t="s">
        <v>4677</v>
      </c>
      <c r="F249" s="0" t="s">
        <v>4012</v>
      </c>
      <c r="G249" s="0" t="s">
        <v>4678</v>
      </c>
    </row>
    <row customHeight="1" ht="11.25">
      <c r="A250" s="383" t="s">
        <v>16</v>
      </c>
      <c r="B250" s="0" t="s">
        <v>4674</v>
      </c>
      <c r="C250" s="0" t="s">
        <v>4675</v>
      </c>
      <c r="D250" s="0" t="s">
        <v>4679</v>
      </c>
      <c r="E250" s="0" t="s">
        <v>4680</v>
      </c>
      <c r="F250" s="0" t="s">
        <v>4012</v>
      </c>
      <c r="G250" s="0" t="s">
        <v>4681</v>
      </c>
    </row>
    <row customHeight="1" ht="11.25">
      <c r="A251" s="383" t="s">
        <v>16</v>
      </c>
      <c r="B251" s="0" t="s">
        <v>4674</v>
      </c>
      <c r="C251" s="0" t="s">
        <v>4675</v>
      </c>
      <c r="D251" s="0" t="s">
        <v>4682</v>
      </c>
      <c r="E251" s="0" t="s">
        <v>4683</v>
      </c>
      <c r="F251" s="0" t="s">
        <v>4030</v>
      </c>
      <c r="G251" s="0" t="s">
        <v>4684</v>
      </c>
    </row>
    <row customHeight="1" ht="11.25">
      <c r="A252" s="383" t="s">
        <v>16</v>
      </c>
      <c r="B252" s="0" t="s">
        <v>4674</v>
      </c>
      <c r="C252" s="0" t="s">
        <v>4675</v>
      </c>
      <c r="D252" s="0" t="s">
        <v>4685</v>
      </c>
      <c r="E252" s="0" t="s">
        <v>4686</v>
      </c>
      <c r="F252" s="0" t="s">
        <v>4012</v>
      </c>
      <c r="G252" s="0" t="s">
        <v>4687</v>
      </c>
    </row>
    <row customHeight="1" ht="11.25">
      <c r="A253" s="383" t="s">
        <v>16</v>
      </c>
      <c r="B253" s="0" t="s">
        <v>4674</v>
      </c>
      <c r="C253" s="0" t="s">
        <v>4675</v>
      </c>
      <c r="D253" s="0" t="s">
        <v>4593</v>
      </c>
      <c r="E253" s="0" t="s">
        <v>4688</v>
      </c>
      <c r="F253" s="0" t="s">
        <v>4012</v>
      </c>
      <c r="G253" s="0" t="s">
        <v>4689</v>
      </c>
    </row>
    <row customHeight="1" ht="11.25">
      <c r="A254" s="383" t="s">
        <v>16</v>
      </c>
      <c r="B254" s="0" t="s">
        <v>4674</v>
      </c>
      <c r="C254" s="0" t="s">
        <v>4675</v>
      </c>
      <c r="D254" s="0" t="s">
        <v>4690</v>
      </c>
      <c r="E254" s="0" t="s">
        <v>4691</v>
      </c>
      <c r="F254" s="0" t="s">
        <v>4012</v>
      </c>
      <c r="G254" s="0" t="s">
        <v>4692</v>
      </c>
    </row>
    <row customHeight="1" ht="11.25">
      <c r="A255" s="383" t="s">
        <v>16</v>
      </c>
      <c r="B255" s="0" t="s">
        <v>4674</v>
      </c>
      <c r="C255" s="0" t="s">
        <v>4675</v>
      </c>
      <c r="D255" s="0" t="s">
        <v>4693</v>
      </c>
      <c r="E255" s="0" t="s">
        <v>4694</v>
      </c>
      <c r="F255" s="0" t="s">
        <v>4012</v>
      </c>
      <c r="G255" s="0" t="s">
        <v>4695</v>
      </c>
    </row>
    <row customHeight="1" ht="11.25">
      <c r="A256" s="383" t="s">
        <v>16</v>
      </c>
      <c r="B256" s="0" t="s">
        <v>4674</v>
      </c>
      <c r="C256" s="0" t="s">
        <v>4675</v>
      </c>
      <c r="D256" s="0" t="s">
        <v>4696</v>
      </c>
      <c r="E256" s="0" t="s">
        <v>4697</v>
      </c>
      <c r="F256" s="0" t="s">
        <v>4012</v>
      </c>
      <c r="G256" s="0" t="s">
        <v>4698</v>
      </c>
    </row>
    <row customHeight="1" ht="11.25">
      <c r="A257" s="383" t="s">
        <v>16</v>
      </c>
      <c r="B257" s="0" t="s">
        <v>4674</v>
      </c>
      <c r="C257" s="0" t="s">
        <v>4675</v>
      </c>
      <c r="D257" s="0" t="s">
        <v>4699</v>
      </c>
      <c r="E257" s="0" t="s">
        <v>4700</v>
      </c>
      <c r="F257" s="0" t="s">
        <v>4012</v>
      </c>
      <c r="G257" s="0" t="s">
        <v>4701</v>
      </c>
    </row>
    <row customHeight="1" ht="11.25">
      <c r="A258" s="383" t="s">
        <v>16</v>
      </c>
      <c r="B258" s="0" t="s">
        <v>4674</v>
      </c>
      <c r="C258" s="0" t="s">
        <v>4675</v>
      </c>
      <c r="D258" s="0" t="s">
        <v>4702</v>
      </c>
      <c r="E258" s="0" t="s">
        <v>4703</v>
      </c>
      <c r="F258" s="0" t="s">
        <v>4012</v>
      </c>
      <c r="G258" s="0" t="s">
        <v>4704</v>
      </c>
    </row>
    <row customHeight="1" ht="11.25">
      <c r="A259" s="383" t="s">
        <v>16</v>
      </c>
      <c r="B259" s="0" t="s">
        <v>4674</v>
      </c>
      <c r="C259" s="0" t="s">
        <v>4675</v>
      </c>
      <c r="D259" s="0" t="s">
        <v>4705</v>
      </c>
      <c r="E259" s="0" t="s">
        <v>4706</v>
      </c>
      <c r="F259" s="0" t="s">
        <v>4012</v>
      </c>
      <c r="G259" s="0" t="s">
        <v>4707</v>
      </c>
    </row>
    <row customHeight="1" ht="11.25">
      <c r="A260" s="383" t="s">
        <v>16</v>
      </c>
      <c r="B260" s="0" t="s">
        <v>4674</v>
      </c>
      <c r="C260" s="0" t="s">
        <v>4675</v>
      </c>
      <c r="D260" s="0" t="s">
        <v>4708</v>
      </c>
      <c r="E260" s="0" t="s">
        <v>4709</v>
      </c>
      <c r="F260" s="0" t="s">
        <v>4012</v>
      </c>
      <c r="G260" s="0" t="s">
        <v>4710</v>
      </c>
    </row>
    <row customHeight="1" ht="11.25">
      <c r="A261" s="383" t="s">
        <v>16</v>
      </c>
      <c r="B261" s="0" t="s">
        <v>4674</v>
      </c>
      <c r="C261" s="0" t="s">
        <v>4675</v>
      </c>
      <c r="D261" s="0" t="s">
        <v>4674</v>
      </c>
      <c r="E261" s="0" t="s">
        <v>4675</v>
      </c>
      <c r="F261" s="0" t="s">
        <v>4009</v>
      </c>
      <c r="G261" s="0" t="s">
        <v>4711</v>
      </c>
    </row>
    <row customHeight="1" ht="11.25">
      <c r="A262" s="383" t="s">
        <v>16</v>
      </c>
      <c r="B262" s="0" t="s">
        <v>4674</v>
      </c>
      <c r="C262" s="0" t="s">
        <v>4675</v>
      </c>
      <c r="D262" s="0" t="s">
        <v>4325</v>
      </c>
      <c r="E262" s="0" t="s">
        <v>4712</v>
      </c>
      <c r="F262" s="0" t="s">
        <v>4012</v>
      </c>
      <c r="G262" s="0" t="s">
        <v>4713</v>
      </c>
    </row>
    <row customHeight="1" ht="11.25">
      <c r="A263" s="383" t="s">
        <v>16</v>
      </c>
      <c r="B263" s="0" t="s">
        <v>4674</v>
      </c>
      <c r="C263" s="0" t="s">
        <v>4675</v>
      </c>
      <c r="D263" s="0" t="s">
        <v>4714</v>
      </c>
      <c r="E263" s="0" t="s">
        <v>4715</v>
      </c>
      <c r="F263" s="0" t="s">
        <v>4012</v>
      </c>
      <c r="G263" s="0" t="s">
        <v>4716</v>
      </c>
    </row>
    <row customHeight="1" ht="11.25">
      <c r="A264" s="383" t="s">
        <v>16</v>
      </c>
      <c r="B264" s="0" t="s">
        <v>4674</v>
      </c>
      <c r="C264" s="0" t="s">
        <v>4675</v>
      </c>
      <c r="D264" s="0" t="s">
        <v>4717</v>
      </c>
      <c r="E264" s="0" t="s">
        <v>4718</v>
      </c>
      <c r="F264" s="0" t="s">
        <v>4012</v>
      </c>
      <c r="G264" s="0" t="s">
        <v>4719</v>
      </c>
    </row>
    <row customHeight="1" ht="11.25">
      <c r="A265" s="383" t="s">
        <v>16</v>
      </c>
      <c r="B265" s="0" t="s">
        <v>4674</v>
      </c>
      <c r="C265" s="0" t="s">
        <v>4675</v>
      </c>
      <c r="D265" s="0" t="s">
        <v>4720</v>
      </c>
      <c r="E265" s="0" t="s">
        <v>4721</v>
      </c>
      <c r="F265" s="0" t="s">
        <v>4012</v>
      </c>
      <c r="G265" s="0" t="s">
        <v>4722</v>
      </c>
    </row>
    <row customHeight="1" ht="11.25">
      <c r="A266" s="383" t="s">
        <v>16</v>
      </c>
      <c r="B266" s="0" t="s">
        <v>4674</v>
      </c>
      <c r="C266" s="0" t="s">
        <v>4675</v>
      </c>
      <c r="D266" s="0" t="s">
        <v>4723</v>
      </c>
      <c r="E266" s="0" t="s">
        <v>4724</v>
      </c>
      <c r="F266" s="0" t="s">
        <v>4012</v>
      </c>
      <c r="G266" s="0" t="s">
        <v>4725</v>
      </c>
    </row>
    <row customHeight="1" ht="11.25">
      <c r="A267" s="383" t="s">
        <v>16</v>
      </c>
      <c r="B267" s="0" t="s">
        <v>4674</v>
      </c>
      <c r="C267" s="0" t="s">
        <v>4675</v>
      </c>
      <c r="D267" s="0" t="s">
        <v>4726</v>
      </c>
      <c r="E267" s="0" t="s">
        <v>4727</v>
      </c>
      <c r="F267" s="0" t="s">
        <v>4012</v>
      </c>
      <c r="G267" s="0" t="s">
        <v>4728</v>
      </c>
    </row>
    <row customHeight="1" ht="11.25">
      <c r="A268" s="383" t="s">
        <v>16</v>
      </c>
      <c r="B268" s="0" t="s">
        <v>4674</v>
      </c>
      <c r="C268" s="0" t="s">
        <v>4675</v>
      </c>
      <c r="D268" s="0" t="s">
        <v>4729</v>
      </c>
      <c r="E268" s="0" t="s">
        <v>4730</v>
      </c>
      <c r="F268" s="0" t="s">
        <v>4012</v>
      </c>
      <c r="G268" s="0" t="s">
        <v>4731</v>
      </c>
    </row>
    <row customHeight="1" ht="11.25">
      <c r="A269" s="383" t="s">
        <v>16</v>
      </c>
      <c r="B269" s="0" t="s">
        <v>4732</v>
      </c>
      <c r="C269" s="0" t="s">
        <v>4733</v>
      </c>
      <c r="D269" s="0" t="s">
        <v>4734</v>
      </c>
      <c r="E269" s="0" t="s">
        <v>4735</v>
      </c>
      <c r="F269" s="0" t="s">
        <v>4012</v>
      </c>
      <c r="G269" s="0" t="s">
        <v>4736</v>
      </c>
    </row>
    <row customHeight="1" ht="11.25">
      <c r="A270" s="383" t="s">
        <v>16</v>
      </c>
      <c r="B270" s="0" t="s">
        <v>4732</v>
      </c>
      <c r="C270" s="0" t="s">
        <v>4733</v>
      </c>
      <c r="D270" s="0" t="s">
        <v>4737</v>
      </c>
      <c r="E270" s="0" t="s">
        <v>4738</v>
      </c>
      <c r="F270" s="0" t="s">
        <v>4049</v>
      </c>
      <c r="G270" s="0" t="s">
        <v>4739</v>
      </c>
    </row>
    <row customHeight="1" ht="11.25">
      <c r="A271" s="383" t="s">
        <v>16</v>
      </c>
      <c r="B271" s="0" t="s">
        <v>4732</v>
      </c>
      <c r="C271" s="0" t="s">
        <v>4733</v>
      </c>
      <c r="D271" s="0" t="s">
        <v>4740</v>
      </c>
      <c r="E271" s="0" t="s">
        <v>4741</v>
      </c>
      <c r="F271" s="0" t="s">
        <v>4012</v>
      </c>
      <c r="G271" s="0" t="s">
        <v>4742</v>
      </c>
    </row>
    <row customHeight="1" ht="11.25">
      <c r="A272" s="383" t="s">
        <v>16</v>
      </c>
      <c r="B272" s="0" t="s">
        <v>4732</v>
      </c>
      <c r="C272" s="0" t="s">
        <v>4733</v>
      </c>
      <c r="D272" s="0" t="s">
        <v>4732</v>
      </c>
      <c r="E272" s="0" t="s">
        <v>4733</v>
      </c>
      <c r="F272" s="0" t="s">
        <v>4009</v>
      </c>
      <c r="G272" s="0" t="s">
        <v>4743</v>
      </c>
    </row>
    <row customHeight="1" ht="11.25">
      <c r="A273" s="383" t="s">
        <v>16</v>
      </c>
      <c r="B273" s="0" t="s">
        <v>4732</v>
      </c>
      <c r="C273" s="0" t="s">
        <v>4733</v>
      </c>
      <c r="D273" s="0" t="s">
        <v>4744</v>
      </c>
      <c r="E273" s="0" t="s">
        <v>4745</v>
      </c>
      <c r="F273" s="0" t="s">
        <v>4019</v>
      </c>
      <c r="G273" s="0" t="s">
        <v>4746</v>
      </c>
    </row>
    <row customHeight="1" ht="11.25">
      <c r="A274" s="383" t="s">
        <v>16</v>
      </c>
      <c r="B274" s="0" t="s">
        <v>4732</v>
      </c>
      <c r="C274" s="0" t="s">
        <v>4733</v>
      </c>
      <c r="D274" s="0" t="s">
        <v>4747</v>
      </c>
      <c r="E274" s="0" t="s">
        <v>4748</v>
      </c>
      <c r="F274" s="0" t="s">
        <v>4019</v>
      </c>
      <c r="G274" s="0" t="s">
        <v>4749</v>
      </c>
    </row>
    <row customHeight="1" ht="11.25">
      <c r="A275" s="383" t="s">
        <v>16</v>
      </c>
      <c r="B275" s="0" t="s">
        <v>4732</v>
      </c>
      <c r="C275" s="0" t="s">
        <v>4733</v>
      </c>
      <c r="D275" s="0" t="s">
        <v>4750</v>
      </c>
      <c r="E275" s="0" t="s">
        <v>4751</v>
      </c>
      <c r="F275" s="0" t="s">
        <v>4012</v>
      </c>
      <c r="G275" s="0" t="s">
        <v>4752</v>
      </c>
    </row>
    <row customHeight="1" ht="11.25">
      <c r="A276" s="383" t="s">
        <v>16</v>
      </c>
      <c r="B276" s="0" t="s">
        <v>4732</v>
      </c>
      <c r="C276" s="0" t="s">
        <v>4733</v>
      </c>
      <c r="D276" s="0" t="s">
        <v>4753</v>
      </c>
      <c r="E276" s="0" t="s">
        <v>4754</v>
      </c>
      <c r="F276" s="0" t="s">
        <v>4012</v>
      </c>
      <c r="G276" s="0" t="s">
        <v>4755</v>
      </c>
    </row>
    <row customHeight="1" ht="11.25">
      <c r="A277" s="383" t="s">
        <v>16</v>
      </c>
      <c r="B277" s="0" t="s">
        <v>4732</v>
      </c>
      <c r="C277" s="0" t="s">
        <v>4733</v>
      </c>
      <c r="D277" s="0" t="s">
        <v>4756</v>
      </c>
      <c r="E277" s="0" t="s">
        <v>4757</v>
      </c>
      <c r="F277" s="0" t="s">
        <v>4012</v>
      </c>
      <c r="G277" s="0" t="s">
        <v>4758</v>
      </c>
    </row>
    <row customHeight="1" ht="11.25">
      <c r="A278" s="383" t="s">
        <v>16</v>
      </c>
      <c r="B278" s="0" t="s">
        <v>4759</v>
      </c>
      <c r="C278" s="0" t="s">
        <v>4760</v>
      </c>
      <c r="D278" s="0" t="s">
        <v>4058</v>
      </c>
      <c r="E278" s="0" t="s">
        <v>4761</v>
      </c>
      <c r="F278" s="0" t="s">
        <v>4012</v>
      </c>
      <c r="G278" s="0" t="s">
        <v>4762</v>
      </c>
    </row>
    <row customHeight="1" ht="11.25">
      <c r="A279" s="383" t="s">
        <v>16</v>
      </c>
      <c r="B279" s="0" t="s">
        <v>4759</v>
      </c>
      <c r="C279" s="0" t="s">
        <v>4760</v>
      </c>
      <c r="D279" s="0" t="s">
        <v>4763</v>
      </c>
      <c r="E279" s="0" t="s">
        <v>4764</v>
      </c>
      <c r="F279" s="0" t="s">
        <v>4030</v>
      </c>
      <c r="G279" s="0" t="s">
        <v>4765</v>
      </c>
    </row>
    <row customHeight="1" ht="11.25">
      <c r="A280" s="383" t="s">
        <v>16</v>
      </c>
      <c r="B280" s="0" t="s">
        <v>4759</v>
      </c>
      <c r="C280" s="0" t="s">
        <v>4760</v>
      </c>
      <c r="D280" s="0" t="s">
        <v>4766</v>
      </c>
      <c r="E280" s="0" t="s">
        <v>4767</v>
      </c>
      <c r="F280" s="0" t="s">
        <v>4012</v>
      </c>
      <c r="G280" s="0" t="s">
        <v>4768</v>
      </c>
    </row>
    <row customHeight="1" ht="11.25">
      <c r="A281" s="383" t="s">
        <v>16</v>
      </c>
      <c r="B281" s="0" t="s">
        <v>4759</v>
      </c>
      <c r="C281" s="0" t="s">
        <v>4760</v>
      </c>
      <c r="D281" s="0" t="s">
        <v>4769</v>
      </c>
      <c r="E281" s="0" t="s">
        <v>4770</v>
      </c>
      <c r="F281" s="0" t="s">
        <v>4012</v>
      </c>
      <c r="G281" s="0" t="s">
        <v>4771</v>
      </c>
    </row>
    <row customHeight="1" ht="11.25">
      <c r="A282" s="383" t="s">
        <v>16</v>
      </c>
      <c r="B282" s="0" t="s">
        <v>4759</v>
      </c>
      <c r="C282" s="0" t="s">
        <v>4760</v>
      </c>
      <c r="D282" s="0" t="s">
        <v>4772</v>
      </c>
      <c r="E282" s="0" t="s">
        <v>4773</v>
      </c>
      <c r="F282" s="0" t="s">
        <v>4012</v>
      </c>
      <c r="G282" s="0" t="s">
        <v>4774</v>
      </c>
    </row>
    <row customHeight="1" ht="11.25">
      <c r="A283" s="383" t="s">
        <v>16</v>
      </c>
      <c r="B283" s="0" t="s">
        <v>4759</v>
      </c>
      <c r="C283" s="0" t="s">
        <v>4760</v>
      </c>
      <c r="D283" s="0" t="s">
        <v>4775</v>
      </c>
      <c r="E283" s="0" t="s">
        <v>4776</v>
      </c>
      <c r="F283" s="0" t="s">
        <v>4012</v>
      </c>
      <c r="G283" s="0" t="s">
        <v>4777</v>
      </c>
    </row>
    <row customHeight="1" ht="11.25">
      <c r="A284" s="383" t="s">
        <v>16</v>
      </c>
      <c r="B284" s="0" t="s">
        <v>4759</v>
      </c>
      <c r="C284" s="0" t="s">
        <v>4760</v>
      </c>
      <c r="D284" s="0" t="s">
        <v>4778</v>
      </c>
      <c r="E284" s="0" t="s">
        <v>4779</v>
      </c>
      <c r="F284" s="0" t="s">
        <v>4012</v>
      </c>
      <c r="G284" s="0" t="s">
        <v>4780</v>
      </c>
    </row>
    <row customHeight="1" ht="11.25">
      <c r="A285" s="383" t="s">
        <v>16</v>
      </c>
      <c r="B285" s="0" t="s">
        <v>4759</v>
      </c>
      <c r="C285" s="0" t="s">
        <v>4760</v>
      </c>
      <c r="D285" s="0" t="s">
        <v>4781</v>
      </c>
      <c r="E285" s="0" t="s">
        <v>4782</v>
      </c>
      <c r="F285" s="0" t="s">
        <v>4012</v>
      </c>
      <c r="G285" s="0" t="s">
        <v>4783</v>
      </c>
    </row>
    <row customHeight="1" ht="11.25">
      <c r="A286" s="383" t="s">
        <v>16</v>
      </c>
      <c r="B286" s="0" t="s">
        <v>4759</v>
      </c>
      <c r="C286" s="0" t="s">
        <v>4760</v>
      </c>
      <c r="D286" s="0" t="s">
        <v>4699</v>
      </c>
      <c r="E286" s="0" t="s">
        <v>4784</v>
      </c>
      <c r="F286" s="0" t="s">
        <v>4012</v>
      </c>
      <c r="G286" s="0" t="s">
        <v>4785</v>
      </c>
    </row>
    <row customHeight="1" ht="11.25">
      <c r="A287" s="383" t="s">
        <v>16</v>
      </c>
      <c r="B287" s="0" t="s">
        <v>4759</v>
      </c>
      <c r="C287" s="0" t="s">
        <v>4760</v>
      </c>
      <c r="D287" s="0" t="s">
        <v>4786</v>
      </c>
      <c r="E287" s="0" t="s">
        <v>4787</v>
      </c>
      <c r="F287" s="0" t="s">
        <v>4012</v>
      </c>
      <c r="G287" s="0" t="s">
        <v>4788</v>
      </c>
    </row>
    <row customHeight="1" ht="11.25">
      <c r="A288" s="383" t="s">
        <v>16</v>
      </c>
      <c r="B288" s="0" t="s">
        <v>4759</v>
      </c>
      <c r="C288" s="0" t="s">
        <v>4760</v>
      </c>
      <c r="D288" s="0" t="s">
        <v>4789</v>
      </c>
      <c r="E288" s="0" t="s">
        <v>4790</v>
      </c>
      <c r="F288" s="0" t="s">
        <v>4012</v>
      </c>
      <c r="G288" s="0" t="s">
        <v>4791</v>
      </c>
    </row>
    <row customHeight="1" ht="11.25">
      <c r="A289" s="383" t="s">
        <v>16</v>
      </c>
      <c r="B289" s="0" t="s">
        <v>4759</v>
      </c>
      <c r="C289" s="0" t="s">
        <v>4760</v>
      </c>
      <c r="D289" s="0" t="s">
        <v>4792</v>
      </c>
      <c r="E289" s="0" t="s">
        <v>4793</v>
      </c>
      <c r="F289" s="0" t="s">
        <v>4012</v>
      </c>
      <c r="G289" s="0" t="s">
        <v>4794</v>
      </c>
    </row>
    <row customHeight="1" ht="11.25">
      <c r="A290" s="383" t="s">
        <v>16</v>
      </c>
      <c r="B290" s="0" t="s">
        <v>4759</v>
      </c>
      <c r="C290" s="0" t="s">
        <v>4760</v>
      </c>
      <c r="D290" s="0" t="s">
        <v>4759</v>
      </c>
      <c r="E290" s="0" t="s">
        <v>4760</v>
      </c>
      <c r="F290" s="0" t="s">
        <v>4009</v>
      </c>
      <c r="G290" s="0" t="s">
        <v>4795</v>
      </c>
    </row>
    <row customHeight="1" ht="11.25">
      <c r="A291" s="383" t="s">
        <v>16</v>
      </c>
      <c r="B291" s="0" t="s">
        <v>4759</v>
      </c>
      <c r="C291" s="0" t="s">
        <v>4760</v>
      </c>
      <c r="D291" s="0" t="s">
        <v>4796</v>
      </c>
      <c r="E291" s="0" t="s">
        <v>4797</v>
      </c>
      <c r="F291" s="0" t="s">
        <v>4012</v>
      </c>
      <c r="G291" s="0" t="s">
        <v>4798</v>
      </c>
    </row>
    <row customHeight="1" ht="11.25">
      <c r="A292" s="383" t="s">
        <v>16</v>
      </c>
      <c r="B292" s="0" t="s">
        <v>4759</v>
      </c>
      <c r="C292" s="0" t="s">
        <v>4760</v>
      </c>
      <c r="D292" s="0" t="s">
        <v>4799</v>
      </c>
      <c r="E292" s="0" t="s">
        <v>4800</v>
      </c>
      <c r="F292" s="0" t="s">
        <v>4012</v>
      </c>
      <c r="G292" s="0" t="s">
        <v>4801</v>
      </c>
    </row>
    <row customHeight="1" ht="11.25">
      <c r="A293" s="383" t="s">
        <v>16</v>
      </c>
      <c r="B293" s="0" t="s">
        <v>4759</v>
      </c>
      <c r="C293" s="0" t="s">
        <v>4760</v>
      </c>
      <c r="D293" s="0" t="s">
        <v>4802</v>
      </c>
      <c r="E293" s="0" t="s">
        <v>4803</v>
      </c>
      <c r="F293" s="0" t="s">
        <v>4012</v>
      </c>
      <c r="G293" s="0" t="s">
        <v>4804</v>
      </c>
    </row>
    <row customHeight="1" ht="11.25">
      <c r="A294" s="383" t="s">
        <v>16</v>
      </c>
      <c r="B294" s="0" t="s">
        <v>4759</v>
      </c>
      <c r="C294" s="0" t="s">
        <v>4760</v>
      </c>
      <c r="D294" s="0" t="s">
        <v>4805</v>
      </c>
      <c r="E294" s="0" t="s">
        <v>4806</v>
      </c>
      <c r="F294" s="0" t="s">
        <v>4012</v>
      </c>
      <c r="G294" s="0" t="s">
        <v>4807</v>
      </c>
    </row>
    <row customHeight="1" ht="11.25">
      <c r="A295" s="383" t="s">
        <v>16</v>
      </c>
      <c r="B295" s="0" t="s">
        <v>4759</v>
      </c>
      <c r="C295" s="0" t="s">
        <v>4760</v>
      </c>
      <c r="D295" s="0" t="s">
        <v>4808</v>
      </c>
      <c r="E295" s="0" t="s">
        <v>4809</v>
      </c>
      <c r="F295" s="0" t="s">
        <v>4012</v>
      </c>
      <c r="G295" s="0" t="s">
        <v>4810</v>
      </c>
    </row>
    <row customHeight="1" ht="11.25">
      <c r="A296" s="383" t="s">
        <v>16</v>
      </c>
      <c r="B296" s="0" t="s">
        <v>4759</v>
      </c>
      <c r="C296" s="0" t="s">
        <v>4760</v>
      </c>
      <c r="D296" s="0" t="s">
        <v>4811</v>
      </c>
      <c r="E296" s="0" t="s">
        <v>4812</v>
      </c>
      <c r="F296" s="0" t="s">
        <v>4012</v>
      </c>
      <c r="G296" s="0" t="s">
        <v>4813</v>
      </c>
    </row>
    <row customHeight="1" ht="11.25">
      <c r="A297" s="383" t="s">
        <v>16</v>
      </c>
      <c r="B297" s="0" t="s">
        <v>4759</v>
      </c>
      <c r="C297" s="0" t="s">
        <v>4760</v>
      </c>
      <c r="D297" s="0" t="s">
        <v>4814</v>
      </c>
      <c r="E297" s="0" t="s">
        <v>4815</v>
      </c>
      <c r="F297" s="0" t="s">
        <v>4012</v>
      </c>
      <c r="G297" s="0" t="s">
        <v>4816</v>
      </c>
    </row>
    <row customHeight="1" ht="11.25">
      <c r="A298" s="383" t="s">
        <v>16</v>
      </c>
      <c r="B298" s="0" t="s">
        <v>4759</v>
      </c>
      <c r="C298" s="0" t="s">
        <v>4760</v>
      </c>
      <c r="D298" s="0" t="s">
        <v>4817</v>
      </c>
      <c r="E298" s="0" t="s">
        <v>4818</v>
      </c>
      <c r="F298" s="0" t="s">
        <v>4012</v>
      </c>
      <c r="G298" s="0" t="s">
        <v>4819</v>
      </c>
    </row>
    <row customHeight="1" ht="11.25">
      <c r="A299" s="383" t="s">
        <v>16</v>
      </c>
      <c r="B299" s="0" t="s">
        <v>4759</v>
      </c>
      <c r="C299" s="0" t="s">
        <v>4760</v>
      </c>
      <c r="D299" s="0" t="s">
        <v>4158</v>
      </c>
      <c r="E299" s="0" t="s">
        <v>4820</v>
      </c>
      <c r="F299" s="0" t="s">
        <v>4012</v>
      </c>
      <c r="G299" s="0" t="s">
        <v>4821</v>
      </c>
    </row>
    <row customHeight="1" ht="11.25">
      <c r="A300" s="383" t="s">
        <v>16</v>
      </c>
      <c r="B300" s="0" t="s">
        <v>4759</v>
      </c>
      <c r="C300" s="0" t="s">
        <v>4760</v>
      </c>
      <c r="D300" s="0" t="s">
        <v>4822</v>
      </c>
      <c r="E300" s="0" t="s">
        <v>4823</v>
      </c>
      <c r="F300" s="0" t="s">
        <v>4012</v>
      </c>
      <c r="G300" s="0" t="s">
        <v>4824</v>
      </c>
    </row>
    <row customHeight="1" ht="11.25">
      <c r="A301" s="383" t="s">
        <v>16</v>
      </c>
      <c r="B301" s="0" t="s">
        <v>4759</v>
      </c>
      <c r="C301" s="0" t="s">
        <v>4760</v>
      </c>
      <c r="D301" s="0" t="s">
        <v>4825</v>
      </c>
      <c r="E301" s="0" t="s">
        <v>4826</v>
      </c>
      <c r="F301" s="0" t="s">
        <v>4012</v>
      </c>
      <c r="G301" s="0" t="s">
        <v>4827</v>
      </c>
    </row>
    <row customHeight="1" ht="11.25">
      <c r="A302" s="383" t="s">
        <v>16</v>
      </c>
      <c r="B302" s="0" t="s">
        <v>4828</v>
      </c>
      <c r="C302" s="0" t="s">
        <v>4829</v>
      </c>
      <c r="D302" s="0" t="s">
        <v>4830</v>
      </c>
      <c r="E302" s="0" t="s">
        <v>4831</v>
      </c>
      <c r="F302" s="0" t="s">
        <v>4012</v>
      </c>
      <c r="G302" s="0" t="s">
        <v>4832</v>
      </c>
    </row>
    <row customHeight="1" ht="11.25">
      <c r="A303" s="383" t="s">
        <v>16</v>
      </c>
      <c r="B303" s="0" t="s">
        <v>4828</v>
      </c>
      <c r="C303" s="0" t="s">
        <v>4829</v>
      </c>
      <c r="D303" s="0" t="s">
        <v>4833</v>
      </c>
      <c r="E303" s="0" t="s">
        <v>4834</v>
      </c>
      <c r="F303" s="0" t="s">
        <v>4012</v>
      </c>
      <c r="G303" s="0" t="s">
        <v>4835</v>
      </c>
    </row>
    <row customHeight="1" ht="11.25">
      <c r="A304" s="383" t="s">
        <v>16</v>
      </c>
      <c r="B304" s="0" t="s">
        <v>4828</v>
      </c>
      <c r="C304" s="0" t="s">
        <v>4829</v>
      </c>
      <c r="D304" s="0" t="s">
        <v>4836</v>
      </c>
      <c r="E304" s="0" t="s">
        <v>4837</v>
      </c>
      <c r="F304" s="0" t="s">
        <v>4049</v>
      </c>
      <c r="G304" s="0" t="s">
        <v>4838</v>
      </c>
    </row>
    <row customHeight="1" ht="11.25">
      <c r="A305" s="383" t="s">
        <v>16</v>
      </c>
      <c r="B305" s="0" t="s">
        <v>4828</v>
      </c>
      <c r="C305" s="0" t="s">
        <v>4829</v>
      </c>
      <c r="D305" s="0" t="s">
        <v>4839</v>
      </c>
      <c r="E305" s="0" t="s">
        <v>4840</v>
      </c>
      <c r="F305" s="0" t="s">
        <v>4012</v>
      </c>
      <c r="G305" s="0" t="s">
        <v>4841</v>
      </c>
    </row>
    <row customHeight="1" ht="11.25">
      <c r="A306" s="383" t="s">
        <v>16</v>
      </c>
      <c r="B306" s="0" t="s">
        <v>4828</v>
      </c>
      <c r="C306" s="0" t="s">
        <v>4829</v>
      </c>
      <c r="D306" s="0" t="s">
        <v>4828</v>
      </c>
      <c r="E306" s="0" t="s">
        <v>4829</v>
      </c>
      <c r="F306" s="0" t="s">
        <v>4009</v>
      </c>
      <c r="G306" s="0" t="s">
        <v>4842</v>
      </c>
    </row>
    <row customHeight="1" ht="11.25">
      <c r="A307" s="383" t="s">
        <v>16</v>
      </c>
      <c r="B307" s="0" t="s">
        <v>4828</v>
      </c>
      <c r="C307" s="0" t="s">
        <v>4829</v>
      </c>
      <c r="D307" s="0" t="s">
        <v>4843</v>
      </c>
      <c r="E307" s="0" t="s">
        <v>4844</v>
      </c>
      <c r="F307" s="0" t="s">
        <v>4012</v>
      </c>
      <c r="G307" s="0" t="s">
        <v>4845</v>
      </c>
    </row>
    <row customHeight="1" ht="11.25">
      <c r="A308" s="383" t="s">
        <v>16</v>
      </c>
      <c r="B308" s="0" t="s">
        <v>4846</v>
      </c>
      <c r="C308" s="0" t="s">
        <v>4847</v>
      </c>
      <c r="D308" s="0" t="s">
        <v>4848</v>
      </c>
      <c r="E308" s="0" t="s">
        <v>4849</v>
      </c>
      <c r="F308" s="0" t="s">
        <v>4012</v>
      </c>
      <c r="G308" s="0" t="s">
        <v>4850</v>
      </c>
    </row>
    <row customHeight="1" ht="11.25">
      <c r="A309" s="383" t="s">
        <v>16</v>
      </c>
      <c r="B309" s="0" t="s">
        <v>4846</v>
      </c>
      <c r="C309" s="0" t="s">
        <v>4847</v>
      </c>
      <c r="D309" s="0" t="s">
        <v>4851</v>
      </c>
      <c r="E309" s="0" t="s">
        <v>4852</v>
      </c>
      <c r="F309" s="0" t="s">
        <v>4012</v>
      </c>
      <c r="G309" s="0" t="s">
        <v>4853</v>
      </c>
    </row>
    <row customHeight="1" ht="11.25">
      <c r="A310" s="383" t="s">
        <v>16</v>
      </c>
      <c r="B310" s="0" t="s">
        <v>4846</v>
      </c>
      <c r="C310" s="0" t="s">
        <v>4847</v>
      </c>
      <c r="D310" s="0" t="s">
        <v>4854</v>
      </c>
      <c r="E310" s="0" t="s">
        <v>4855</v>
      </c>
      <c r="F310" s="0" t="s">
        <v>4012</v>
      </c>
      <c r="G310" s="0" t="s">
        <v>4856</v>
      </c>
    </row>
    <row customHeight="1" ht="11.25">
      <c r="A311" s="383" t="s">
        <v>16</v>
      </c>
      <c r="B311" s="0" t="s">
        <v>4846</v>
      </c>
      <c r="C311" s="0" t="s">
        <v>4847</v>
      </c>
      <c r="D311" s="0" t="s">
        <v>4857</v>
      </c>
      <c r="E311" s="0" t="s">
        <v>4858</v>
      </c>
      <c r="F311" s="0" t="s">
        <v>4030</v>
      </c>
      <c r="G311" s="0" t="s">
        <v>4859</v>
      </c>
    </row>
    <row customHeight="1" ht="11.25">
      <c r="A312" s="383" t="s">
        <v>16</v>
      </c>
      <c r="B312" s="0" t="s">
        <v>4846</v>
      </c>
      <c r="C312" s="0" t="s">
        <v>4847</v>
      </c>
      <c r="D312" s="0" t="s">
        <v>4860</v>
      </c>
      <c r="E312" s="0" t="s">
        <v>4861</v>
      </c>
      <c r="F312" s="0" t="s">
        <v>4012</v>
      </c>
      <c r="G312" s="0" t="s">
        <v>4862</v>
      </c>
    </row>
    <row customHeight="1" ht="11.25">
      <c r="A313" s="383" t="s">
        <v>16</v>
      </c>
      <c r="B313" s="0" t="s">
        <v>4846</v>
      </c>
      <c r="C313" s="0" t="s">
        <v>4847</v>
      </c>
      <c r="D313" s="0" t="s">
        <v>4863</v>
      </c>
      <c r="E313" s="0" t="s">
        <v>4864</v>
      </c>
      <c r="F313" s="0" t="s">
        <v>4012</v>
      </c>
      <c r="G313" s="0" t="s">
        <v>4865</v>
      </c>
    </row>
    <row customHeight="1" ht="11.25">
      <c r="A314" s="383" t="s">
        <v>16</v>
      </c>
      <c r="B314" s="0" t="s">
        <v>4846</v>
      </c>
      <c r="C314" s="0" t="s">
        <v>4847</v>
      </c>
      <c r="D314" s="0" t="s">
        <v>4866</v>
      </c>
      <c r="E314" s="0" t="s">
        <v>4867</v>
      </c>
      <c r="F314" s="0" t="s">
        <v>4012</v>
      </c>
      <c r="G314" s="0" t="s">
        <v>4868</v>
      </c>
    </row>
    <row customHeight="1" ht="11.25">
      <c r="A315" s="383" t="s">
        <v>16</v>
      </c>
      <c r="B315" s="0" t="s">
        <v>4846</v>
      </c>
      <c r="C315" s="0" t="s">
        <v>4847</v>
      </c>
      <c r="D315" s="0" t="s">
        <v>4869</v>
      </c>
      <c r="E315" s="0" t="s">
        <v>4870</v>
      </c>
      <c r="F315" s="0" t="s">
        <v>4012</v>
      </c>
      <c r="G315" s="0" t="s">
        <v>4871</v>
      </c>
    </row>
    <row customHeight="1" ht="11.25">
      <c r="A316" s="383" t="s">
        <v>16</v>
      </c>
      <c r="B316" s="0" t="s">
        <v>4846</v>
      </c>
      <c r="C316" s="0" t="s">
        <v>4847</v>
      </c>
      <c r="D316" s="0" t="s">
        <v>4872</v>
      </c>
      <c r="E316" s="0" t="s">
        <v>4873</v>
      </c>
      <c r="F316" s="0" t="s">
        <v>4012</v>
      </c>
      <c r="G316" s="0" t="s">
        <v>4874</v>
      </c>
    </row>
    <row customHeight="1" ht="11.25">
      <c r="A317" s="383" t="s">
        <v>16</v>
      </c>
      <c r="B317" s="0" t="s">
        <v>4846</v>
      </c>
      <c r="C317" s="0" t="s">
        <v>4847</v>
      </c>
      <c r="D317" s="0" t="s">
        <v>4846</v>
      </c>
      <c r="E317" s="0" t="s">
        <v>4847</v>
      </c>
      <c r="F317" s="0" t="s">
        <v>4009</v>
      </c>
      <c r="G317" s="0" t="s">
        <v>4875</v>
      </c>
    </row>
    <row customHeight="1" ht="11.25">
      <c r="A318" s="383" t="s">
        <v>16</v>
      </c>
      <c r="B318" s="0" t="s">
        <v>4846</v>
      </c>
      <c r="C318" s="0" t="s">
        <v>4847</v>
      </c>
      <c r="D318" s="0" t="s">
        <v>4876</v>
      </c>
      <c r="E318" s="0" t="s">
        <v>4877</v>
      </c>
      <c r="F318" s="0" t="s">
        <v>4012</v>
      </c>
      <c r="G318" s="0" t="s">
        <v>4878</v>
      </c>
    </row>
    <row customHeight="1" ht="11.25">
      <c r="A319" s="383" t="s">
        <v>16</v>
      </c>
      <c r="B319" s="0" t="s">
        <v>4879</v>
      </c>
      <c r="C319" s="0" t="s">
        <v>4880</v>
      </c>
      <c r="D319" s="0" t="s">
        <v>4881</v>
      </c>
      <c r="E319" s="0" t="s">
        <v>4882</v>
      </c>
      <c r="F319" s="0" t="s">
        <v>4012</v>
      </c>
      <c r="G319" s="0" t="s">
        <v>4883</v>
      </c>
    </row>
    <row customHeight="1" ht="11.25">
      <c r="A320" s="383" t="s">
        <v>16</v>
      </c>
      <c r="B320" s="0" t="s">
        <v>4879</v>
      </c>
      <c r="C320" s="0" t="s">
        <v>4880</v>
      </c>
      <c r="D320" s="0" t="s">
        <v>4163</v>
      </c>
      <c r="E320" s="0" t="s">
        <v>4884</v>
      </c>
      <c r="F320" s="0" t="s">
        <v>4012</v>
      </c>
      <c r="G320" s="0" t="s">
        <v>4885</v>
      </c>
    </row>
    <row customHeight="1" ht="11.25">
      <c r="A321" s="383" t="s">
        <v>16</v>
      </c>
      <c r="B321" s="0" t="s">
        <v>4879</v>
      </c>
      <c r="C321" s="0" t="s">
        <v>4880</v>
      </c>
      <c r="D321" s="0" t="s">
        <v>4679</v>
      </c>
      <c r="E321" s="0" t="s">
        <v>4886</v>
      </c>
      <c r="F321" s="0" t="s">
        <v>4012</v>
      </c>
      <c r="G321" s="0" t="s">
        <v>4887</v>
      </c>
    </row>
    <row customHeight="1" ht="11.25">
      <c r="A322" s="383" t="s">
        <v>16</v>
      </c>
      <c r="B322" s="0" t="s">
        <v>4879</v>
      </c>
      <c r="C322" s="0" t="s">
        <v>4880</v>
      </c>
      <c r="D322" s="0" t="s">
        <v>4888</v>
      </c>
      <c r="E322" s="0" t="s">
        <v>4889</v>
      </c>
      <c r="F322" s="0" t="s">
        <v>4012</v>
      </c>
      <c r="G322" s="0" t="s">
        <v>4890</v>
      </c>
    </row>
    <row customHeight="1" ht="11.25">
      <c r="A323" s="383" t="s">
        <v>16</v>
      </c>
      <c r="B323" s="0" t="s">
        <v>4879</v>
      </c>
      <c r="C323" s="0" t="s">
        <v>4880</v>
      </c>
      <c r="D323" s="0" t="s">
        <v>4690</v>
      </c>
      <c r="E323" s="0" t="s">
        <v>4891</v>
      </c>
      <c r="F323" s="0" t="s">
        <v>4012</v>
      </c>
      <c r="G323" s="0" t="s">
        <v>4892</v>
      </c>
    </row>
    <row customHeight="1" ht="11.25">
      <c r="A324" s="383" t="s">
        <v>16</v>
      </c>
      <c r="B324" s="0" t="s">
        <v>4879</v>
      </c>
      <c r="C324" s="0" t="s">
        <v>4880</v>
      </c>
      <c r="D324" s="0" t="s">
        <v>4893</v>
      </c>
      <c r="E324" s="0" t="s">
        <v>4894</v>
      </c>
      <c r="F324" s="0" t="s">
        <v>4012</v>
      </c>
      <c r="G324" s="0" t="s">
        <v>4895</v>
      </c>
    </row>
    <row customHeight="1" ht="11.25">
      <c r="A325" s="383" t="s">
        <v>16</v>
      </c>
      <c r="B325" s="0" t="s">
        <v>4879</v>
      </c>
      <c r="C325" s="0" t="s">
        <v>4880</v>
      </c>
      <c r="D325" s="0" t="s">
        <v>4896</v>
      </c>
      <c r="E325" s="0" t="s">
        <v>4897</v>
      </c>
      <c r="F325" s="0" t="s">
        <v>4012</v>
      </c>
      <c r="G325" s="0" t="s">
        <v>4898</v>
      </c>
    </row>
    <row customHeight="1" ht="11.25">
      <c r="A326" s="383" t="s">
        <v>16</v>
      </c>
      <c r="B326" s="0" t="s">
        <v>4879</v>
      </c>
      <c r="C326" s="0" t="s">
        <v>4880</v>
      </c>
      <c r="D326" s="0" t="s">
        <v>4899</v>
      </c>
      <c r="E326" s="0" t="s">
        <v>4900</v>
      </c>
      <c r="F326" s="0" t="s">
        <v>4012</v>
      </c>
      <c r="G326" s="0" t="s">
        <v>4901</v>
      </c>
    </row>
    <row customHeight="1" ht="11.25">
      <c r="A327" s="383" t="s">
        <v>16</v>
      </c>
      <c r="B327" s="0" t="s">
        <v>4879</v>
      </c>
      <c r="C327" s="0" t="s">
        <v>4880</v>
      </c>
      <c r="D327" s="0" t="s">
        <v>4902</v>
      </c>
      <c r="E327" s="0" t="s">
        <v>4903</v>
      </c>
      <c r="F327" s="0" t="s">
        <v>4012</v>
      </c>
      <c r="G327" s="0" t="s">
        <v>4904</v>
      </c>
    </row>
    <row customHeight="1" ht="11.25">
      <c r="A328" s="383" t="s">
        <v>16</v>
      </c>
      <c r="B328" s="0" t="s">
        <v>4879</v>
      </c>
      <c r="C328" s="0" t="s">
        <v>4880</v>
      </c>
      <c r="D328" s="0" t="s">
        <v>4905</v>
      </c>
      <c r="E328" s="0" t="s">
        <v>4906</v>
      </c>
      <c r="F328" s="0" t="s">
        <v>4012</v>
      </c>
      <c r="G328" s="0" t="s">
        <v>4907</v>
      </c>
    </row>
    <row customHeight="1" ht="11.25">
      <c r="A329" s="383" t="s">
        <v>16</v>
      </c>
      <c r="B329" s="0" t="s">
        <v>4879</v>
      </c>
      <c r="C329" s="0" t="s">
        <v>4880</v>
      </c>
      <c r="D329" s="0" t="s">
        <v>4908</v>
      </c>
      <c r="E329" s="0" t="s">
        <v>4909</v>
      </c>
      <c r="F329" s="0" t="s">
        <v>4012</v>
      </c>
      <c r="G329" s="0" t="s">
        <v>4910</v>
      </c>
    </row>
    <row customHeight="1" ht="11.25">
      <c r="A330" s="383" t="s">
        <v>16</v>
      </c>
      <c r="B330" s="0" t="s">
        <v>4879</v>
      </c>
      <c r="C330" s="0" t="s">
        <v>4880</v>
      </c>
      <c r="D330" s="0" t="s">
        <v>4911</v>
      </c>
      <c r="E330" s="0" t="s">
        <v>4912</v>
      </c>
      <c r="F330" s="0" t="s">
        <v>4012</v>
      </c>
      <c r="G330" s="0" t="s">
        <v>4913</v>
      </c>
    </row>
    <row customHeight="1" ht="11.25">
      <c r="A331" s="383" t="s">
        <v>16</v>
      </c>
      <c r="B331" s="0" t="s">
        <v>4879</v>
      </c>
      <c r="C331" s="0" t="s">
        <v>4880</v>
      </c>
      <c r="D331" s="0" t="s">
        <v>4914</v>
      </c>
      <c r="E331" s="0" t="s">
        <v>4915</v>
      </c>
      <c r="F331" s="0" t="s">
        <v>4012</v>
      </c>
      <c r="G331" s="0" t="s">
        <v>4916</v>
      </c>
    </row>
    <row customHeight="1" ht="11.25">
      <c r="A332" s="383" t="s">
        <v>16</v>
      </c>
      <c r="B332" s="0" t="s">
        <v>4879</v>
      </c>
      <c r="C332" s="0" t="s">
        <v>4880</v>
      </c>
      <c r="D332" s="0" t="s">
        <v>4917</v>
      </c>
      <c r="E332" s="0" t="s">
        <v>4918</v>
      </c>
      <c r="F332" s="0" t="s">
        <v>4012</v>
      </c>
      <c r="G332" s="0" t="s">
        <v>4919</v>
      </c>
    </row>
    <row customHeight="1" ht="11.25">
      <c r="A333" s="383" t="s">
        <v>16</v>
      </c>
      <c r="B333" s="0" t="s">
        <v>4879</v>
      </c>
      <c r="C333" s="0" t="s">
        <v>4880</v>
      </c>
      <c r="D333" s="0" t="s">
        <v>4879</v>
      </c>
      <c r="E333" s="0" t="s">
        <v>4880</v>
      </c>
      <c r="F333" s="0" t="s">
        <v>4009</v>
      </c>
      <c r="G333" s="0" t="s">
        <v>4920</v>
      </c>
    </row>
    <row customHeight="1" ht="11.25">
      <c r="A334" s="383" t="s">
        <v>16</v>
      </c>
      <c r="B334" s="0" t="s">
        <v>4879</v>
      </c>
      <c r="C334" s="0" t="s">
        <v>4880</v>
      </c>
      <c r="D334" s="0" t="s">
        <v>4921</v>
      </c>
      <c r="E334" s="0" t="s">
        <v>4922</v>
      </c>
      <c r="F334" s="0" t="s">
        <v>4012</v>
      </c>
      <c r="G334" s="0" t="s">
        <v>4923</v>
      </c>
    </row>
    <row customHeight="1" ht="11.25">
      <c r="A335" s="383" t="s">
        <v>16</v>
      </c>
      <c r="B335" s="0" t="s">
        <v>4879</v>
      </c>
      <c r="C335" s="0" t="s">
        <v>4880</v>
      </c>
      <c r="D335" s="0" t="s">
        <v>4924</v>
      </c>
      <c r="E335" s="0" t="s">
        <v>4925</v>
      </c>
      <c r="F335" s="0" t="s">
        <v>4012</v>
      </c>
      <c r="G335" s="0" t="s">
        <v>4926</v>
      </c>
    </row>
    <row customHeight="1" ht="11.25">
      <c r="A336" s="383" t="s">
        <v>16</v>
      </c>
      <c r="B336" s="0" t="s">
        <v>4879</v>
      </c>
      <c r="C336" s="0" t="s">
        <v>4880</v>
      </c>
      <c r="D336" s="0" t="s">
        <v>4927</v>
      </c>
      <c r="E336" s="0" t="s">
        <v>4928</v>
      </c>
      <c r="F336" s="0" t="s">
        <v>4012</v>
      </c>
      <c r="G336" s="0" t="s">
        <v>4929</v>
      </c>
    </row>
    <row customHeight="1" ht="11.25">
      <c r="A337" s="383" t="s">
        <v>16</v>
      </c>
      <c r="B337" s="0" t="s">
        <v>4879</v>
      </c>
      <c r="C337" s="0" t="s">
        <v>4880</v>
      </c>
      <c r="D337" s="0" t="s">
        <v>4431</v>
      </c>
      <c r="E337" s="0" t="s">
        <v>4930</v>
      </c>
      <c r="F337" s="0" t="s">
        <v>4012</v>
      </c>
      <c r="G337" s="0" t="s">
        <v>4931</v>
      </c>
    </row>
    <row customHeight="1" ht="11.25">
      <c r="A338" s="383" t="s">
        <v>16</v>
      </c>
      <c r="B338" s="0" t="s">
        <v>4879</v>
      </c>
      <c r="C338" s="0" t="s">
        <v>4880</v>
      </c>
      <c r="D338" s="0" t="s">
        <v>4932</v>
      </c>
      <c r="E338" s="0" t="s">
        <v>4933</v>
      </c>
      <c r="F338" s="0" t="s">
        <v>4012</v>
      </c>
      <c r="G338" s="0" t="s">
        <v>4934</v>
      </c>
    </row>
    <row customHeight="1" ht="11.25">
      <c r="A339" s="383" t="s">
        <v>16</v>
      </c>
      <c r="B339" s="0" t="s">
        <v>4879</v>
      </c>
      <c r="C339" s="0" t="s">
        <v>4880</v>
      </c>
      <c r="D339" s="0" t="s">
        <v>4935</v>
      </c>
      <c r="E339" s="0" t="s">
        <v>4936</v>
      </c>
      <c r="F339" s="0" t="s">
        <v>4012</v>
      </c>
      <c r="G339" s="0" t="s">
        <v>4937</v>
      </c>
    </row>
    <row customHeight="1" ht="11.25">
      <c r="A340" s="383" t="s">
        <v>16</v>
      </c>
      <c r="B340" s="0" t="s">
        <v>4879</v>
      </c>
      <c r="C340" s="0" t="s">
        <v>4880</v>
      </c>
      <c r="D340" s="0" t="s">
        <v>4938</v>
      </c>
      <c r="E340" s="0" t="s">
        <v>4939</v>
      </c>
      <c r="F340" s="0" t="s">
        <v>4012</v>
      </c>
      <c r="G340" s="0" t="s">
        <v>4940</v>
      </c>
    </row>
    <row customHeight="1" ht="11.25">
      <c r="A341" s="383" t="s">
        <v>16</v>
      </c>
      <c r="B341" s="0" t="s">
        <v>4879</v>
      </c>
      <c r="C341" s="0" t="s">
        <v>4880</v>
      </c>
      <c r="D341" s="0" t="s">
        <v>4941</v>
      </c>
      <c r="E341" s="0" t="s">
        <v>4942</v>
      </c>
      <c r="F341" s="0" t="s">
        <v>4012</v>
      </c>
      <c r="G341" s="0" t="s">
        <v>4943</v>
      </c>
    </row>
    <row customHeight="1" ht="11.25">
      <c r="A342" s="383" t="s">
        <v>16</v>
      </c>
      <c r="B342" s="0" t="s">
        <v>4879</v>
      </c>
      <c r="C342" s="0" t="s">
        <v>4880</v>
      </c>
      <c r="D342" s="0" t="s">
        <v>4944</v>
      </c>
      <c r="E342" s="0" t="s">
        <v>4945</v>
      </c>
      <c r="F342" s="0" t="s">
        <v>4012</v>
      </c>
      <c r="G342" s="0" t="s">
        <v>4946</v>
      </c>
    </row>
    <row customHeight="1" ht="11.25">
      <c r="A343" s="383" t="s">
        <v>16</v>
      </c>
      <c r="B343" s="0" t="s">
        <v>4879</v>
      </c>
      <c r="C343" s="0" t="s">
        <v>4880</v>
      </c>
      <c r="D343" s="0" t="s">
        <v>4158</v>
      </c>
      <c r="E343" s="0" t="s">
        <v>4947</v>
      </c>
      <c r="F343" s="0" t="s">
        <v>4012</v>
      </c>
      <c r="G343" s="0" t="s">
        <v>4948</v>
      </c>
    </row>
    <row customHeight="1" ht="11.25">
      <c r="A344" s="383" t="s">
        <v>16</v>
      </c>
      <c r="B344" s="0" t="s">
        <v>4879</v>
      </c>
      <c r="C344" s="0" t="s">
        <v>4880</v>
      </c>
      <c r="D344" s="0" t="s">
        <v>4949</v>
      </c>
      <c r="E344" s="0" t="s">
        <v>4950</v>
      </c>
      <c r="F344" s="0" t="s">
        <v>4012</v>
      </c>
      <c r="G344" s="0" t="s">
        <v>4951</v>
      </c>
    </row>
    <row customHeight="1" ht="11.25">
      <c r="A345" s="383" t="s">
        <v>16</v>
      </c>
      <c r="B345" s="0" t="s">
        <v>4879</v>
      </c>
      <c r="C345" s="0" t="s">
        <v>4880</v>
      </c>
      <c r="D345" s="0" t="s">
        <v>4952</v>
      </c>
      <c r="E345" s="0" t="s">
        <v>4953</v>
      </c>
      <c r="F345" s="0" t="s">
        <v>4012</v>
      </c>
      <c r="G345" s="0" t="s">
        <v>4954</v>
      </c>
    </row>
    <row customHeight="1" ht="11.25">
      <c r="A346" s="383" t="s">
        <v>16</v>
      </c>
      <c r="B346" s="0" t="s">
        <v>4955</v>
      </c>
      <c r="C346" s="0" t="s">
        <v>4956</v>
      </c>
      <c r="D346" s="0" t="s">
        <v>4957</v>
      </c>
      <c r="E346" s="0" t="s">
        <v>4958</v>
      </c>
      <c r="F346" s="0" t="s">
        <v>4012</v>
      </c>
      <c r="G346" s="0" t="s">
        <v>4959</v>
      </c>
    </row>
    <row customHeight="1" ht="11.25">
      <c r="A347" s="383" t="s">
        <v>16</v>
      </c>
      <c r="B347" s="0" t="s">
        <v>4955</v>
      </c>
      <c r="C347" s="0" t="s">
        <v>4956</v>
      </c>
      <c r="D347" s="0" t="s">
        <v>4064</v>
      </c>
      <c r="E347" s="0" t="s">
        <v>4960</v>
      </c>
      <c r="F347" s="0" t="s">
        <v>4012</v>
      </c>
      <c r="G347" s="0" t="s">
        <v>4961</v>
      </c>
    </row>
    <row customHeight="1" ht="11.25">
      <c r="A348" s="383" t="s">
        <v>16</v>
      </c>
      <c r="B348" s="0" t="s">
        <v>4955</v>
      </c>
      <c r="C348" s="0" t="s">
        <v>4956</v>
      </c>
      <c r="D348" s="0" t="s">
        <v>4962</v>
      </c>
      <c r="E348" s="0" t="s">
        <v>4963</v>
      </c>
      <c r="F348" s="0" t="s">
        <v>4012</v>
      </c>
      <c r="G348" s="0" t="s">
        <v>4964</v>
      </c>
    </row>
    <row customHeight="1" ht="11.25">
      <c r="A349" s="383" t="s">
        <v>16</v>
      </c>
      <c r="B349" s="0" t="s">
        <v>4955</v>
      </c>
      <c r="C349" s="0" t="s">
        <v>4956</v>
      </c>
      <c r="D349" s="0" t="s">
        <v>4965</v>
      </c>
      <c r="E349" s="0" t="s">
        <v>4966</v>
      </c>
      <c r="F349" s="0" t="s">
        <v>4012</v>
      </c>
      <c r="G349" s="0" t="s">
        <v>4967</v>
      </c>
    </row>
    <row customHeight="1" ht="11.25">
      <c r="A350" s="383" t="s">
        <v>16</v>
      </c>
      <c r="B350" s="0" t="s">
        <v>4955</v>
      </c>
      <c r="C350" s="0" t="s">
        <v>4956</v>
      </c>
      <c r="D350" s="0" t="s">
        <v>4968</v>
      </c>
      <c r="E350" s="0" t="s">
        <v>4969</v>
      </c>
      <c r="F350" s="0" t="s">
        <v>4012</v>
      </c>
      <c r="G350" s="0" t="s">
        <v>4970</v>
      </c>
    </row>
    <row customHeight="1" ht="11.25">
      <c r="A351" s="383" t="s">
        <v>16</v>
      </c>
      <c r="B351" s="0" t="s">
        <v>4955</v>
      </c>
      <c r="C351" s="0" t="s">
        <v>4956</v>
      </c>
      <c r="D351" s="0" t="s">
        <v>4971</v>
      </c>
      <c r="E351" s="0" t="s">
        <v>4972</v>
      </c>
      <c r="F351" s="0" t="s">
        <v>4012</v>
      </c>
      <c r="G351" s="0" t="s">
        <v>4973</v>
      </c>
    </row>
    <row customHeight="1" ht="11.25">
      <c r="A352" s="383" t="s">
        <v>16</v>
      </c>
      <c r="B352" s="0" t="s">
        <v>4955</v>
      </c>
      <c r="C352" s="0" t="s">
        <v>4956</v>
      </c>
      <c r="D352" s="0" t="s">
        <v>4974</v>
      </c>
      <c r="E352" s="0" t="s">
        <v>4975</v>
      </c>
      <c r="F352" s="0" t="s">
        <v>4012</v>
      </c>
      <c r="G352" s="0" t="s">
        <v>4976</v>
      </c>
    </row>
    <row customHeight="1" ht="11.25">
      <c r="A353" s="383" t="s">
        <v>16</v>
      </c>
      <c r="B353" s="0" t="s">
        <v>4955</v>
      </c>
      <c r="C353" s="0" t="s">
        <v>4956</v>
      </c>
      <c r="D353" s="0" t="s">
        <v>4325</v>
      </c>
      <c r="E353" s="0" t="s">
        <v>4977</v>
      </c>
      <c r="F353" s="0" t="s">
        <v>4012</v>
      </c>
      <c r="G353" s="0" t="s">
        <v>4978</v>
      </c>
    </row>
    <row customHeight="1" ht="11.25">
      <c r="A354" s="383" t="s">
        <v>16</v>
      </c>
      <c r="B354" s="0" t="s">
        <v>4955</v>
      </c>
      <c r="C354" s="0" t="s">
        <v>4956</v>
      </c>
      <c r="D354" s="0" t="s">
        <v>4979</v>
      </c>
      <c r="E354" s="0" t="s">
        <v>4980</v>
      </c>
      <c r="F354" s="0" t="s">
        <v>4012</v>
      </c>
      <c r="G354" s="0" t="s">
        <v>4981</v>
      </c>
    </row>
    <row customHeight="1" ht="11.25">
      <c r="A355" s="383" t="s">
        <v>16</v>
      </c>
      <c r="B355" s="0" t="s">
        <v>4955</v>
      </c>
      <c r="C355" s="0" t="s">
        <v>4956</v>
      </c>
      <c r="D355" s="0" t="s">
        <v>4955</v>
      </c>
      <c r="E355" s="0" t="s">
        <v>4956</v>
      </c>
      <c r="F355" s="0" t="s">
        <v>4009</v>
      </c>
      <c r="G355" s="0" t="s">
        <v>4982</v>
      </c>
    </row>
    <row customHeight="1" ht="11.25">
      <c r="A356" s="383" t="s">
        <v>16</v>
      </c>
      <c r="B356" s="0" t="s">
        <v>4955</v>
      </c>
      <c r="C356" s="0" t="s">
        <v>4956</v>
      </c>
      <c r="D356" s="0" t="s">
        <v>4983</v>
      </c>
      <c r="E356" s="0" t="s">
        <v>4984</v>
      </c>
      <c r="F356" s="0" t="s">
        <v>4012</v>
      </c>
      <c r="G356" s="0" t="s">
        <v>4985</v>
      </c>
    </row>
    <row customHeight="1" ht="11.25">
      <c r="A357" s="383" t="s">
        <v>16</v>
      </c>
      <c r="B357" s="0" t="s">
        <v>4955</v>
      </c>
      <c r="C357" s="0" t="s">
        <v>4956</v>
      </c>
      <c r="D357" s="0" t="s">
        <v>4986</v>
      </c>
      <c r="E357" s="0" t="s">
        <v>4987</v>
      </c>
      <c r="F357" s="0" t="s">
        <v>4012</v>
      </c>
      <c r="G357" s="0" t="s">
        <v>4988</v>
      </c>
    </row>
    <row customHeight="1" ht="11.25">
      <c r="A358" s="383" t="s">
        <v>16</v>
      </c>
      <c r="B358" s="0" t="s">
        <v>4955</v>
      </c>
      <c r="C358" s="0" t="s">
        <v>4956</v>
      </c>
      <c r="D358" s="0" t="s">
        <v>4989</v>
      </c>
      <c r="E358" s="0" t="s">
        <v>4990</v>
      </c>
      <c r="F358" s="0" t="s">
        <v>4012</v>
      </c>
      <c r="G358" s="0" t="s">
        <v>4991</v>
      </c>
    </row>
    <row customHeight="1" ht="11.25">
      <c r="A359" s="383" t="s">
        <v>16</v>
      </c>
      <c r="B359" s="0" t="s">
        <v>4955</v>
      </c>
      <c r="C359" s="0" t="s">
        <v>4956</v>
      </c>
      <c r="D359" s="0" t="s">
        <v>4992</v>
      </c>
      <c r="E359" s="0" t="s">
        <v>4993</v>
      </c>
      <c r="F359" s="0" t="s">
        <v>4012</v>
      </c>
      <c r="G359" s="0" t="s">
        <v>4994</v>
      </c>
    </row>
    <row customHeight="1" ht="11.25">
      <c r="A360" s="383" t="s">
        <v>16</v>
      </c>
      <c r="B360" s="0" t="s">
        <v>4955</v>
      </c>
      <c r="C360" s="0" t="s">
        <v>4956</v>
      </c>
      <c r="D360" s="0" t="s">
        <v>4995</v>
      </c>
      <c r="E360" s="0" t="s">
        <v>4996</v>
      </c>
      <c r="F360" s="0" t="s">
        <v>4012</v>
      </c>
      <c r="G360" s="0" t="s">
        <v>4997</v>
      </c>
    </row>
    <row customHeight="1" ht="11.25">
      <c r="A361" s="383" t="s">
        <v>16</v>
      </c>
      <c r="B361" s="0" t="s">
        <v>4998</v>
      </c>
      <c r="C361" s="0" t="s">
        <v>4999</v>
      </c>
      <c r="D361" s="0" t="s">
        <v>5000</v>
      </c>
      <c r="E361" s="0" t="s">
        <v>5001</v>
      </c>
      <c r="F361" s="0" t="s">
        <v>4012</v>
      </c>
      <c r="G361" s="0" t="s">
        <v>5002</v>
      </c>
    </row>
    <row customHeight="1" ht="11.25">
      <c r="A362" s="383" t="s">
        <v>16</v>
      </c>
      <c r="B362" s="0" t="s">
        <v>4998</v>
      </c>
      <c r="C362" s="0" t="s">
        <v>4999</v>
      </c>
      <c r="D362" s="0" t="s">
        <v>5003</v>
      </c>
      <c r="E362" s="0" t="s">
        <v>5004</v>
      </c>
      <c r="F362" s="0" t="s">
        <v>4012</v>
      </c>
      <c r="G362" s="0" t="s">
        <v>5005</v>
      </c>
    </row>
    <row customHeight="1" ht="11.25">
      <c r="A363" s="383" t="s">
        <v>16</v>
      </c>
      <c r="B363" s="0" t="s">
        <v>4998</v>
      </c>
      <c r="C363" s="0" t="s">
        <v>4999</v>
      </c>
      <c r="D363" s="0" t="s">
        <v>5006</v>
      </c>
      <c r="E363" s="0" t="s">
        <v>5007</v>
      </c>
      <c r="F363" s="0" t="s">
        <v>4012</v>
      </c>
      <c r="G363" s="0" t="s">
        <v>5008</v>
      </c>
    </row>
    <row customHeight="1" ht="11.25">
      <c r="A364" s="383" t="s">
        <v>16</v>
      </c>
      <c r="B364" s="0" t="s">
        <v>4998</v>
      </c>
      <c r="C364" s="0" t="s">
        <v>4999</v>
      </c>
      <c r="D364" s="0" t="s">
        <v>5009</v>
      </c>
      <c r="E364" s="0" t="s">
        <v>5010</v>
      </c>
      <c r="F364" s="0" t="s">
        <v>4019</v>
      </c>
      <c r="G364" s="0" t="s">
        <v>5011</v>
      </c>
    </row>
    <row customHeight="1" ht="11.25">
      <c r="A365" s="383" t="s">
        <v>16</v>
      </c>
      <c r="B365" s="0" t="s">
        <v>4998</v>
      </c>
      <c r="C365" s="0" t="s">
        <v>4999</v>
      </c>
      <c r="D365" s="0" t="s">
        <v>5012</v>
      </c>
      <c r="E365" s="0" t="s">
        <v>5013</v>
      </c>
      <c r="F365" s="0" t="s">
        <v>4019</v>
      </c>
      <c r="G365" s="0" t="s">
        <v>5014</v>
      </c>
    </row>
    <row customHeight="1" ht="11.25">
      <c r="A366" s="383" t="s">
        <v>16</v>
      </c>
      <c r="B366" s="0" t="s">
        <v>4998</v>
      </c>
      <c r="C366" s="0" t="s">
        <v>4999</v>
      </c>
      <c r="D366" s="0" t="s">
        <v>5015</v>
      </c>
      <c r="E366" s="0" t="s">
        <v>5016</v>
      </c>
      <c r="F366" s="0" t="s">
        <v>4012</v>
      </c>
      <c r="G366" s="0" t="s">
        <v>5017</v>
      </c>
    </row>
    <row customHeight="1" ht="11.25">
      <c r="A367" s="383" t="s">
        <v>16</v>
      </c>
      <c r="B367" s="0" t="s">
        <v>4998</v>
      </c>
      <c r="C367" s="0" t="s">
        <v>4999</v>
      </c>
      <c r="D367" s="0" t="s">
        <v>5018</v>
      </c>
      <c r="E367" s="0" t="s">
        <v>5019</v>
      </c>
      <c r="F367" s="0" t="s">
        <v>4012</v>
      </c>
      <c r="G367" s="0" t="s">
        <v>5020</v>
      </c>
    </row>
    <row customHeight="1" ht="11.25">
      <c r="A368" s="383" t="s">
        <v>16</v>
      </c>
      <c r="B368" s="0" t="s">
        <v>4998</v>
      </c>
      <c r="C368" s="0" t="s">
        <v>4999</v>
      </c>
      <c r="D368" s="0" t="s">
        <v>4998</v>
      </c>
      <c r="E368" s="0" t="s">
        <v>4999</v>
      </c>
      <c r="F368" s="0" t="s">
        <v>4009</v>
      </c>
      <c r="G368" s="0" t="s">
        <v>5021</v>
      </c>
    </row>
    <row customHeight="1" ht="11.25">
      <c r="A369" s="383" t="s">
        <v>16</v>
      </c>
      <c r="B369" s="0" t="s">
        <v>4998</v>
      </c>
      <c r="C369" s="0" t="s">
        <v>4999</v>
      </c>
      <c r="D369" s="0" t="s">
        <v>5022</v>
      </c>
      <c r="E369" s="0" t="s">
        <v>5023</v>
      </c>
      <c r="F369" s="0" t="s">
        <v>4012</v>
      </c>
      <c r="G369" s="0" t="s">
        <v>5024</v>
      </c>
    </row>
    <row customHeight="1" ht="11.25">
      <c r="A370" s="383" t="s">
        <v>16</v>
      </c>
      <c r="B370" s="0" t="s">
        <v>4998</v>
      </c>
      <c r="C370" s="0" t="s">
        <v>4999</v>
      </c>
      <c r="D370" s="0" t="s">
        <v>5025</v>
      </c>
      <c r="E370" s="0" t="s">
        <v>5026</v>
      </c>
      <c r="F370" s="0" t="s">
        <v>4012</v>
      </c>
      <c r="G370" s="0" t="s">
        <v>5027</v>
      </c>
    </row>
    <row customHeight="1" ht="11.25">
      <c r="A371" s="383" t="s">
        <v>16</v>
      </c>
      <c r="B371" s="0" t="s">
        <v>5028</v>
      </c>
      <c r="C371" s="0" t="s">
        <v>5029</v>
      </c>
      <c r="D371" s="0" t="s">
        <v>5030</v>
      </c>
      <c r="E371" s="0" t="s">
        <v>5031</v>
      </c>
      <c r="F371" s="0" t="s">
        <v>4012</v>
      </c>
      <c r="G371" s="0" t="s">
        <v>5032</v>
      </c>
    </row>
    <row customHeight="1" ht="11.25">
      <c r="A372" s="383" t="s">
        <v>16</v>
      </c>
      <c r="B372" s="0" t="s">
        <v>5028</v>
      </c>
      <c r="C372" s="0" t="s">
        <v>5029</v>
      </c>
      <c r="D372" s="0" t="s">
        <v>5033</v>
      </c>
      <c r="E372" s="0" t="s">
        <v>5034</v>
      </c>
      <c r="F372" s="0" t="s">
        <v>4012</v>
      </c>
      <c r="G372" s="0" t="s">
        <v>5035</v>
      </c>
    </row>
    <row customHeight="1" ht="11.25">
      <c r="A373" s="383" t="s">
        <v>16</v>
      </c>
      <c r="B373" s="0" t="s">
        <v>5028</v>
      </c>
      <c r="C373" s="0" t="s">
        <v>5029</v>
      </c>
      <c r="D373" s="0" t="s">
        <v>5000</v>
      </c>
      <c r="E373" s="0" t="s">
        <v>5036</v>
      </c>
      <c r="F373" s="0" t="s">
        <v>4012</v>
      </c>
      <c r="G373" s="0" t="s">
        <v>5037</v>
      </c>
    </row>
    <row customHeight="1" ht="11.25">
      <c r="A374" s="383" t="s">
        <v>16</v>
      </c>
      <c r="B374" s="0" t="s">
        <v>5028</v>
      </c>
      <c r="C374" s="0" t="s">
        <v>5029</v>
      </c>
      <c r="D374" s="0" t="s">
        <v>5038</v>
      </c>
      <c r="E374" s="0" t="s">
        <v>5039</v>
      </c>
      <c r="F374" s="0" t="s">
        <v>4012</v>
      </c>
      <c r="G374" s="0" t="s">
        <v>5040</v>
      </c>
    </row>
    <row customHeight="1" ht="11.25">
      <c r="A375" s="383" t="s">
        <v>16</v>
      </c>
      <c r="B375" s="0" t="s">
        <v>5028</v>
      </c>
      <c r="C375" s="0" t="s">
        <v>5029</v>
      </c>
      <c r="D375" s="0" t="s">
        <v>4094</v>
      </c>
      <c r="E375" s="0" t="s">
        <v>5041</v>
      </c>
      <c r="F375" s="0" t="s">
        <v>4012</v>
      </c>
      <c r="G375" s="0" t="s">
        <v>5042</v>
      </c>
    </row>
    <row customHeight="1" ht="11.25">
      <c r="A376" s="383" t="s">
        <v>16</v>
      </c>
      <c r="B376" s="0" t="s">
        <v>5028</v>
      </c>
      <c r="C376" s="0" t="s">
        <v>5029</v>
      </c>
      <c r="D376" s="0" t="s">
        <v>5043</v>
      </c>
      <c r="E376" s="0" t="s">
        <v>5044</v>
      </c>
      <c r="F376" s="0" t="s">
        <v>4012</v>
      </c>
      <c r="G376" s="0" t="s">
        <v>5045</v>
      </c>
    </row>
    <row customHeight="1" ht="11.25">
      <c r="A377" s="383" t="s">
        <v>16</v>
      </c>
      <c r="B377" s="0" t="s">
        <v>5028</v>
      </c>
      <c r="C377" s="0" t="s">
        <v>5029</v>
      </c>
      <c r="D377" s="0" t="s">
        <v>5046</v>
      </c>
      <c r="E377" s="0" t="s">
        <v>5047</v>
      </c>
      <c r="F377" s="0" t="s">
        <v>4012</v>
      </c>
      <c r="G377" s="0" t="s">
        <v>5048</v>
      </c>
    </row>
    <row customHeight="1" ht="11.25">
      <c r="A378" s="383" t="s">
        <v>16</v>
      </c>
      <c r="B378" s="0" t="s">
        <v>5028</v>
      </c>
      <c r="C378" s="0" t="s">
        <v>5029</v>
      </c>
      <c r="D378" s="0" t="s">
        <v>5049</v>
      </c>
      <c r="E378" s="0" t="s">
        <v>5050</v>
      </c>
      <c r="F378" s="0" t="s">
        <v>4012</v>
      </c>
      <c r="G378" s="0" t="s">
        <v>5051</v>
      </c>
    </row>
    <row customHeight="1" ht="11.25">
      <c r="A379" s="383" t="s">
        <v>16</v>
      </c>
      <c r="B379" s="0" t="s">
        <v>5028</v>
      </c>
      <c r="C379" s="0" t="s">
        <v>5029</v>
      </c>
      <c r="D379" s="0" t="s">
        <v>5052</v>
      </c>
      <c r="E379" s="0" t="s">
        <v>5053</v>
      </c>
      <c r="F379" s="0" t="s">
        <v>4012</v>
      </c>
      <c r="G379" s="0" t="s">
        <v>5054</v>
      </c>
    </row>
    <row customHeight="1" ht="11.25">
      <c r="A380" s="383" t="s">
        <v>16</v>
      </c>
      <c r="B380" s="0" t="s">
        <v>5028</v>
      </c>
      <c r="C380" s="0" t="s">
        <v>5029</v>
      </c>
      <c r="D380" s="0" t="s">
        <v>5055</v>
      </c>
      <c r="E380" s="0" t="s">
        <v>5056</v>
      </c>
      <c r="F380" s="0" t="s">
        <v>4012</v>
      </c>
      <c r="G380" s="0" t="s">
        <v>5057</v>
      </c>
    </row>
    <row customHeight="1" ht="11.25">
      <c r="A381" s="383" t="s">
        <v>16</v>
      </c>
      <c r="B381" s="0" t="s">
        <v>5028</v>
      </c>
      <c r="C381" s="0" t="s">
        <v>5029</v>
      </c>
      <c r="D381" s="0" t="s">
        <v>5058</v>
      </c>
      <c r="E381" s="0" t="s">
        <v>5059</v>
      </c>
      <c r="F381" s="0" t="s">
        <v>4012</v>
      </c>
      <c r="G381" s="0" t="s">
        <v>5060</v>
      </c>
    </row>
    <row customHeight="1" ht="11.25">
      <c r="A382" s="383" t="s">
        <v>16</v>
      </c>
      <c r="B382" s="0" t="s">
        <v>5028</v>
      </c>
      <c r="C382" s="0" t="s">
        <v>5029</v>
      </c>
      <c r="D382" s="0" t="s">
        <v>5061</v>
      </c>
      <c r="E382" s="0" t="s">
        <v>5062</v>
      </c>
      <c r="F382" s="0" t="s">
        <v>4012</v>
      </c>
      <c r="G382" s="0" t="s">
        <v>5063</v>
      </c>
    </row>
    <row customHeight="1" ht="11.25">
      <c r="A383" s="383" t="s">
        <v>16</v>
      </c>
      <c r="B383" s="0" t="s">
        <v>5028</v>
      </c>
      <c r="C383" s="0" t="s">
        <v>5029</v>
      </c>
      <c r="D383" s="0" t="s">
        <v>5064</v>
      </c>
      <c r="E383" s="0" t="s">
        <v>5065</v>
      </c>
      <c r="F383" s="0" t="s">
        <v>4012</v>
      </c>
      <c r="G383" s="0" t="s">
        <v>5066</v>
      </c>
    </row>
    <row customHeight="1" ht="11.25">
      <c r="A384" s="383" t="s">
        <v>16</v>
      </c>
      <c r="B384" s="0" t="s">
        <v>5028</v>
      </c>
      <c r="C384" s="0" t="s">
        <v>5029</v>
      </c>
      <c r="D384" s="0" t="s">
        <v>5067</v>
      </c>
      <c r="E384" s="0" t="s">
        <v>5068</v>
      </c>
      <c r="F384" s="0" t="s">
        <v>4012</v>
      </c>
      <c r="G384" s="0" t="s">
        <v>5069</v>
      </c>
    </row>
    <row customHeight="1" ht="11.25">
      <c r="A385" s="383" t="s">
        <v>16</v>
      </c>
      <c r="B385" s="0" t="s">
        <v>5028</v>
      </c>
      <c r="C385" s="0" t="s">
        <v>5029</v>
      </c>
      <c r="D385" s="0" t="s">
        <v>5070</v>
      </c>
      <c r="E385" s="0" t="s">
        <v>5071</v>
      </c>
      <c r="F385" s="0" t="s">
        <v>4012</v>
      </c>
      <c r="G385" s="0" t="s">
        <v>5072</v>
      </c>
    </row>
    <row customHeight="1" ht="11.25">
      <c r="A386" s="383" t="s">
        <v>16</v>
      </c>
      <c r="B386" s="0" t="s">
        <v>5028</v>
      </c>
      <c r="C386" s="0" t="s">
        <v>5029</v>
      </c>
      <c r="D386" s="0" t="s">
        <v>5073</v>
      </c>
      <c r="E386" s="0" t="s">
        <v>5074</v>
      </c>
      <c r="F386" s="0" t="s">
        <v>4012</v>
      </c>
      <c r="G386" s="0" t="s">
        <v>5075</v>
      </c>
    </row>
    <row customHeight="1" ht="11.25">
      <c r="A387" s="383" t="s">
        <v>16</v>
      </c>
      <c r="B387" s="0" t="s">
        <v>5028</v>
      </c>
      <c r="C387" s="0" t="s">
        <v>5029</v>
      </c>
      <c r="D387" s="0" t="s">
        <v>5076</v>
      </c>
      <c r="E387" s="0" t="s">
        <v>5077</v>
      </c>
      <c r="F387" s="0" t="s">
        <v>4012</v>
      </c>
      <c r="G387" s="0" t="s">
        <v>5078</v>
      </c>
    </row>
    <row customHeight="1" ht="11.25">
      <c r="A388" s="383" t="s">
        <v>16</v>
      </c>
      <c r="B388" s="0" t="s">
        <v>5028</v>
      </c>
      <c r="C388" s="0" t="s">
        <v>5029</v>
      </c>
      <c r="D388" s="0" t="s">
        <v>5079</v>
      </c>
      <c r="E388" s="0" t="s">
        <v>5080</v>
      </c>
      <c r="F388" s="0" t="s">
        <v>4012</v>
      </c>
      <c r="G388" s="0" t="s">
        <v>5081</v>
      </c>
    </row>
    <row customHeight="1" ht="11.25">
      <c r="A389" s="383" t="s">
        <v>16</v>
      </c>
      <c r="B389" s="0" t="s">
        <v>5028</v>
      </c>
      <c r="C389" s="0" t="s">
        <v>5029</v>
      </c>
      <c r="D389" s="0" t="s">
        <v>5028</v>
      </c>
      <c r="E389" s="0" t="s">
        <v>5029</v>
      </c>
      <c r="F389" s="0" t="s">
        <v>4009</v>
      </c>
      <c r="G389" s="0" t="s">
        <v>5082</v>
      </c>
    </row>
    <row customHeight="1" ht="11.25">
      <c r="A390" s="383" t="s">
        <v>16</v>
      </c>
      <c r="B390" s="0" t="s">
        <v>5028</v>
      </c>
      <c r="C390" s="0" t="s">
        <v>5029</v>
      </c>
      <c r="D390" s="0" t="s">
        <v>5083</v>
      </c>
      <c r="E390" s="0" t="s">
        <v>5084</v>
      </c>
      <c r="F390" s="0" t="s">
        <v>4012</v>
      </c>
      <c r="G390" s="0" t="s">
        <v>5085</v>
      </c>
    </row>
    <row customHeight="1" ht="11.25">
      <c r="A391" s="383" t="s">
        <v>16</v>
      </c>
      <c r="B391" s="0" t="s">
        <v>5028</v>
      </c>
      <c r="C391" s="0" t="s">
        <v>5029</v>
      </c>
      <c r="D391" s="0" t="s">
        <v>4158</v>
      </c>
      <c r="E391" s="0" t="s">
        <v>5086</v>
      </c>
      <c r="F391" s="0" t="s">
        <v>4012</v>
      </c>
      <c r="G391" s="0" t="s">
        <v>5087</v>
      </c>
    </row>
    <row customHeight="1" ht="11.25">
      <c r="A392" s="383" t="s">
        <v>16</v>
      </c>
      <c r="B392" s="0" t="s">
        <v>5028</v>
      </c>
      <c r="C392" s="0" t="s">
        <v>5029</v>
      </c>
      <c r="D392" s="0" t="s">
        <v>5088</v>
      </c>
      <c r="E392" s="0" t="s">
        <v>5089</v>
      </c>
      <c r="F392" s="0" t="s">
        <v>4012</v>
      </c>
      <c r="G392" s="0" t="s">
        <v>5090</v>
      </c>
    </row>
    <row customHeight="1" ht="11.25">
      <c r="A393" s="383" t="s">
        <v>16</v>
      </c>
      <c r="B393" s="0" t="s">
        <v>5091</v>
      </c>
      <c r="C393" s="0" t="s">
        <v>5092</v>
      </c>
      <c r="D393" s="0" t="s">
        <v>5093</v>
      </c>
      <c r="E393" s="0" t="s">
        <v>5094</v>
      </c>
      <c r="F393" s="0" t="s">
        <v>4012</v>
      </c>
      <c r="G393" s="0" t="s">
        <v>5095</v>
      </c>
    </row>
    <row customHeight="1" ht="11.25">
      <c r="A394" s="383" t="s">
        <v>16</v>
      </c>
      <c r="B394" s="0" t="s">
        <v>5091</v>
      </c>
      <c r="C394" s="0" t="s">
        <v>5092</v>
      </c>
      <c r="D394" s="0" t="s">
        <v>5096</v>
      </c>
      <c r="E394" s="0" t="s">
        <v>5097</v>
      </c>
      <c r="F394" s="0" t="s">
        <v>4049</v>
      </c>
      <c r="G394" s="0" t="s">
        <v>5098</v>
      </c>
    </row>
    <row customHeight="1" ht="11.25">
      <c r="A395" s="383" t="s">
        <v>16</v>
      </c>
      <c r="B395" s="0" t="s">
        <v>5091</v>
      </c>
      <c r="C395" s="0" t="s">
        <v>5092</v>
      </c>
      <c r="D395" s="0" t="s">
        <v>5099</v>
      </c>
      <c r="E395" s="0" t="s">
        <v>5100</v>
      </c>
      <c r="F395" s="0" t="s">
        <v>4012</v>
      </c>
      <c r="G395" s="0" t="s">
        <v>5101</v>
      </c>
    </row>
    <row customHeight="1" ht="11.25">
      <c r="A396" s="383" t="s">
        <v>16</v>
      </c>
      <c r="B396" s="0" t="s">
        <v>5091</v>
      </c>
      <c r="C396" s="0" t="s">
        <v>5092</v>
      </c>
      <c r="D396" s="0" t="s">
        <v>5102</v>
      </c>
      <c r="E396" s="0" t="s">
        <v>5103</v>
      </c>
      <c r="F396" s="0" t="s">
        <v>4019</v>
      </c>
      <c r="G396" s="0" t="s">
        <v>5104</v>
      </c>
    </row>
    <row customHeight="1" ht="11.25">
      <c r="A397" s="383" t="s">
        <v>16</v>
      </c>
      <c r="B397" s="0" t="s">
        <v>5091</v>
      </c>
      <c r="C397" s="0" t="s">
        <v>5092</v>
      </c>
      <c r="D397" s="0" t="s">
        <v>5105</v>
      </c>
      <c r="E397" s="0" t="s">
        <v>5106</v>
      </c>
      <c r="F397" s="0" t="s">
        <v>4019</v>
      </c>
      <c r="G397" s="0" t="s">
        <v>5107</v>
      </c>
    </row>
    <row customHeight="1" ht="11.25">
      <c r="A398" s="383" t="s">
        <v>16</v>
      </c>
      <c r="B398" s="0" t="s">
        <v>5091</v>
      </c>
      <c r="C398" s="0" t="s">
        <v>5092</v>
      </c>
      <c r="D398" s="0" t="s">
        <v>5108</v>
      </c>
      <c r="E398" s="0" t="s">
        <v>5109</v>
      </c>
      <c r="F398" s="0" t="s">
        <v>4019</v>
      </c>
      <c r="G398" s="0" t="s">
        <v>5110</v>
      </c>
    </row>
    <row customHeight="1" ht="11.25">
      <c r="A399" s="383" t="s">
        <v>16</v>
      </c>
      <c r="B399" s="0" t="s">
        <v>5091</v>
      </c>
      <c r="C399" s="0" t="s">
        <v>5092</v>
      </c>
      <c r="D399" s="0" t="s">
        <v>5111</v>
      </c>
      <c r="E399" s="0" t="s">
        <v>5112</v>
      </c>
      <c r="F399" s="0" t="s">
        <v>4019</v>
      </c>
      <c r="G399" s="0" t="s">
        <v>5113</v>
      </c>
    </row>
    <row customHeight="1" ht="11.25">
      <c r="A400" s="383" t="s">
        <v>16</v>
      </c>
      <c r="B400" s="0" t="s">
        <v>5091</v>
      </c>
      <c r="C400" s="0" t="s">
        <v>5092</v>
      </c>
      <c r="D400" s="0" t="s">
        <v>5114</v>
      </c>
      <c r="E400" s="0" t="s">
        <v>5115</v>
      </c>
      <c r="F400" s="0" t="s">
        <v>4019</v>
      </c>
      <c r="G400" s="0" t="s">
        <v>5116</v>
      </c>
    </row>
    <row customHeight="1" ht="11.25">
      <c r="A401" s="383" t="s">
        <v>16</v>
      </c>
      <c r="B401" s="0" t="s">
        <v>5091</v>
      </c>
      <c r="C401" s="0" t="s">
        <v>5092</v>
      </c>
      <c r="D401" s="0" t="s">
        <v>5117</v>
      </c>
      <c r="E401" s="0" t="s">
        <v>5118</v>
      </c>
      <c r="F401" s="0" t="s">
        <v>4012</v>
      </c>
      <c r="G401" s="0" t="s">
        <v>5119</v>
      </c>
    </row>
    <row customHeight="1" ht="11.25">
      <c r="A402" s="383" t="s">
        <v>16</v>
      </c>
      <c r="B402" s="0" t="s">
        <v>5091</v>
      </c>
      <c r="C402" s="0" t="s">
        <v>5092</v>
      </c>
      <c r="D402" s="0" t="s">
        <v>5120</v>
      </c>
      <c r="E402" s="0" t="s">
        <v>5121</v>
      </c>
      <c r="F402" s="0" t="s">
        <v>4012</v>
      </c>
      <c r="G402" s="0" t="s">
        <v>5122</v>
      </c>
    </row>
    <row customHeight="1" ht="11.25">
      <c r="A403" s="383" t="s">
        <v>16</v>
      </c>
      <c r="B403" s="0" t="s">
        <v>5091</v>
      </c>
      <c r="C403" s="0" t="s">
        <v>5092</v>
      </c>
      <c r="D403" s="0" t="s">
        <v>5091</v>
      </c>
      <c r="E403" s="0" t="s">
        <v>5092</v>
      </c>
      <c r="F403" s="0" t="s">
        <v>4009</v>
      </c>
      <c r="G403" s="0" t="s">
        <v>5123</v>
      </c>
    </row>
    <row customHeight="1" ht="11.25">
      <c r="A404" s="383" t="s">
        <v>16</v>
      </c>
      <c r="B404" s="0" t="s">
        <v>5091</v>
      </c>
      <c r="C404" s="0" t="s">
        <v>5092</v>
      </c>
      <c r="D404" s="0" t="s">
        <v>5124</v>
      </c>
      <c r="E404" s="0" t="s">
        <v>5125</v>
      </c>
      <c r="F404" s="0" t="s">
        <v>4012</v>
      </c>
      <c r="G404" s="0" t="s">
        <v>5126</v>
      </c>
    </row>
    <row customHeight="1" ht="11.25">
      <c r="A405" s="383" t="s">
        <v>16</v>
      </c>
      <c r="B405" s="0" t="s">
        <v>5127</v>
      </c>
      <c r="C405" s="0" t="s">
        <v>5128</v>
      </c>
      <c r="D405" s="0" t="s">
        <v>5129</v>
      </c>
      <c r="E405" s="0" t="s">
        <v>5130</v>
      </c>
      <c r="F405" s="0" t="s">
        <v>4012</v>
      </c>
      <c r="G405" s="0" t="s">
        <v>5131</v>
      </c>
    </row>
    <row customHeight="1" ht="11.25">
      <c r="A406" s="383" t="s">
        <v>16</v>
      </c>
      <c r="B406" s="0" t="s">
        <v>5127</v>
      </c>
      <c r="C406" s="0" t="s">
        <v>5128</v>
      </c>
      <c r="D406" s="0" t="s">
        <v>5132</v>
      </c>
      <c r="E406" s="0" t="s">
        <v>5133</v>
      </c>
      <c r="F406" s="0" t="s">
        <v>4012</v>
      </c>
      <c r="G406" s="0" t="s">
        <v>5134</v>
      </c>
    </row>
    <row customHeight="1" ht="11.25">
      <c r="A407" s="383" t="s">
        <v>16</v>
      </c>
      <c r="B407" s="0" t="s">
        <v>5127</v>
      </c>
      <c r="C407" s="0" t="s">
        <v>5128</v>
      </c>
      <c r="D407" s="0" t="s">
        <v>5135</v>
      </c>
      <c r="E407" s="0" t="s">
        <v>5136</v>
      </c>
      <c r="F407" s="0" t="s">
        <v>4019</v>
      </c>
      <c r="G407" s="0" t="s">
        <v>5137</v>
      </c>
    </row>
    <row customHeight="1" ht="11.25">
      <c r="A408" s="383" t="s">
        <v>16</v>
      </c>
      <c r="B408" s="0" t="s">
        <v>5127</v>
      </c>
      <c r="C408" s="0" t="s">
        <v>5128</v>
      </c>
      <c r="D408" s="0" t="s">
        <v>5138</v>
      </c>
      <c r="E408" s="0" t="s">
        <v>5139</v>
      </c>
      <c r="F408" s="0" t="s">
        <v>4019</v>
      </c>
      <c r="G408" s="0" t="s">
        <v>5140</v>
      </c>
    </row>
    <row customHeight="1" ht="11.25">
      <c r="A409" s="383" t="s">
        <v>16</v>
      </c>
      <c r="B409" s="0" t="s">
        <v>5127</v>
      </c>
      <c r="C409" s="0" t="s">
        <v>5128</v>
      </c>
      <c r="D409" s="0" t="s">
        <v>5141</v>
      </c>
      <c r="E409" s="0" t="s">
        <v>5142</v>
      </c>
      <c r="F409" s="0" t="s">
        <v>4019</v>
      </c>
      <c r="G409" s="0" t="s">
        <v>5143</v>
      </c>
    </row>
    <row customHeight="1" ht="11.25">
      <c r="A410" s="383" t="s">
        <v>16</v>
      </c>
      <c r="B410" s="0" t="s">
        <v>5127</v>
      </c>
      <c r="C410" s="0" t="s">
        <v>5128</v>
      </c>
      <c r="D410" s="0" t="s">
        <v>5144</v>
      </c>
      <c r="E410" s="0" t="s">
        <v>5145</v>
      </c>
      <c r="F410" s="0" t="s">
        <v>4012</v>
      </c>
      <c r="G410" s="0" t="s">
        <v>5146</v>
      </c>
    </row>
    <row customHeight="1" ht="11.25">
      <c r="A411" s="383" t="s">
        <v>16</v>
      </c>
      <c r="B411" s="0" t="s">
        <v>5127</v>
      </c>
      <c r="C411" s="0" t="s">
        <v>5128</v>
      </c>
      <c r="D411" s="0" t="s">
        <v>5147</v>
      </c>
      <c r="E411" s="0" t="s">
        <v>5148</v>
      </c>
      <c r="F411" s="0" t="s">
        <v>4012</v>
      </c>
      <c r="G411" s="0" t="s">
        <v>5149</v>
      </c>
    </row>
    <row customHeight="1" ht="11.25">
      <c r="A412" s="383" t="s">
        <v>16</v>
      </c>
      <c r="B412" s="0" t="s">
        <v>5127</v>
      </c>
      <c r="C412" s="0" t="s">
        <v>5128</v>
      </c>
      <c r="D412" s="0" t="s">
        <v>5150</v>
      </c>
      <c r="E412" s="0" t="s">
        <v>5151</v>
      </c>
      <c r="F412" s="0" t="s">
        <v>4012</v>
      </c>
      <c r="G412" s="0" t="s">
        <v>5152</v>
      </c>
    </row>
    <row customHeight="1" ht="11.25">
      <c r="A413" s="383" t="s">
        <v>16</v>
      </c>
      <c r="B413" s="0" t="s">
        <v>5127</v>
      </c>
      <c r="C413" s="0" t="s">
        <v>5128</v>
      </c>
      <c r="D413" s="0" t="s">
        <v>5127</v>
      </c>
      <c r="E413" s="0" t="s">
        <v>5128</v>
      </c>
      <c r="F413" s="0" t="s">
        <v>4009</v>
      </c>
      <c r="G413" s="0" t="s">
        <v>5153</v>
      </c>
    </row>
    <row customHeight="1" ht="11.25">
      <c r="A414" s="383" t="s">
        <v>16</v>
      </c>
      <c r="B414" s="0" t="s">
        <v>5127</v>
      </c>
      <c r="C414" s="0" t="s">
        <v>5128</v>
      </c>
      <c r="D414" s="0" t="s">
        <v>5154</v>
      </c>
      <c r="E414" s="0" t="s">
        <v>5155</v>
      </c>
      <c r="F414" s="0" t="s">
        <v>4012</v>
      </c>
      <c r="G414" s="0" t="s">
        <v>5156</v>
      </c>
    </row>
    <row customHeight="1" ht="11.25">
      <c r="A415" s="383" t="s">
        <v>16</v>
      </c>
      <c r="B415" s="0" t="s">
        <v>5127</v>
      </c>
      <c r="C415" s="0" t="s">
        <v>5128</v>
      </c>
      <c r="D415" s="0" t="s">
        <v>5157</v>
      </c>
      <c r="E415" s="0" t="s">
        <v>5158</v>
      </c>
      <c r="F415" s="0" t="s">
        <v>4012</v>
      </c>
      <c r="G415" s="0" t="s">
        <v>5159</v>
      </c>
    </row>
    <row customHeight="1" ht="11.25">
      <c r="A416" s="383" t="s">
        <v>16</v>
      </c>
      <c r="B416" s="0" t="s">
        <v>5160</v>
      </c>
      <c r="C416" s="0" t="s">
        <v>5161</v>
      </c>
      <c r="D416" s="0" t="s">
        <v>4340</v>
      </c>
      <c r="E416" s="0" t="s">
        <v>5162</v>
      </c>
      <c r="F416" s="0" t="s">
        <v>4012</v>
      </c>
      <c r="G416" s="0" t="s">
        <v>5163</v>
      </c>
    </row>
    <row customHeight="1" ht="11.25">
      <c r="A417" s="383" t="s">
        <v>16</v>
      </c>
      <c r="B417" s="0" t="s">
        <v>5160</v>
      </c>
      <c r="C417" s="0" t="s">
        <v>5161</v>
      </c>
      <c r="D417" s="0" t="s">
        <v>5164</v>
      </c>
      <c r="E417" s="0" t="s">
        <v>5165</v>
      </c>
      <c r="F417" s="0" t="s">
        <v>4030</v>
      </c>
      <c r="G417" s="0" t="s">
        <v>5166</v>
      </c>
    </row>
    <row customHeight="1" ht="11.25">
      <c r="A418" s="383" t="s">
        <v>16</v>
      </c>
      <c r="B418" s="0" t="s">
        <v>5160</v>
      </c>
      <c r="C418" s="0" t="s">
        <v>5161</v>
      </c>
      <c r="D418" s="0" t="s">
        <v>5167</v>
      </c>
      <c r="E418" s="0" t="s">
        <v>5168</v>
      </c>
      <c r="F418" s="0" t="s">
        <v>4012</v>
      </c>
      <c r="G418" s="0" t="s">
        <v>5169</v>
      </c>
    </row>
    <row customHeight="1" ht="11.25">
      <c r="A419" s="383" t="s">
        <v>16</v>
      </c>
      <c r="B419" s="0" t="s">
        <v>5160</v>
      </c>
      <c r="C419" s="0" t="s">
        <v>5161</v>
      </c>
      <c r="D419" s="0" t="s">
        <v>5170</v>
      </c>
      <c r="E419" s="0" t="s">
        <v>5171</v>
      </c>
      <c r="F419" s="0" t="s">
        <v>4012</v>
      </c>
      <c r="G419" s="0" t="s">
        <v>5172</v>
      </c>
    </row>
    <row customHeight="1" ht="11.25">
      <c r="A420" s="383" t="s">
        <v>16</v>
      </c>
      <c r="B420" s="0" t="s">
        <v>5160</v>
      </c>
      <c r="C420" s="0" t="s">
        <v>5161</v>
      </c>
      <c r="D420" s="0" t="s">
        <v>5173</v>
      </c>
      <c r="E420" s="0" t="s">
        <v>5174</v>
      </c>
      <c r="F420" s="0" t="s">
        <v>4012</v>
      </c>
      <c r="G420" s="0" t="s">
        <v>5175</v>
      </c>
    </row>
    <row customHeight="1" ht="11.25">
      <c r="A421" s="383" t="s">
        <v>16</v>
      </c>
      <c r="B421" s="0" t="s">
        <v>5160</v>
      </c>
      <c r="C421" s="0" t="s">
        <v>5161</v>
      </c>
      <c r="D421" s="0" t="s">
        <v>5176</v>
      </c>
      <c r="E421" s="0" t="s">
        <v>5177</v>
      </c>
      <c r="F421" s="0" t="s">
        <v>4012</v>
      </c>
      <c r="G421" s="0" t="s">
        <v>5178</v>
      </c>
    </row>
    <row customHeight="1" ht="11.25">
      <c r="A422" s="383" t="s">
        <v>16</v>
      </c>
      <c r="B422" s="0" t="s">
        <v>5160</v>
      </c>
      <c r="C422" s="0" t="s">
        <v>5161</v>
      </c>
      <c r="D422" s="0" t="s">
        <v>5179</v>
      </c>
      <c r="E422" s="0" t="s">
        <v>5180</v>
      </c>
      <c r="F422" s="0" t="s">
        <v>4012</v>
      </c>
      <c r="G422" s="0" t="s">
        <v>5181</v>
      </c>
    </row>
    <row customHeight="1" ht="11.25">
      <c r="A423" s="383" t="s">
        <v>16</v>
      </c>
      <c r="B423" s="0" t="s">
        <v>5160</v>
      </c>
      <c r="C423" s="0" t="s">
        <v>5161</v>
      </c>
      <c r="D423" s="0" t="s">
        <v>5182</v>
      </c>
      <c r="E423" s="0" t="s">
        <v>5183</v>
      </c>
      <c r="F423" s="0" t="s">
        <v>4012</v>
      </c>
      <c r="G423" s="0" t="s">
        <v>5184</v>
      </c>
    </row>
    <row customHeight="1" ht="11.25">
      <c r="A424" s="383" t="s">
        <v>16</v>
      </c>
      <c r="B424" s="0" t="s">
        <v>5160</v>
      </c>
      <c r="C424" s="0" t="s">
        <v>5161</v>
      </c>
      <c r="D424" s="0" t="s">
        <v>5185</v>
      </c>
      <c r="E424" s="0" t="s">
        <v>5186</v>
      </c>
      <c r="F424" s="0" t="s">
        <v>4012</v>
      </c>
      <c r="G424" s="0" t="s">
        <v>5187</v>
      </c>
    </row>
    <row customHeight="1" ht="11.25">
      <c r="A425" s="383" t="s">
        <v>16</v>
      </c>
      <c r="B425" s="0" t="s">
        <v>5160</v>
      </c>
      <c r="C425" s="0" t="s">
        <v>5161</v>
      </c>
      <c r="D425" s="0" t="s">
        <v>5188</v>
      </c>
      <c r="E425" s="0" t="s">
        <v>5189</v>
      </c>
      <c r="F425" s="0" t="s">
        <v>4012</v>
      </c>
      <c r="G425" s="0" t="s">
        <v>5190</v>
      </c>
    </row>
    <row customHeight="1" ht="11.25">
      <c r="A426" s="383" t="s">
        <v>16</v>
      </c>
      <c r="B426" s="0" t="s">
        <v>5160</v>
      </c>
      <c r="C426" s="0" t="s">
        <v>5161</v>
      </c>
      <c r="D426" s="0" t="s">
        <v>5191</v>
      </c>
      <c r="E426" s="0" t="s">
        <v>5192</v>
      </c>
      <c r="F426" s="0" t="s">
        <v>4012</v>
      </c>
      <c r="G426" s="0" t="s">
        <v>5193</v>
      </c>
    </row>
    <row customHeight="1" ht="11.25">
      <c r="A427" s="383" t="s">
        <v>16</v>
      </c>
      <c r="B427" s="0" t="s">
        <v>5160</v>
      </c>
      <c r="C427" s="0" t="s">
        <v>5161</v>
      </c>
      <c r="D427" s="0" t="s">
        <v>5194</v>
      </c>
      <c r="E427" s="0" t="s">
        <v>5195</v>
      </c>
      <c r="F427" s="0" t="s">
        <v>4012</v>
      </c>
      <c r="G427" s="0" t="s">
        <v>5196</v>
      </c>
    </row>
    <row customHeight="1" ht="11.25">
      <c r="A428" s="383" t="s">
        <v>16</v>
      </c>
      <c r="B428" s="0" t="s">
        <v>5160</v>
      </c>
      <c r="C428" s="0" t="s">
        <v>5161</v>
      </c>
      <c r="D428" s="0" t="s">
        <v>5197</v>
      </c>
      <c r="E428" s="0" t="s">
        <v>5198</v>
      </c>
      <c r="F428" s="0" t="s">
        <v>4012</v>
      </c>
      <c r="G428" s="0" t="s">
        <v>5199</v>
      </c>
    </row>
    <row customHeight="1" ht="11.25">
      <c r="A429" s="383" t="s">
        <v>16</v>
      </c>
      <c r="B429" s="0" t="s">
        <v>5160</v>
      </c>
      <c r="C429" s="0" t="s">
        <v>5161</v>
      </c>
      <c r="D429" s="0" t="s">
        <v>5200</v>
      </c>
      <c r="E429" s="0" t="s">
        <v>5201</v>
      </c>
      <c r="F429" s="0" t="s">
        <v>4019</v>
      </c>
      <c r="G429" s="0" t="s">
        <v>5202</v>
      </c>
    </row>
    <row customHeight="1" ht="11.25">
      <c r="A430" s="383" t="s">
        <v>16</v>
      </c>
      <c r="B430" s="0" t="s">
        <v>5160</v>
      </c>
      <c r="C430" s="0" t="s">
        <v>5161</v>
      </c>
      <c r="D430" s="0" t="s">
        <v>5203</v>
      </c>
      <c r="E430" s="0" t="s">
        <v>5204</v>
      </c>
      <c r="F430" s="0" t="s">
        <v>4012</v>
      </c>
      <c r="G430" s="0" t="s">
        <v>5205</v>
      </c>
    </row>
    <row customHeight="1" ht="11.25">
      <c r="A431" s="383" t="s">
        <v>16</v>
      </c>
      <c r="B431" s="0" t="s">
        <v>5160</v>
      </c>
      <c r="C431" s="0" t="s">
        <v>5161</v>
      </c>
      <c r="D431" s="0" t="s">
        <v>5206</v>
      </c>
      <c r="E431" s="0" t="s">
        <v>5207</v>
      </c>
      <c r="F431" s="0" t="s">
        <v>4012</v>
      </c>
      <c r="G431" s="0" t="s">
        <v>5208</v>
      </c>
    </row>
    <row customHeight="1" ht="11.25">
      <c r="A432" s="383" t="s">
        <v>16</v>
      </c>
      <c r="B432" s="0" t="s">
        <v>5160</v>
      </c>
      <c r="C432" s="0" t="s">
        <v>5161</v>
      </c>
      <c r="D432" s="0" t="s">
        <v>5209</v>
      </c>
      <c r="E432" s="0" t="s">
        <v>5210</v>
      </c>
      <c r="F432" s="0" t="s">
        <v>4012</v>
      </c>
      <c r="G432" s="0" t="s">
        <v>5211</v>
      </c>
    </row>
    <row customHeight="1" ht="11.25">
      <c r="A433" s="383" t="s">
        <v>16</v>
      </c>
      <c r="B433" s="0" t="s">
        <v>5160</v>
      </c>
      <c r="C433" s="0" t="s">
        <v>5161</v>
      </c>
      <c r="D433" s="0" t="s">
        <v>5212</v>
      </c>
      <c r="E433" s="0" t="s">
        <v>5213</v>
      </c>
      <c r="F433" s="0" t="s">
        <v>4012</v>
      </c>
      <c r="G433" s="0" t="s">
        <v>5214</v>
      </c>
    </row>
    <row customHeight="1" ht="11.25">
      <c r="A434" s="383" t="s">
        <v>16</v>
      </c>
      <c r="B434" s="0" t="s">
        <v>5160</v>
      </c>
      <c r="C434" s="0" t="s">
        <v>5161</v>
      </c>
      <c r="D434" s="0" t="s">
        <v>5160</v>
      </c>
      <c r="E434" s="0" t="s">
        <v>5161</v>
      </c>
      <c r="F434" s="0" t="s">
        <v>4009</v>
      </c>
      <c r="G434" s="0" t="s">
        <v>5215</v>
      </c>
    </row>
    <row customHeight="1" ht="11.25">
      <c r="A435" s="383" t="s">
        <v>16</v>
      </c>
      <c r="B435" s="0" t="s">
        <v>5216</v>
      </c>
      <c r="C435" s="0" t="s">
        <v>5217</v>
      </c>
      <c r="D435" s="0" t="s">
        <v>5218</v>
      </c>
      <c r="E435" s="0" t="s">
        <v>5219</v>
      </c>
      <c r="F435" s="0" t="s">
        <v>4012</v>
      </c>
      <c r="G435" s="0" t="s">
        <v>5220</v>
      </c>
    </row>
    <row customHeight="1" ht="11.25">
      <c r="A436" s="383" t="s">
        <v>16</v>
      </c>
      <c r="B436" s="0" t="s">
        <v>5216</v>
      </c>
      <c r="C436" s="0" t="s">
        <v>5217</v>
      </c>
      <c r="D436" s="0" t="s">
        <v>4163</v>
      </c>
      <c r="E436" s="0" t="s">
        <v>5221</v>
      </c>
      <c r="F436" s="0" t="s">
        <v>4012</v>
      </c>
      <c r="G436" s="0" t="s">
        <v>5222</v>
      </c>
    </row>
    <row customHeight="1" ht="11.25">
      <c r="A437" s="383" t="s">
        <v>16</v>
      </c>
      <c r="B437" s="0" t="s">
        <v>5216</v>
      </c>
      <c r="C437" s="0" t="s">
        <v>5217</v>
      </c>
      <c r="D437" s="0" t="s">
        <v>5223</v>
      </c>
      <c r="E437" s="0" t="s">
        <v>5224</v>
      </c>
      <c r="F437" s="0" t="s">
        <v>4012</v>
      </c>
      <c r="G437" s="0" t="s">
        <v>5225</v>
      </c>
    </row>
    <row customHeight="1" ht="11.25">
      <c r="A438" s="383" t="s">
        <v>16</v>
      </c>
      <c r="B438" s="0" t="s">
        <v>5216</v>
      </c>
      <c r="C438" s="0" t="s">
        <v>5217</v>
      </c>
      <c r="D438" s="0" t="s">
        <v>5226</v>
      </c>
      <c r="E438" s="0" t="s">
        <v>5227</v>
      </c>
      <c r="F438" s="0" t="s">
        <v>4012</v>
      </c>
      <c r="G438" s="0" t="s">
        <v>5228</v>
      </c>
    </row>
    <row customHeight="1" ht="11.25">
      <c r="A439" s="383" t="s">
        <v>16</v>
      </c>
      <c r="B439" s="0" t="s">
        <v>5216</v>
      </c>
      <c r="C439" s="0" t="s">
        <v>5217</v>
      </c>
      <c r="D439" s="0" t="s">
        <v>4068</v>
      </c>
      <c r="E439" s="0" t="s">
        <v>5229</v>
      </c>
      <c r="F439" s="0" t="s">
        <v>4012</v>
      </c>
      <c r="G439" s="0" t="s">
        <v>5230</v>
      </c>
    </row>
    <row customHeight="1" ht="11.25">
      <c r="A440" s="383" t="s">
        <v>16</v>
      </c>
      <c r="B440" s="0" t="s">
        <v>5216</v>
      </c>
      <c r="C440" s="0" t="s">
        <v>5217</v>
      </c>
      <c r="D440" s="0" t="s">
        <v>5231</v>
      </c>
      <c r="E440" s="0" t="s">
        <v>5232</v>
      </c>
      <c r="F440" s="0" t="s">
        <v>4012</v>
      </c>
      <c r="G440" s="0" t="s">
        <v>5233</v>
      </c>
    </row>
    <row customHeight="1" ht="11.25">
      <c r="A441" s="383" t="s">
        <v>16</v>
      </c>
      <c r="B441" s="0" t="s">
        <v>5216</v>
      </c>
      <c r="C441" s="0" t="s">
        <v>5217</v>
      </c>
      <c r="D441" s="0" t="s">
        <v>5234</v>
      </c>
      <c r="E441" s="0" t="s">
        <v>5235</v>
      </c>
      <c r="F441" s="0" t="s">
        <v>4012</v>
      </c>
      <c r="G441" s="0" t="s">
        <v>5236</v>
      </c>
    </row>
    <row customHeight="1" ht="11.25">
      <c r="A442" s="383" t="s">
        <v>16</v>
      </c>
      <c r="B442" s="0" t="s">
        <v>5216</v>
      </c>
      <c r="C442" s="0" t="s">
        <v>5217</v>
      </c>
      <c r="D442" s="0" t="s">
        <v>5237</v>
      </c>
      <c r="E442" s="0" t="s">
        <v>5238</v>
      </c>
      <c r="F442" s="0" t="s">
        <v>4012</v>
      </c>
      <c r="G442" s="0" t="s">
        <v>5239</v>
      </c>
    </row>
    <row customHeight="1" ht="11.25">
      <c r="A443" s="383" t="s">
        <v>16</v>
      </c>
      <c r="B443" s="0" t="s">
        <v>5216</v>
      </c>
      <c r="C443" s="0" t="s">
        <v>5217</v>
      </c>
      <c r="D443" s="0" t="s">
        <v>5240</v>
      </c>
      <c r="E443" s="0" t="s">
        <v>5241</v>
      </c>
      <c r="F443" s="0" t="s">
        <v>4012</v>
      </c>
      <c r="G443" s="0" t="s">
        <v>5242</v>
      </c>
    </row>
    <row customHeight="1" ht="11.25">
      <c r="A444" s="383" t="s">
        <v>16</v>
      </c>
      <c r="B444" s="0" t="s">
        <v>5216</v>
      </c>
      <c r="C444" s="0" t="s">
        <v>5217</v>
      </c>
      <c r="D444" s="0" t="s">
        <v>5243</v>
      </c>
      <c r="E444" s="0" t="s">
        <v>5244</v>
      </c>
      <c r="F444" s="0" t="s">
        <v>4012</v>
      </c>
      <c r="G444" s="0" t="s">
        <v>5245</v>
      </c>
    </row>
    <row customHeight="1" ht="11.25">
      <c r="A445" s="383" t="s">
        <v>16</v>
      </c>
      <c r="B445" s="0" t="s">
        <v>5216</v>
      </c>
      <c r="C445" s="0" t="s">
        <v>5217</v>
      </c>
      <c r="D445" s="0" t="s">
        <v>5246</v>
      </c>
      <c r="E445" s="0" t="s">
        <v>5247</v>
      </c>
      <c r="F445" s="0" t="s">
        <v>4012</v>
      </c>
      <c r="G445" s="0" t="s">
        <v>5248</v>
      </c>
    </row>
    <row customHeight="1" ht="11.25">
      <c r="A446" s="383" t="s">
        <v>16</v>
      </c>
      <c r="B446" s="0" t="s">
        <v>5216</v>
      </c>
      <c r="C446" s="0" t="s">
        <v>5217</v>
      </c>
      <c r="D446" s="0" t="s">
        <v>5249</v>
      </c>
      <c r="E446" s="0" t="s">
        <v>5250</v>
      </c>
      <c r="F446" s="0" t="s">
        <v>4012</v>
      </c>
      <c r="G446" s="0" t="s">
        <v>5251</v>
      </c>
    </row>
    <row customHeight="1" ht="11.25">
      <c r="A447" s="383" t="s">
        <v>16</v>
      </c>
      <c r="B447" s="0" t="s">
        <v>5216</v>
      </c>
      <c r="C447" s="0" t="s">
        <v>5217</v>
      </c>
      <c r="D447" s="0" t="s">
        <v>5252</v>
      </c>
      <c r="E447" s="0" t="s">
        <v>5253</v>
      </c>
      <c r="F447" s="0" t="s">
        <v>4012</v>
      </c>
      <c r="G447" s="0" t="s">
        <v>5254</v>
      </c>
    </row>
    <row customHeight="1" ht="11.25">
      <c r="A448" s="383" t="s">
        <v>16</v>
      </c>
      <c r="B448" s="0" t="s">
        <v>5216</v>
      </c>
      <c r="C448" s="0" t="s">
        <v>5217</v>
      </c>
      <c r="D448" s="0" t="s">
        <v>5255</v>
      </c>
      <c r="E448" s="0" t="s">
        <v>5256</v>
      </c>
      <c r="F448" s="0" t="s">
        <v>4012</v>
      </c>
      <c r="G448" s="0" t="s">
        <v>5257</v>
      </c>
    </row>
    <row customHeight="1" ht="11.25">
      <c r="A449" s="383" t="s">
        <v>16</v>
      </c>
      <c r="B449" s="0" t="s">
        <v>5216</v>
      </c>
      <c r="C449" s="0" t="s">
        <v>5217</v>
      </c>
      <c r="D449" s="0" t="s">
        <v>5258</v>
      </c>
      <c r="E449" s="0" t="s">
        <v>5259</v>
      </c>
      <c r="F449" s="0" t="s">
        <v>4012</v>
      </c>
      <c r="G449" s="0" t="s">
        <v>5260</v>
      </c>
    </row>
    <row customHeight="1" ht="11.25">
      <c r="A450" s="383" t="s">
        <v>16</v>
      </c>
      <c r="B450" s="0" t="s">
        <v>5216</v>
      </c>
      <c r="C450" s="0" t="s">
        <v>5217</v>
      </c>
      <c r="D450" s="0" t="s">
        <v>4080</v>
      </c>
      <c r="E450" s="0" t="s">
        <v>5261</v>
      </c>
      <c r="F450" s="0" t="s">
        <v>4012</v>
      </c>
      <c r="G450" s="0" t="s">
        <v>5262</v>
      </c>
    </row>
    <row customHeight="1" ht="11.25">
      <c r="A451" s="383" t="s">
        <v>16</v>
      </c>
      <c r="B451" s="0" t="s">
        <v>5216</v>
      </c>
      <c r="C451" s="0" t="s">
        <v>5217</v>
      </c>
      <c r="D451" s="0" t="s">
        <v>5216</v>
      </c>
      <c r="E451" s="0" t="s">
        <v>5217</v>
      </c>
      <c r="F451" s="0" t="s">
        <v>4009</v>
      </c>
      <c r="G451" s="0" t="s">
        <v>5263</v>
      </c>
    </row>
    <row customHeight="1" ht="11.25">
      <c r="A452" s="383" t="s">
        <v>16</v>
      </c>
      <c r="B452" s="0" t="s">
        <v>5216</v>
      </c>
      <c r="C452" s="0" t="s">
        <v>5217</v>
      </c>
      <c r="D452" s="0" t="s">
        <v>5264</v>
      </c>
      <c r="E452" s="0" t="s">
        <v>5265</v>
      </c>
      <c r="F452" s="0" t="s">
        <v>4012</v>
      </c>
      <c r="G452" s="0" t="s">
        <v>5266</v>
      </c>
    </row>
    <row customHeight="1" ht="11.25">
      <c r="A453" s="383" t="s">
        <v>16</v>
      </c>
      <c r="B453" s="0" t="s">
        <v>5267</v>
      </c>
      <c r="C453" s="0" t="s">
        <v>5268</v>
      </c>
      <c r="D453" s="0" t="s">
        <v>5269</v>
      </c>
      <c r="E453" s="0" t="s">
        <v>5270</v>
      </c>
      <c r="F453" s="0" t="s">
        <v>4012</v>
      </c>
      <c r="G453" s="0" t="s">
        <v>5271</v>
      </c>
    </row>
    <row customHeight="1" ht="11.25">
      <c r="A454" s="383" t="s">
        <v>16</v>
      </c>
      <c r="B454" s="0" t="s">
        <v>5267</v>
      </c>
      <c r="C454" s="0" t="s">
        <v>5268</v>
      </c>
      <c r="D454" s="0" t="s">
        <v>5272</v>
      </c>
      <c r="E454" s="0" t="s">
        <v>5273</v>
      </c>
      <c r="F454" s="0" t="s">
        <v>4012</v>
      </c>
      <c r="G454" s="0" t="s">
        <v>5274</v>
      </c>
    </row>
    <row customHeight="1" ht="11.25">
      <c r="A455" s="383" t="s">
        <v>16</v>
      </c>
      <c r="B455" s="0" t="s">
        <v>5267</v>
      </c>
      <c r="C455" s="0" t="s">
        <v>5268</v>
      </c>
      <c r="D455" s="0" t="s">
        <v>5275</v>
      </c>
      <c r="E455" s="0" t="s">
        <v>5276</v>
      </c>
      <c r="F455" s="0" t="s">
        <v>4012</v>
      </c>
      <c r="G455" s="0" t="s">
        <v>5277</v>
      </c>
    </row>
    <row customHeight="1" ht="11.25">
      <c r="A456" s="383" t="s">
        <v>16</v>
      </c>
      <c r="B456" s="0" t="s">
        <v>5267</v>
      </c>
      <c r="C456" s="0" t="s">
        <v>5268</v>
      </c>
      <c r="D456" s="0" t="s">
        <v>5267</v>
      </c>
      <c r="E456" s="0" t="s">
        <v>5268</v>
      </c>
      <c r="F456" s="0" t="s">
        <v>4009</v>
      </c>
      <c r="G456" s="0" t="s">
        <v>5278</v>
      </c>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D3E4F2-2FFD-169F-C8E3-0.7FF2E854}" mc:Ignorable="x14ac xr xr2 xr3">
  <sheetPr>
    <tabColor rgb="FFFFCC99"/>
  </sheetPr>
  <dimension ref="A1:I89"/>
  <sheetViews>
    <sheetView topLeftCell="A1" showGridLines="0" workbookViewId="0">
      <selection activeCell="A1" sqref="A1"/>
    </sheetView>
  </sheetViews>
  <sheetFormatPr defaultColWidth="9.140625" customHeight="1" defaultRowHeight="11.25"/>
  <cols>
    <col min="1" max="1" style="1701" width="13.8515625" customWidth="1"/>
    <col min="2" max="2" style="1701" width="10.421875" customWidth="1"/>
    <col min="3" max="3" style="1701" width="7.57421875" customWidth="1"/>
    <col min="4" max="4" style="1701" width="13.8515625" customWidth="1"/>
    <col min="5" max="5" style="1701" width="11.57421875" customWidth="1"/>
    <col min="6" max="6" style="1701" width="16.28125" customWidth="1"/>
    <col min="7" max="7" style="1701" width="16.00390625" customWidth="1"/>
    <col min="8" max="9" style="1701" width="16.140625" customWidth="1"/>
  </cols>
  <sheetData>
    <row customHeight="1" ht="11.25">
      <c r="A1" s="845" t="s">
        <v>5279</v>
      </c>
      <c r="B1" s="845" t="s">
        <v>5280</v>
      </c>
      <c r="C1" s="1169" t="s">
        <v>5281</v>
      </c>
      <c r="D1" s="845" t="s">
        <v>5282</v>
      </c>
      <c r="E1" s="845" t="s">
        <v>5283</v>
      </c>
      <c r="F1" s="1169" t="s">
        <v>5284</v>
      </c>
      <c r="G1" s="1169" t="s">
        <v>5285</v>
      </c>
      <c r="H1" s="1169" t="s">
        <v>5286</v>
      </c>
      <c r="I1" s="1169" t="s">
        <v>5287</v>
      </c>
    </row>
    <row customHeight="1" ht="11.25">
      <c r="A2" s="1701" t="s">
        <v>124</v>
      </c>
      <c r="B2" s="1701" t="s">
        <v>5288</v>
      </c>
      <c r="C2" s="1701" t="s">
        <v>22</v>
      </c>
      <c r="D2" s="1701" t="s">
        <v>5289</v>
      </c>
      <c r="E2" s="1701" t="s">
        <v>5290</v>
      </c>
      <c r="F2" s="1701" t="s">
        <v>22</v>
      </c>
      <c r="G2" s="1701" t="s">
        <v>22</v>
      </c>
      <c r="H2" s="1701" t="s">
        <v>22</v>
      </c>
      <c r="I2" s="1701" t="s">
        <v>22</v>
      </c>
    </row>
    <row customHeight="1" ht="11.25">
      <c r="A3" s="1701" t="s">
        <v>104</v>
      </c>
      <c r="B3" s="1701" t="s">
        <v>5291</v>
      </c>
      <c r="C3" s="1701" t="s">
        <v>22</v>
      </c>
      <c r="D3" s="1701" t="s">
        <v>5289</v>
      </c>
      <c r="E3" s="1701" t="s">
        <v>5292</v>
      </c>
      <c r="F3" s="1701" t="s">
        <v>22</v>
      </c>
      <c r="G3" s="1701" t="s">
        <v>22</v>
      </c>
      <c r="H3" s="1701" t="s">
        <v>22</v>
      </c>
      <c r="I3" s="1701" t="s">
        <v>22</v>
      </c>
    </row>
    <row customHeight="1" ht="11.25">
      <c r="A4" s="1701" t="s">
        <v>90</v>
      </c>
      <c r="B4" s="1701" t="s">
        <v>5293</v>
      </c>
      <c r="C4" s="1701" t="s">
        <v>22</v>
      </c>
      <c r="D4" s="1701" t="s">
        <v>5294</v>
      </c>
      <c r="E4" s="1701" t="s">
        <v>5295</v>
      </c>
      <c r="F4" s="1701" t="s">
        <v>22</v>
      </c>
      <c r="G4" s="1701" t="s">
        <v>22</v>
      </c>
      <c r="H4" s="1701" t="s">
        <v>22</v>
      </c>
      <c r="I4" s="1701" t="s">
        <v>22</v>
      </c>
    </row>
    <row customHeight="1" ht="11.25">
      <c r="A5" s="1701" t="s">
        <v>91</v>
      </c>
      <c r="B5" s="1701" t="s">
        <v>5296</v>
      </c>
      <c r="C5" s="1701" t="s">
        <v>22</v>
      </c>
      <c r="D5" s="1701" t="s">
        <v>5294</v>
      </c>
      <c r="E5" s="1701" t="s">
        <v>5297</v>
      </c>
      <c r="F5" s="1701" t="s">
        <v>22</v>
      </c>
      <c r="G5" s="1701" t="s">
        <v>22</v>
      </c>
      <c r="H5" s="1701" t="s">
        <v>22</v>
      </c>
      <c r="I5" s="1701" t="s">
        <v>22</v>
      </c>
    </row>
    <row customHeight="1" ht="11.25">
      <c r="A6" s="1701" t="s">
        <v>125</v>
      </c>
      <c r="B6" s="1701" t="s">
        <v>5298</v>
      </c>
      <c r="C6" s="1701" t="s">
        <v>22</v>
      </c>
      <c r="D6" s="1701" t="s">
        <v>5299</v>
      </c>
      <c r="E6" s="1701" t="s">
        <v>5297</v>
      </c>
      <c r="F6" s="1701" t="s">
        <v>22</v>
      </c>
      <c r="G6" s="1701" t="s">
        <v>22</v>
      </c>
      <c r="H6" s="1701" t="s">
        <v>22</v>
      </c>
      <c r="I6" s="1701" t="s">
        <v>22</v>
      </c>
    </row>
    <row customHeight="1" ht="11.25">
      <c r="A7" s="1701" t="s">
        <v>92</v>
      </c>
      <c r="B7" s="1701" t="s">
        <v>5300</v>
      </c>
      <c r="C7" s="1701" t="s">
        <v>22</v>
      </c>
      <c r="D7" s="1701" t="s">
        <v>5289</v>
      </c>
      <c r="E7" s="1701" t="s">
        <v>5301</v>
      </c>
      <c r="F7" s="1701" t="s">
        <v>22</v>
      </c>
      <c r="G7" s="1701" t="s">
        <v>22</v>
      </c>
      <c r="H7" s="1701" t="s">
        <v>22</v>
      </c>
      <c r="I7" s="1701" t="s">
        <v>22</v>
      </c>
    </row>
    <row customHeight="1" ht="11.25">
      <c r="A8" s="1701" t="s">
        <v>93</v>
      </c>
      <c r="B8" s="1701" t="s">
        <v>5302</v>
      </c>
      <c r="C8" s="1701" t="s">
        <v>22</v>
      </c>
      <c r="D8" s="1701" t="s">
        <v>5303</v>
      </c>
      <c r="E8" s="1701" t="s">
        <v>5290</v>
      </c>
      <c r="F8" s="1701" t="s">
        <v>22</v>
      </c>
      <c r="G8" s="1701" t="s">
        <v>22</v>
      </c>
      <c r="H8" s="1701" t="s">
        <v>22</v>
      </c>
      <c r="I8" s="1701" t="s">
        <v>22</v>
      </c>
    </row>
    <row customHeight="1" ht="11.25">
      <c r="A9" s="1701" t="s">
        <v>126</v>
      </c>
      <c r="B9" s="1701" t="s">
        <v>5304</v>
      </c>
      <c r="C9" s="1701" t="s">
        <v>22</v>
      </c>
      <c r="D9" s="1701" t="s">
        <v>5289</v>
      </c>
      <c r="E9" s="1701" t="s">
        <v>5301</v>
      </c>
      <c r="F9" s="1701" t="s">
        <v>22</v>
      </c>
      <c r="G9" s="1701" t="s">
        <v>22</v>
      </c>
      <c r="H9" s="1701" t="s">
        <v>22</v>
      </c>
      <c r="I9" s="1701" t="s">
        <v>22</v>
      </c>
    </row>
    <row customHeight="1" ht="11.25">
      <c r="A10" s="1701" t="s">
        <v>172</v>
      </c>
      <c r="B10" s="1701" t="s">
        <v>5305</v>
      </c>
      <c r="C10" s="1701" t="s">
        <v>22</v>
      </c>
      <c r="D10" s="1701" t="s">
        <v>5306</v>
      </c>
      <c r="E10" s="1701" t="s">
        <v>5307</v>
      </c>
      <c r="F10" s="1701" t="s">
        <v>22</v>
      </c>
      <c r="G10" s="1701" t="s">
        <v>22</v>
      </c>
      <c r="H10" s="1701" t="s">
        <v>22</v>
      </c>
      <c r="I10" s="1701" t="s">
        <v>22</v>
      </c>
    </row>
    <row customHeight="1" ht="11.25">
      <c r="A11" s="1701" t="s">
        <v>173</v>
      </c>
      <c r="B11" s="1701" t="s">
        <v>5308</v>
      </c>
      <c r="C11" s="1701" t="s">
        <v>22</v>
      </c>
      <c r="D11" s="1701" t="s">
        <v>5306</v>
      </c>
      <c r="E11" s="1701" t="s">
        <v>5309</v>
      </c>
      <c r="F11" s="1701" t="s">
        <v>22</v>
      </c>
      <c r="G11" s="1701" t="s">
        <v>22</v>
      </c>
      <c r="H11" s="1701" t="s">
        <v>22</v>
      </c>
      <c r="I11" s="1701" t="s">
        <v>22</v>
      </c>
    </row>
    <row customHeight="1" ht="11.25">
      <c r="A12" s="1701" t="s">
        <v>174</v>
      </c>
      <c r="B12" s="1701" t="s">
        <v>5310</v>
      </c>
      <c r="C12" s="1701" t="s">
        <v>22</v>
      </c>
      <c r="D12" s="1701" t="s">
        <v>5294</v>
      </c>
      <c r="E12" s="1701" t="s">
        <v>5309</v>
      </c>
      <c r="F12" s="1701" t="s">
        <v>22</v>
      </c>
      <c r="G12" s="1701" t="s">
        <v>22</v>
      </c>
      <c r="H12" s="1701" t="s">
        <v>22</v>
      </c>
      <c r="I12" s="1701" t="s">
        <v>22</v>
      </c>
    </row>
    <row customHeight="1" ht="11.25">
      <c r="A13" s="1701" t="s">
        <v>175</v>
      </c>
      <c r="B13" s="1701" t="s">
        <v>5311</v>
      </c>
      <c r="C13" s="1701" t="s">
        <v>22</v>
      </c>
      <c r="D13" s="1701" t="s">
        <v>5312</v>
      </c>
      <c r="E13" s="1701" t="s">
        <v>5313</v>
      </c>
      <c r="F13" s="1701" t="s">
        <v>22</v>
      </c>
      <c r="G13" s="1701" t="s">
        <v>22</v>
      </c>
      <c r="H13" s="1701" t="s">
        <v>22</v>
      </c>
      <c r="I13" s="1701" t="s">
        <v>22</v>
      </c>
    </row>
    <row customHeight="1" ht="11.25">
      <c r="A14" s="1701" t="s">
        <v>176</v>
      </c>
      <c r="B14" s="1701" t="s">
        <v>5314</v>
      </c>
      <c r="C14" s="1701" t="s">
        <v>22</v>
      </c>
      <c r="D14" s="1701" t="s">
        <v>5315</v>
      </c>
      <c r="E14" s="1701" t="s">
        <v>5316</v>
      </c>
      <c r="F14" s="1701" t="s">
        <v>22</v>
      </c>
      <c r="G14" s="1701" t="s">
        <v>22</v>
      </c>
      <c r="H14" s="1701" t="s">
        <v>22</v>
      </c>
      <c r="I14" s="1701" t="s">
        <v>22</v>
      </c>
    </row>
    <row customHeight="1" ht="11.25">
      <c r="A15" s="1701" t="s">
        <v>177</v>
      </c>
      <c r="B15" s="1701" t="s">
        <v>5317</v>
      </c>
      <c r="C15" s="1701" t="s">
        <v>22</v>
      </c>
      <c r="D15" s="1701" t="s">
        <v>5318</v>
      </c>
      <c r="E15" s="1701" t="s">
        <v>5301</v>
      </c>
      <c r="F15" s="1701" t="s">
        <v>22</v>
      </c>
      <c r="G15" s="1701" t="s">
        <v>22</v>
      </c>
      <c r="H15" s="1701" t="s">
        <v>22</v>
      </c>
      <c r="I15" s="1701" t="s">
        <v>22</v>
      </c>
    </row>
    <row customHeight="1" ht="11.25">
      <c r="A16" s="1701" t="s">
        <v>1744</v>
      </c>
      <c r="B16" s="1701" t="s">
        <v>5319</v>
      </c>
      <c r="C16" s="1701" t="s">
        <v>22</v>
      </c>
      <c r="D16" s="1701" t="s">
        <v>5320</v>
      </c>
      <c r="E16" s="1701" t="s">
        <v>5321</v>
      </c>
      <c r="F16" s="1701" t="s">
        <v>22</v>
      </c>
      <c r="G16" s="1701" t="s">
        <v>22</v>
      </c>
      <c r="H16" s="1701" t="s">
        <v>22</v>
      </c>
      <c r="I16" s="1701" t="s">
        <v>22</v>
      </c>
    </row>
    <row customHeight="1" ht="11.25">
      <c r="A17" s="1701" t="s">
        <v>1750</v>
      </c>
      <c r="B17" s="1701" t="s">
        <v>5322</v>
      </c>
      <c r="C17" s="1701" t="s">
        <v>22</v>
      </c>
      <c r="D17" s="1701" t="s">
        <v>5323</v>
      </c>
      <c r="E17" s="1701" t="s">
        <v>5321</v>
      </c>
      <c r="F17" s="1701" t="s">
        <v>22</v>
      </c>
      <c r="G17" s="1701" t="s">
        <v>22</v>
      </c>
      <c r="H17" s="1701" t="s">
        <v>22</v>
      </c>
      <c r="I17" s="1701" t="s">
        <v>22</v>
      </c>
    </row>
    <row customHeight="1" ht="11.25">
      <c r="A18" s="1701" t="s">
        <v>1762</v>
      </c>
      <c r="B18" s="1701" t="s">
        <v>5324</v>
      </c>
      <c r="C18" s="1701" t="s">
        <v>22</v>
      </c>
      <c r="D18" s="1701" t="s">
        <v>5323</v>
      </c>
      <c r="E18" s="1701" t="s">
        <v>5321</v>
      </c>
      <c r="F18" s="1701" t="s">
        <v>22</v>
      </c>
      <c r="G18" s="1701" t="s">
        <v>22</v>
      </c>
      <c r="H18" s="1701" t="s">
        <v>22</v>
      </c>
      <c r="I18" s="1701" t="s">
        <v>22</v>
      </c>
    </row>
    <row customHeight="1" ht="11.25">
      <c r="A19" s="1701" t="s">
        <v>1776</v>
      </c>
      <c r="B19" s="1701" t="s">
        <v>5325</v>
      </c>
      <c r="C19" s="1701" t="s">
        <v>22</v>
      </c>
      <c r="D19" s="1701" t="s">
        <v>5312</v>
      </c>
      <c r="E19" s="1701" t="s">
        <v>5313</v>
      </c>
      <c r="F19" s="1701" t="s">
        <v>22</v>
      </c>
      <c r="G19" s="1701" t="s">
        <v>22</v>
      </c>
      <c r="H19" s="1701" t="s">
        <v>22</v>
      </c>
      <c r="I19" s="1701" t="s">
        <v>22</v>
      </c>
    </row>
    <row customHeight="1" ht="11.25">
      <c r="A20" s="1701" t="s">
        <v>1788</v>
      </c>
      <c r="B20" s="1701" t="s">
        <v>5326</v>
      </c>
      <c r="C20" s="1701" t="s">
        <v>22</v>
      </c>
      <c r="D20" s="1701" t="s">
        <v>5327</v>
      </c>
      <c r="E20" s="1701" t="s">
        <v>5313</v>
      </c>
      <c r="F20" s="1701" t="s">
        <v>22</v>
      </c>
      <c r="G20" s="1701" t="s">
        <v>22</v>
      </c>
      <c r="H20" s="1701" t="s">
        <v>22</v>
      </c>
      <c r="I20" s="1701" t="s">
        <v>22</v>
      </c>
    </row>
    <row customHeight="1" ht="11.25">
      <c r="A21" s="1701" t="s">
        <v>1797</v>
      </c>
      <c r="B21" s="1701" t="s">
        <v>5328</v>
      </c>
      <c r="C21" s="1701" t="s">
        <v>22</v>
      </c>
      <c r="D21" s="1701" t="s">
        <v>5327</v>
      </c>
      <c r="E21" s="1701" t="s">
        <v>5313</v>
      </c>
      <c r="F21" s="1701" t="s">
        <v>22</v>
      </c>
      <c r="G21" s="1701" t="s">
        <v>22</v>
      </c>
      <c r="H21" s="1701" t="s">
        <v>22</v>
      </c>
      <c r="I21" s="1701" t="s">
        <v>22</v>
      </c>
    </row>
    <row customHeight="1" ht="11.25">
      <c r="A22" s="1701" t="s">
        <v>1813</v>
      </c>
      <c r="B22" s="1701" t="s">
        <v>5329</v>
      </c>
      <c r="C22" s="1701" t="s">
        <v>22</v>
      </c>
      <c r="D22" s="1701" t="s">
        <v>5327</v>
      </c>
      <c r="E22" s="1701" t="s">
        <v>5313</v>
      </c>
      <c r="F22" s="1701" t="s">
        <v>22</v>
      </c>
      <c r="G22" s="1701" t="s">
        <v>22</v>
      </c>
      <c r="H22" s="1701" t="s">
        <v>22</v>
      </c>
      <c r="I22" s="1701" t="s">
        <v>22</v>
      </c>
    </row>
    <row customHeight="1" ht="11.25">
      <c r="A23" s="1701" t="s">
        <v>1820</v>
      </c>
      <c r="B23" s="1701" t="s">
        <v>5330</v>
      </c>
      <c r="C23" s="1701" t="s">
        <v>22</v>
      </c>
      <c r="D23" s="1701" t="s">
        <v>5327</v>
      </c>
      <c r="E23" s="1701" t="s">
        <v>5313</v>
      </c>
      <c r="F23" s="1701" t="s">
        <v>22</v>
      </c>
      <c r="G23" s="1701" t="s">
        <v>22</v>
      </c>
      <c r="H23" s="1701" t="s">
        <v>22</v>
      </c>
      <c r="I23" s="1701" t="s">
        <v>22</v>
      </c>
    </row>
    <row customHeight="1" ht="11.25">
      <c r="A24" s="1701" t="s">
        <v>1828</v>
      </c>
      <c r="B24" s="1701" t="s">
        <v>5331</v>
      </c>
      <c r="C24" s="1701" t="s">
        <v>22</v>
      </c>
      <c r="D24" s="1701" t="s">
        <v>5327</v>
      </c>
      <c r="E24" s="1701" t="s">
        <v>5313</v>
      </c>
      <c r="F24" s="1701" t="s">
        <v>22</v>
      </c>
      <c r="G24" s="1701" t="s">
        <v>22</v>
      </c>
      <c r="H24" s="1701" t="s">
        <v>22</v>
      </c>
      <c r="I24" s="1701" t="s">
        <v>22</v>
      </c>
    </row>
    <row customHeight="1" ht="11.25">
      <c r="A25" s="1701" t="s">
        <v>1835</v>
      </c>
      <c r="B25" s="1701" t="s">
        <v>5332</v>
      </c>
      <c r="C25" s="1701" t="s">
        <v>22</v>
      </c>
      <c r="D25" s="1701" t="s">
        <v>5327</v>
      </c>
      <c r="E25" s="1701" t="s">
        <v>5313</v>
      </c>
      <c r="F25" s="1701" t="s">
        <v>22</v>
      </c>
      <c r="G25" s="1701" t="s">
        <v>22</v>
      </c>
      <c r="H25" s="1701" t="s">
        <v>22</v>
      </c>
      <c r="I25" s="1701" t="s">
        <v>22</v>
      </c>
    </row>
    <row customHeight="1" ht="11.25">
      <c r="A26" s="1701" t="s">
        <v>1839</v>
      </c>
      <c r="B26" s="1701" t="s">
        <v>5333</v>
      </c>
      <c r="C26" s="1701" t="s">
        <v>22</v>
      </c>
      <c r="D26" s="1701" t="s">
        <v>5327</v>
      </c>
      <c r="E26" s="1701" t="s">
        <v>5313</v>
      </c>
      <c r="F26" s="1701" t="s">
        <v>22</v>
      </c>
      <c r="G26" s="1701" t="s">
        <v>22</v>
      </c>
      <c r="H26" s="1701" t="s">
        <v>22</v>
      </c>
      <c r="I26" s="1701" t="s">
        <v>22</v>
      </c>
    </row>
    <row customHeight="1" ht="11.25">
      <c r="A27" s="1701" t="s">
        <v>1844</v>
      </c>
      <c r="B27" s="1701" t="s">
        <v>5334</v>
      </c>
      <c r="C27" s="1701" t="s">
        <v>22</v>
      </c>
      <c r="D27" s="1701" t="s">
        <v>5327</v>
      </c>
      <c r="E27" s="1701" t="s">
        <v>5313</v>
      </c>
      <c r="F27" s="1701" t="s">
        <v>22</v>
      </c>
      <c r="G27" s="1701" t="s">
        <v>22</v>
      </c>
      <c r="H27" s="1701" t="s">
        <v>22</v>
      </c>
      <c r="I27" s="1701" t="s">
        <v>22</v>
      </c>
    </row>
    <row customHeight="1" ht="11.25">
      <c r="A28" s="1701" t="s">
        <v>1852</v>
      </c>
      <c r="B28" s="1701" t="s">
        <v>5335</v>
      </c>
      <c r="C28" s="1701" t="s">
        <v>22</v>
      </c>
      <c r="D28" s="1701" t="s">
        <v>5327</v>
      </c>
      <c r="E28" s="1701" t="s">
        <v>5313</v>
      </c>
      <c r="F28" s="1701" t="s">
        <v>22</v>
      </c>
      <c r="G28" s="1701" t="s">
        <v>22</v>
      </c>
      <c r="H28" s="1701" t="s">
        <v>22</v>
      </c>
      <c r="I28" s="1701" t="s">
        <v>22</v>
      </c>
    </row>
    <row customHeight="1" ht="11.25">
      <c r="A29" s="1701" t="s">
        <v>1854</v>
      </c>
      <c r="B29" s="1701" t="s">
        <v>5336</v>
      </c>
      <c r="C29" s="1701" t="s">
        <v>22</v>
      </c>
      <c r="D29" s="1701" t="s">
        <v>5327</v>
      </c>
      <c r="E29" s="1701" t="s">
        <v>5313</v>
      </c>
      <c r="F29" s="1701" t="s">
        <v>22</v>
      </c>
      <c r="G29" s="1701" t="s">
        <v>22</v>
      </c>
      <c r="H29" s="1701" t="s">
        <v>22</v>
      </c>
      <c r="I29" s="1701" t="s">
        <v>22</v>
      </c>
    </row>
    <row customHeight="1" ht="11.25">
      <c r="A30" s="1701" t="s">
        <v>1857</v>
      </c>
      <c r="B30" s="1701" t="s">
        <v>5337</v>
      </c>
      <c r="C30" s="1701" t="s">
        <v>22</v>
      </c>
      <c r="D30" s="1701" t="s">
        <v>5313</v>
      </c>
      <c r="E30" s="1701" t="s">
        <v>5313</v>
      </c>
      <c r="F30" s="1701" t="s">
        <v>22</v>
      </c>
      <c r="G30" s="1701" t="s">
        <v>22</v>
      </c>
      <c r="H30" s="1701" t="s">
        <v>22</v>
      </c>
      <c r="I30" s="1701" t="s">
        <v>22</v>
      </c>
    </row>
    <row customHeight="1" ht="11.25">
      <c r="A31" s="1701" t="s">
        <v>1863</v>
      </c>
      <c r="B31" s="1701" t="s">
        <v>5338</v>
      </c>
      <c r="C31" s="1701" t="s">
        <v>22</v>
      </c>
      <c r="D31" s="1701" t="s">
        <v>5339</v>
      </c>
      <c r="E31" s="1701" t="s">
        <v>5313</v>
      </c>
      <c r="F31" s="1701" t="s">
        <v>22</v>
      </c>
      <c r="G31" s="1701" t="s">
        <v>22</v>
      </c>
      <c r="H31" s="1701" t="s">
        <v>22</v>
      </c>
      <c r="I31" s="1701" t="s">
        <v>22</v>
      </c>
    </row>
    <row customHeight="1" ht="11.25">
      <c r="A32" s="1701" t="s">
        <v>1865</v>
      </c>
      <c r="B32" s="1701" t="s">
        <v>5340</v>
      </c>
      <c r="C32" s="1701" t="s">
        <v>22</v>
      </c>
      <c r="D32" s="1701" t="s">
        <v>5312</v>
      </c>
      <c r="E32" s="1701" t="s">
        <v>5313</v>
      </c>
      <c r="F32" s="1701" t="s">
        <v>22</v>
      </c>
      <c r="G32" s="1701" t="s">
        <v>22</v>
      </c>
      <c r="H32" s="1701" t="s">
        <v>22</v>
      </c>
      <c r="I32" s="1701" t="s">
        <v>22</v>
      </c>
    </row>
    <row customHeight="1" ht="11.25">
      <c r="A33" s="1701" t="s">
        <v>1867</v>
      </c>
      <c r="B33" s="1701" t="s">
        <v>5341</v>
      </c>
      <c r="C33" s="1701" t="s">
        <v>22</v>
      </c>
      <c r="D33" s="1701" t="s">
        <v>5342</v>
      </c>
      <c r="E33" s="1701" t="s">
        <v>5313</v>
      </c>
      <c r="F33" s="1701" t="s">
        <v>22</v>
      </c>
      <c r="G33" s="1701" t="s">
        <v>22</v>
      </c>
      <c r="H33" s="1701" t="s">
        <v>22</v>
      </c>
      <c r="I33" s="1701" t="s">
        <v>22</v>
      </c>
    </row>
    <row customHeight="1" ht="11.25">
      <c r="A34" s="1701" t="s">
        <v>1869</v>
      </c>
      <c r="B34" s="1701" t="s">
        <v>5343</v>
      </c>
      <c r="C34" s="1701" t="s">
        <v>22</v>
      </c>
      <c r="D34" s="1701" t="s">
        <v>5344</v>
      </c>
      <c r="E34" s="1701" t="s">
        <v>5345</v>
      </c>
      <c r="F34" s="1701" t="s">
        <v>22</v>
      </c>
      <c r="G34" s="1701" t="s">
        <v>22</v>
      </c>
      <c r="H34" s="1701" t="s">
        <v>22</v>
      </c>
      <c r="I34" s="1701" t="s">
        <v>22</v>
      </c>
    </row>
    <row customHeight="1" ht="11.25">
      <c r="A35" s="1701" t="s">
        <v>1874</v>
      </c>
      <c r="B35" s="1701" t="s">
        <v>5346</v>
      </c>
      <c r="C35" s="1701" t="s">
        <v>22</v>
      </c>
      <c r="D35" s="1701" t="s">
        <v>5294</v>
      </c>
      <c r="E35" s="1701" t="s">
        <v>5345</v>
      </c>
      <c r="F35" s="1701" t="s">
        <v>22</v>
      </c>
      <c r="G35" s="1701" t="s">
        <v>22</v>
      </c>
      <c r="H35" s="1701" t="s">
        <v>22</v>
      </c>
      <c r="I35" s="1701" t="s">
        <v>22</v>
      </c>
    </row>
    <row customHeight="1" ht="11.25">
      <c r="A36" s="1701" t="s">
        <v>1879</v>
      </c>
      <c r="B36" s="1701" t="s">
        <v>5347</v>
      </c>
      <c r="C36" s="1701" t="s">
        <v>22</v>
      </c>
      <c r="D36" s="1701" t="s">
        <v>5294</v>
      </c>
      <c r="E36" s="1701" t="s">
        <v>5348</v>
      </c>
      <c r="F36" s="1701" t="s">
        <v>22</v>
      </c>
      <c r="G36" s="1701" t="s">
        <v>22</v>
      </c>
      <c r="H36" s="1701" t="s">
        <v>22</v>
      </c>
      <c r="I36" s="1701" t="s">
        <v>22</v>
      </c>
    </row>
    <row customHeight="1" ht="11.25">
      <c r="A37" s="1701" t="s">
        <v>1883</v>
      </c>
      <c r="B37" s="1701" t="s">
        <v>5349</v>
      </c>
      <c r="C37" s="1701" t="s">
        <v>22</v>
      </c>
      <c r="D37" s="1701" t="s">
        <v>5294</v>
      </c>
      <c r="E37" s="1701" t="s">
        <v>5350</v>
      </c>
      <c r="F37" s="1701" t="s">
        <v>22</v>
      </c>
      <c r="G37" s="1701" t="s">
        <v>22</v>
      </c>
      <c r="H37" s="1701" t="s">
        <v>22</v>
      </c>
      <c r="I37" s="1701" t="s">
        <v>22</v>
      </c>
    </row>
    <row customHeight="1" ht="11.25">
      <c r="A38" s="1701" t="s">
        <v>1891</v>
      </c>
      <c r="B38" s="1701" t="s">
        <v>5351</v>
      </c>
      <c r="C38" s="1701" t="s">
        <v>22</v>
      </c>
      <c r="D38" s="1701" t="s">
        <v>5294</v>
      </c>
      <c r="E38" s="1701" t="s">
        <v>5301</v>
      </c>
      <c r="F38" s="1701" t="s">
        <v>22</v>
      </c>
      <c r="G38" s="1701" t="s">
        <v>22</v>
      </c>
      <c r="H38" s="1701" t="s">
        <v>22</v>
      </c>
      <c r="I38" s="1701" t="s">
        <v>22</v>
      </c>
    </row>
    <row customHeight="1" ht="11.25">
      <c r="A39" s="1701" t="s">
        <v>1897</v>
      </c>
      <c r="B39" s="1701" t="s">
        <v>5352</v>
      </c>
      <c r="C39" s="1701" t="s">
        <v>22</v>
      </c>
      <c r="D39" s="1701" t="s">
        <v>5299</v>
      </c>
      <c r="E39" s="1701" t="s">
        <v>5348</v>
      </c>
      <c r="F39" s="1701" t="s">
        <v>22</v>
      </c>
      <c r="G39" s="1701" t="s">
        <v>22</v>
      </c>
      <c r="H39" s="1701" t="s">
        <v>22</v>
      </c>
      <c r="I39" s="1701" t="s">
        <v>22</v>
      </c>
    </row>
    <row customHeight="1" ht="11.25">
      <c r="A40" s="1701" t="s">
        <v>1902</v>
      </c>
      <c r="B40" s="1701" t="s">
        <v>5353</v>
      </c>
      <c r="C40" s="1701" t="s">
        <v>22</v>
      </c>
      <c r="D40" s="1701" t="s">
        <v>5299</v>
      </c>
      <c r="E40" s="1701" t="s">
        <v>5348</v>
      </c>
      <c r="F40" s="1701" t="s">
        <v>22</v>
      </c>
      <c r="G40" s="1701" t="s">
        <v>22</v>
      </c>
      <c r="H40" s="1701" t="s">
        <v>22</v>
      </c>
      <c r="I40" s="1701" t="s">
        <v>22</v>
      </c>
    </row>
    <row customHeight="1" ht="11.25">
      <c r="A41" s="1701" t="s">
        <v>1906</v>
      </c>
      <c r="B41" s="1701" t="s">
        <v>5354</v>
      </c>
      <c r="C41" s="1701" t="s">
        <v>22</v>
      </c>
      <c r="D41" s="1701" t="s">
        <v>5299</v>
      </c>
      <c r="E41" s="1701" t="s">
        <v>5348</v>
      </c>
      <c r="F41" s="1701" t="s">
        <v>22</v>
      </c>
      <c r="G41" s="1701" t="s">
        <v>22</v>
      </c>
      <c r="H41" s="1701" t="s">
        <v>22</v>
      </c>
      <c r="I41" s="1701" t="s">
        <v>22</v>
      </c>
    </row>
    <row customHeight="1" ht="11.25">
      <c r="A42" s="1701" t="s">
        <v>1909</v>
      </c>
      <c r="B42" s="1701" t="s">
        <v>5355</v>
      </c>
      <c r="C42" s="1701" t="s">
        <v>22</v>
      </c>
      <c r="D42" s="1701" t="s">
        <v>5299</v>
      </c>
      <c r="E42" s="1701" t="s">
        <v>5348</v>
      </c>
      <c r="F42" s="1701" t="s">
        <v>22</v>
      </c>
      <c r="G42" s="1701" t="s">
        <v>22</v>
      </c>
      <c r="H42" s="1701" t="s">
        <v>22</v>
      </c>
      <c r="I42" s="1701" t="s">
        <v>22</v>
      </c>
    </row>
    <row customHeight="1" ht="11.25">
      <c r="A43" s="1701" t="s">
        <v>1916</v>
      </c>
      <c r="B43" s="1701" t="s">
        <v>5356</v>
      </c>
      <c r="C43" s="1701" t="s">
        <v>22</v>
      </c>
      <c r="D43" s="1701" t="s">
        <v>5299</v>
      </c>
      <c r="E43" s="1701" t="s">
        <v>5348</v>
      </c>
      <c r="F43" s="1701" t="s">
        <v>22</v>
      </c>
      <c r="G43" s="1701" t="s">
        <v>22</v>
      </c>
      <c r="H43" s="1701" t="s">
        <v>22</v>
      </c>
      <c r="I43" s="1701" t="s">
        <v>22</v>
      </c>
    </row>
    <row customHeight="1" ht="11.25">
      <c r="A44" s="1701" t="s">
        <v>1925</v>
      </c>
      <c r="B44" s="1701" t="s">
        <v>5357</v>
      </c>
      <c r="C44" s="1701" t="s">
        <v>22</v>
      </c>
      <c r="D44" s="1701" t="s">
        <v>5358</v>
      </c>
      <c r="E44" s="1701" t="s">
        <v>5359</v>
      </c>
      <c r="F44" s="1701" t="s">
        <v>22</v>
      </c>
      <c r="G44" s="1701" t="s">
        <v>22</v>
      </c>
      <c r="H44" s="1701" t="s">
        <v>22</v>
      </c>
      <c r="I44" s="1701" t="s">
        <v>22</v>
      </c>
    </row>
    <row customHeight="1" ht="11.25">
      <c r="A45" s="1701" t="s">
        <v>1930</v>
      </c>
      <c r="B45" s="1701" t="s">
        <v>5360</v>
      </c>
      <c r="C45" s="1701" t="s">
        <v>22</v>
      </c>
      <c r="D45" s="1701" t="s">
        <v>5361</v>
      </c>
      <c r="E45" s="1701" t="s">
        <v>5307</v>
      </c>
      <c r="F45" s="1701" t="s">
        <v>22</v>
      </c>
      <c r="G45" s="1701" t="s">
        <v>22</v>
      </c>
      <c r="H45" s="1701" t="s">
        <v>22</v>
      </c>
      <c r="I45" s="1701" t="s">
        <v>22</v>
      </c>
    </row>
    <row customHeight="1" ht="11.25">
      <c r="A46" s="1701" t="s">
        <v>1933</v>
      </c>
      <c r="B46" s="1701" t="s">
        <v>5362</v>
      </c>
      <c r="C46" s="1701" t="s">
        <v>22</v>
      </c>
      <c r="D46" s="1701" t="s">
        <v>5363</v>
      </c>
      <c r="E46" s="1701" t="s">
        <v>5364</v>
      </c>
      <c r="F46" s="1701" t="s">
        <v>22</v>
      </c>
      <c r="G46" s="1701" t="s">
        <v>22</v>
      </c>
      <c r="H46" s="1701" t="s">
        <v>22</v>
      </c>
      <c r="I46" s="1701" t="s">
        <v>22</v>
      </c>
    </row>
    <row customHeight="1" ht="11.25">
      <c r="A47" s="1701" t="s">
        <v>1939</v>
      </c>
      <c r="B47" s="1701" t="s">
        <v>5365</v>
      </c>
      <c r="C47" s="1701" t="s">
        <v>22</v>
      </c>
      <c r="D47" s="1701" t="s">
        <v>5363</v>
      </c>
      <c r="E47" s="1701" t="s">
        <v>5366</v>
      </c>
      <c r="F47" s="1701" t="s">
        <v>22</v>
      </c>
      <c r="G47" s="1701" t="s">
        <v>22</v>
      </c>
      <c r="H47" s="1701" t="s">
        <v>22</v>
      </c>
      <c r="I47" s="1701" t="s">
        <v>22</v>
      </c>
    </row>
    <row customHeight="1" ht="11.25">
      <c r="A48" s="1701" t="s">
        <v>1944</v>
      </c>
      <c r="B48" s="1701" t="s">
        <v>5367</v>
      </c>
      <c r="C48" s="1701" t="s">
        <v>22</v>
      </c>
      <c r="D48" s="1701" t="s">
        <v>5289</v>
      </c>
      <c r="E48" s="1701" t="s">
        <v>5301</v>
      </c>
      <c r="F48" s="1701" t="s">
        <v>22</v>
      </c>
      <c r="G48" s="1701" t="s">
        <v>22</v>
      </c>
      <c r="H48" s="1701" t="s">
        <v>22</v>
      </c>
      <c r="I48" s="1701" t="s">
        <v>22</v>
      </c>
    </row>
    <row customHeight="1" ht="11.25">
      <c r="A49" s="1701" t="s">
        <v>1947</v>
      </c>
      <c r="B49" s="1701" t="s">
        <v>5368</v>
      </c>
      <c r="C49" s="1701" t="s">
        <v>22</v>
      </c>
      <c r="D49" s="1701" t="s">
        <v>5294</v>
      </c>
      <c r="E49" s="1701" t="s">
        <v>5369</v>
      </c>
      <c r="F49" s="1701" t="s">
        <v>22</v>
      </c>
      <c r="G49" s="1701" t="s">
        <v>22</v>
      </c>
      <c r="H49" s="1701" t="s">
        <v>22</v>
      </c>
      <c r="I49" s="1701" t="s">
        <v>22</v>
      </c>
    </row>
    <row customHeight="1" ht="11.25">
      <c r="A50" s="1701" t="s">
        <v>1951</v>
      </c>
      <c r="B50" s="1701" t="s">
        <v>5370</v>
      </c>
      <c r="C50" s="1701" t="s">
        <v>22</v>
      </c>
      <c r="D50" s="1701" t="s">
        <v>5371</v>
      </c>
      <c r="E50" s="1701" t="s">
        <v>5369</v>
      </c>
      <c r="F50" s="1701" t="s">
        <v>22</v>
      </c>
      <c r="G50" s="1701" t="s">
        <v>22</v>
      </c>
      <c r="H50" s="1701" t="s">
        <v>22</v>
      </c>
      <c r="I50" s="1701" t="s">
        <v>22</v>
      </c>
    </row>
    <row customHeight="1" ht="11.25">
      <c r="A51" s="1701" t="s">
        <v>1956</v>
      </c>
      <c r="B51" s="1701" t="s">
        <v>5372</v>
      </c>
      <c r="C51" s="1701" t="s">
        <v>22</v>
      </c>
      <c r="D51" s="1701" t="s">
        <v>5289</v>
      </c>
      <c r="E51" s="1701" t="s">
        <v>5290</v>
      </c>
      <c r="F51" s="1701" t="s">
        <v>22</v>
      </c>
      <c r="G51" s="1701" t="s">
        <v>22</v>
      </c>
      <c r="H51" s="1701" t="s">
        <v>22</v>
      </c>
      <c r="I51" s="1701" t="s">
        <v>22</v>
      </c>
    </row>
    <row customHeight="1" ht="11.25">
      <c r="A52" s="1701" t="s">
        <v>1960</v>
      </c>
      <c r="B52" s="1701" t="s">
        <v>5373</v>
      </c>
      <c r="C52" s="1701" t="s">
        <v>22</v>
      </c>
      <c r="D52" s="1701" t="s">
        <v>5374</v>
      </c>
      <c r="E52" s="1701" t="s">
        <v>5364</v>
      </c>
      <c r="F52" s="1701" t="s">
        <v>22</v>
      </c>
      <c r="G52" s="1701" t="s">
        <v>22</v>
      </c>
      <c r="H52" s="1701" t="s">
        <v>22</v>
      </c>
      <c r="I52" s="1701" t="s">
        <v>22</v>
      </c>
    </row>
    <row customHeight="1" ht="11.25">
      <c r="A53" s="1701" t="s">
        <v>1962</v>
      </c>
      <c r="B53" s="1701" t="s">
        <v>5375</v>
      </c>
      <c r="C53" s="1701" t="s">
        <v>22</v>
      </c>
      <c r="D53" s="1701" t="s">
        <v>5376</v>
      </c>
      <c r="E53" s="1701" t="s">
        <v>5297</v>
      </c>
      <c r="F53" s="1701" t="s">
        <v>22</v>
      </c>
      <c r="G53" s="1701" t="s">
        <v>22</v>
      </c>
      <c r="H53" s="1701" t="s">
        <v>22</v>
      </c>
      <c r="I53" s="1701" t="s">
        <v>22</v>
      </c>
    </row>
    <row customHeight="1" ht="11.25">
      <c r="A54" s="1701" t="s">
        <v>1965</v>
      </c>
      <c r="B54" s="1701" t="s">
        <v>5377</v>
      </c>
      <c r="C54" s="1701" t="s">
        <v>22</v>
      </c>
      <c r="D54" s="1701" t="s">
        <v>5299</v>
      </c>
      <c r="E54" s="1701" t="s">
        <v>5297</v>
      </c>
      <c r="F54" s="1701" t="s">
        <v>22</v>
      </c>
      <c r="G54" s="1701" t="s">
        <v>22</v>
      </c>
      <c r="H54" s="1701" t="s">
        <v>22</v>
      </c>
      <c r="I54" s="1701" t="s">
        <v>22</v>
      </c>
    </row>
    <row customHeight="1" ht="11.25">
      <c r="A55" s="1701" t="s">
        <v>1970</v>
      </c>
      <c r="B55" s="1701" t="s">
        <v>5378</v>
      </c>
      <c r="C55" s="1701" t="s">
        <v>22</v>
      </c>
      <c r="D55" s="1701" t="s">
        <v>5292</v>
      </c>
      <c r="E55" s="1701" t="s">
        <v>5292</v>
      </c>
      <c r="F55" s="1701" t="s">
        <v>22</v>
      </c>
      <c r="G55" s="1701" t="s">
        <v>22</v>
      </c>
      <c r="H55" s="1701" t="s">
        <v>22</v>
      </c>
      <c r="I55" s="1701" t="s">
        <v>22</v>
      </c>
    </row>
    <row customHeight="1" ht="11.25">
      <c r="A56" s="1701" t="s">
        <v>1973</v>
      </c>
      <c r="B56" s="1701" t="s">
        <v>5379</v>
      </c>
      <c r="C56" s="1701" t="s">
        <v>22</v>
      </c>
      <c r="D56" s="1701" t="s">
        <v>5299</v>
      </c>
      <c r="E56" s="1701" t="s">
        <v>5380</v>
      </c>
      <c r="F56" s="1701" t="s">
        <v>22</v>
      </c>
      <c r="G56" s="1701" t="s">
        <v>22</v>
      </c>
      <c r="H56" s="1701" t="s">
        <v>22</v>
      </c>
      <c r="I56" s="1701" t="s">
        <v>22</v>
      </c>
    </row>
    <row customHeight="1" ht="11.25">
      <c r="A57" s="1701" t="s">
        <v>1976</v>
      </c>
      <c r="B57" s="1701" t="s">
        <v>5381</v>
      </c>
      <c r="C57" s="1701" t="s">
        <v>22</v>
      </c>
      <c r="D57" s="1701" t="s">
        <v>5299</v>
      </c>
      <c r="E57" s="1701" t="s">
        <v>5380</v>
      </c>
      <c r="F57" s="1701" t="s">
        <v>22</v>
      </c>
      <c r="G57" s="1701" t="s">
        <v>22</v>
      </c>
      <c r="H57" s="1701" t="s">
        <v>22</v>
      </c>
      <c r="I57" s="1701" t="s">
        <v>22</v>
      </c>
    </row>
    <row customHeight="1" ht="11.25">
      <c r="A58" s="1701" t="s">
        <v>1979</v>
      </c>
      <c r="B58" s="1701" t="s">
        <v>5382</v>
      </c>
      <c r="C58" s="1701" t="s">
        <v>22</v>
      </c>
      <c r="D58" s="1701" t="s">
        <v>5294</v>
      </c>
      <c r="E58" s="1701" t="s">
        <v>5321</v>
      </c>
      <c r="F58" s="1701" t="s">
        <v>22</v>
      </c>
      <c r="G58" s="1701" t="s">
        <v>22</v>
      </c>
      <c r="H58" s="1701" t="s">
        <v>22</v>
      </c>
      <c r="I58" s="1701" t="s">
        <v>22</v>
      </c>
    </row>
    <row customHeight="1" ht="11.25">
      <c r="A59" s="1701" t="s">
        <v>1983</v>
      </c>
      <c r="B59" s="1701" t="s">
        <v>5383</v>
      </c>
      <c r="C59" s="1701" t="s">
        <v>22</v>
      </c>
      <c r="D59" s="1701" t="s">
        <v>5294</v>
      </c>
      <c r="E59" s="1701" t="s">
        <v>5316</v>
      </c>
      <c r="F59" s="1701" t="s">
        <v>22</v>
      </c>
      <c r="G59" s="1701" t="s">
        <v>22</v>
      </c>
      <c r="H59" s="1701" t="s">
        <v>22</v>
      </c>
      <c r="I59" s="1701" t="s">
        <v>22</v>
      </c>
    </row>
    <row customHeight="1" ht="11.25">
      <c r="A60" s="1701" t="s">
        <v>1986</v>
      </c>
      <c r="B60" s="1701" t="s">
        <v>5384</v>
      </c>
      <c r="C60" s="1701" t="s">
        <v>22</v>
      </c>
      <c r="D60" s="1701" t="s">
        <v>5299</v>
      </c>
      <c r="E60" s="1701" t="s">
        <v>5292</v>
      </c>
      <c r="F60" s="1701" t="s">
        <v>22</v>
      </c>
      <c r="G60" s="1701" t="s">
        <v>22</v>
      </c>
      <c r="H60" s="1701" t="s">
        <v>22</v>
      </c>
      <c r="I60" s="1701" t="s">
        <v>22</v>
      </c>
    </row>
    <row customHeight="1" ht="11.25">
      <c r="A61" s="1701" t="s">
        <v>4132</v>
      </c>
      <c r="B61" s="1701" t="s">
        <v>5385</v>
      </c>
      <c r="C61" s="1701" t="s">
        <v>22</v>
      </c>
      <c r="D61" s="1701" t="s">
        <v>5294</v>
      </c>
      <c r="E61" s="1701" t="s">
        <v>5292</v>
      </c>
      <c r="F61" s="1701" t="s">
        <v>22</v>
      </c>
      <c r="G61" s="1701" t="s">
        <v>22</v>
      </c>
      <c r="H61" s="1701" t="s">
        <v>22</v>
      </c>
      <c r="I61" s="1701" t="s">
        <v>22</v>
      </c>
    </row>
    <row customHeight="1" ht="11.25">
      <c r="A62" s="1701" t="s">
        <v>4135</v>
      </c>
      <c r="B62" s="1701" t="s">
        <v>5386</v>
      </c>
      <c r="C62" s="1701" t="s">
        <v>22</v>
      </c>
      <c r="D62" s="1701" t="s">
        <v>5312</v>
      </c>
      <c r="E62" s="1701" t="s">
        <v>5350</v>
      </c>
      <c r="F62" s="1701" t="s">
        <v>22</v>
      </c>
      <c r="G62" s="1701" t="s">
        <v>22</v>
      </c>
      <c r="H62" s="1701" t="s">
        <v>22</v>
      </c>
      <c r="I62" s="1701" t="s">
        <v>22</v>
      </c>
    </row>
    <row customHeight="1" ht="11.25">
      <c r="A63" s="1701" t="s">
        <v>4138</v>
      </c>
      <c r="B63" s="1701" t="s">
        <v>5387</v>
      </c>
      <c r="C63" s="1701" t="s">
        <v>22</v>
      </c>
      <c r="D63" s="1701" t="s">
        <v>5369</v>
      </c>
      <c r="E63" s="1701" t="s">
        <v>5369</v>
      </c>
      <c r="F63" s="1701" t="s">
        <v>22</v>
      </c>
      <c r="G63" s="1701" t="s">
        <v>22</v>
      </c>
      <c r="H63" s="1701" t="s">
        <v>22</v>
      </c>
      <c r="I63" s="1701" t="s">
        <v>22</v>
      </c>
    </row>
    <row customHeight="1" ht="11.25">
      <c r="A64" s="1701" t="s">
        <v>4141</v>
      </c>
      <c r="B64" s="1701" t="s">
        <v>5388</v>
      </c>
      <c r="C64" s="1701" t="s">
        <v>22</v>
      </c>
      <c r="D64" s="1701" t="s">
        <v>5299</v>
      </c>
      <c r="E64" s="1701" t="s">
        <v>5297</v>
      </c>
      <c r="F64" s="1701" t="s">
        <v>22</v>
      </c>
      <c r="G64" s="1701" t="s">
        <v>22</v>
      </c>
      <c r="H64" s="1701" t="s">
        <v>22</v>
      </c>
      <c r="I64" s="1701" t="s">
        <v>22</v>
      </c>
    </row>
    <row customHeight="1" ht="11.25">
      <c r="A65" s="1701" t="s">
        <v>4144</v>
      </c>
      <c r="B65" s="1701" t="s">
        <v>5389</v>
      </c>
      <c r="C65" s="1701" t="s">
        <v>22</v>
      </c>
      <c r="D65" s="1701" t="s">
        <v>5294</v>
      </c>
      <c r="E65" s="1701" t="s">
        <v>5390</v>
      </c>
      <c r="F65" s="1701" t="s">
        <v>22</v>
      </c>
      <c r="G65" s="1701" t="s">
        <v>22</v>
      </c>
      <c r="H65" s="1701" t="s">
        <v>22</v>
      </c>
      <c r="I65" s="1701" t="s">
        <v>22</v>
      </c>
    </row>
    <row customHeight="1" ht="11.25">
      <c r="A66" s="1701" t="s">
        <v>4147</v>
      </c>
      <c r="B66" s="1701" t="s">
        <v>5391</v>
      </c>
      <c r="C66" s="1701" t="s">
        <v>22</v>
      </c>
      <c r="D66" s="1701" t="s">
        <v>5289</v>
      </c>
      <c r="E66" s="1701" t="s">
        <v>5297</v>
      </c>
      <c r="F66" s="1701" t="s">
        <v>22</v>
      </c>
      <c r="G66" s="1701" t="s">
        <v>22</v>
      </c>
      <c r="H66" s="1701" t="s">
        <v>22</v>
      </c>
      <c r="I66" s="1701" t="s">
        <v>22</v>
      </c>
    </row>
    <row customHeight="1" ht="11.25">
      <c r="A67" s="1701" t="s">
        <v>2302</v>
      </c>
      <c r="B67" s="1701" t="s">
        <v>5392</v>
      </c>
      <c r="C67" s="1701" t="s">
        <v>22</v>
      </c>
      <c r="D67" s="1701" t="s">
        <v>5393</v>
      </c>
      <c r="E67" s="1701" t="s">
        <v>5364</v>
      </c>
      <c r="F67" s="1701" t="s">
        <v>22</v>
      </c>
      <c r="G67" s="1701" t="s">
        <v>22</v>
      </c>
      <c r="H67" s="1701" t="s">
        <v>22</v>
      </c>
      <c r="I67" s="1701" t="s">
        <v>22</v>
      </c>
    </row>
    <row customHeight="1" ht="11.25">
      <c r="A68" s="1701" t="s">
        <v>4152</v>
      </c>
      <c r="B68" s="1701" t="s">
        <v>5394</v>
      </c>
      <c r="C68" s="1701" t="s">
        <v>22</v>
      </c>
      <c r="D68" s="1701" t="s">
        <v>5294</v>
      </c>
      <c r="E68" s="1701" t="s">
        <v>5390</v>
      </c>
      <c r="F68" s="1701" t="s">
        <v>22</v>
      </c>
      <c r="G68" s="1701" t="s">
        <v>22</v>
      </c>
      <c r="H68" s="1701" t="s">
        <v>22</v>
      </c>
      <c r="I68" s="1701" t="s">
        <v>22</v>
      </c>
    </row>
    <row customHeight="1" ht="11.25">
      <c r="A69" s="1701" t="s">
        <v>2505</v>
      </c>
      <c r="B69" s="1701" t="s">
        <v>5395</v>
      </c>
      <c r="C69" s="1701" t="s">
        <v>22</v>
      </c>
      <c r="D69" s="1701" t="s">
        <v>5396</v>
      </c>
      <c r="E69" s="1701" t="s">
        <v>5297</v>
      </c>
      <c r="F69" s="1701" t="s">
        <v>22</v>
      </c>
      <c r="G69" s="1701" t="s">
        <v>22</v>
      </c>
      <c r="H69" s="1701" t="s">
        <v>22</v>
      </c>
      <c r="I69" s="1701" t="s">
        <v>22</v>
      </c>
    </row>
    <row customHeight="1" ht="11.25">
      <c r="A70" s="1701" t="s">
        <v>4157</v>
      </c>
      <c r="B70" s="1701" t="s">
        <v>5397</v>
      </c>
      <c r="C70" s="1701" t="s">
        <v>22</v>
      </c>
      <c r="D70" s="1701" t="s">
        <v>5294</v>
      </c>
      <c r="E70" s="1701" t="s">
        <v>5390</v>
      </c>
      <c r="F70" s="1701" t="s">
        <v>22</v>
      </c>
      <c r="G70" s="1701" t="s">
        <v>22</v>
      </c>
      <c r="H70" s="1701" t="s">
        <v>22</v>
      </c>
      <c r="I70" s="1701" t="s">
        <v>22</v>
      </c>
    </row>
    <row customHeight="1" ht="11.25">
      <c r="A71" s="1701" t="s">
        <v>4160</v>
      </c>
      <c r="B71" s="1701" t="s">
        <v>5398</v>
      </c>
      <c r="C71" s="1701" t="s">
        <v>22</v>
      </c>
      <c r="D71" s="1701" t="s">
        <v>5399</v>
      </c>
      <c r="E71" s="1701" t="s">
        <v>5313</v>
      </c>
      <c r="F71" s="1701" t="s">
        <v>22</v>
      </c>
      <c r="G71" s="1701" t="s">
        <v>22</v>
      </c>
      <c r="H71" s="1701" t="s">
        <v>22</v>
      </c>
      <c r="I71" s="1701" t="s">
        <v>22</v>
      </c>
    </row>
    <row customHeight="1" ht="11.25">
      <c r="A72" s="1701" t="s">
        <v>4165</v>
      </c>
      <c r="B72" s="1701" t="s">
        <v>5400</v>
      </c>
      <c r="C72" s="1701" t="s">
        <v>22</v>
      </c>
      <c r="D72" s="1701" t="s">
        <v>5399</v>
      </c>
      <c r="E72" s="1701" t="s">
        <v>5313</v>
      </c>
      <c r="F72" s="1701" t="s">
        <v>22</v>
      </c>
      <c r="G72" s="1701" t="s">
        <v>22</v>
      </c>
      <c r="H72" s="1701" t="s">
        <v>22</v>
      </c>
      <c r="I72" s="1701" t="s">
        <v>22</v>
      </c>
    </row>
    <row customHeight="1" ht="11.25">
      <c r="A73" s="1701" t="s">
        <v>4166</v>
      </c>
      <c r="B73" s="1701" t="s">
        <v>5401</v>
      </c>
      <c r="C73" s="1701" t="s">
        <v>22</v>
      </c>
      <c r="D73" s="1701" t="s">
        <v>5299</v>
      </c>
      <c r="E73" s="1701" t="s">
        <v>5292</v>
      </c>
      <c r="F73" s="1701" t="s">
        <v>22</v>
      </c>
      <c r="G73" s="1701" t="s">
        <v>22</v>
      </c>
      <c r="H73" s="1701" t="s">
        <v>22</v>
      </c>
      <c r="I73" s="1701" t="s">
        <v>22</v>
      </c>
    </row>
    <row customHeight="1" ht="11.25">
      <c r="A74" s="1701" t="s">
        <v>4169</v>
      </c>
      <c r="B74" s="1701" t="s">
        <v>5402</v>
      </c>
      <c r="C74" s="1701" t="s">
        <v>22</v>
      </c>
      <c r="D74" s="1701" t="s">
        <v>5294</v>
      </c>
      <c r="E74" s="1701" t="s">
        <v>5292</v>
      </c>
      <c r="F74" s="1701" t="s">
        <v>22</v>
      </c>
      <c r="G74" s="1701" t="s">
        <v>22</v>
      </c>
      <c r="H74" s="1701" t="s">
        <v>22</v>
      </c>
      <c r="I74" s="1701" t="s">
        <v>22</v>
      </c>
    </row>
    <row customHeight="1" ht="11.25">
      <c r="A75" s="1701" t="s">
        <v>4172</v>
      </c>
      <c r="B75" s="1701" t="s">
        <v>5403</v>
      </c>
      <c r="C75" s="1701" t="s">
        <v>22</v>
      </c>
      <c r="D75" s="1701" t="s">
        <v>5294</v>
      </c>
      <c r="E75" s="1701" t="s">
        <v>5292</v>
      </c>
      <c r="F75" s="1701" t="s">
        <v>22</v>
      </c>
      <c r="G75" s="1701" t="s">
        <v>22</v>
      </c>
      <c r="H75" s="1701" t="s">
        <v>22</v>
      </c>
      <c r="I75" s="1701" t="s">
        <v>22</v>
      </c>
    </row>
    <row customHeight="1" ht="11.25">
      <c r="A76" s="1701" t="s">
        <v>4175</v>
      </c>
      <c r="B76" s="1701" t="s">
        <v>5404</v>
      </c>
      <c r="C76" s="1701" t="s">
        <v>22</v>
      </c>
      <c r="D76" s="1701" t="s">
        <v>5361</v>
      </c>
      <c r="E76" s="1701" t="s">
        <v>5316</v>
      </c>
      <c r="F76" s="1701" t="s">
        <v>22</v>
      </c>
      <c r="G76" s="1701" t="s">
        <v>22</v>
      </c>
      <c r="H76" s="1701" t="s">
        <v>22</v>
      </c>
      <c r="I76" s="1701" t="s">
        <v>22</v>
      </c>
    </row>
    <row customHeight="1" ht="11.25">
      <c r="A77" s="1701" t="s">
        <v>4178</v>
      </c>
      <c r="B77" s="1701" t="s">
        <v>5405</v>
      </c>
      <c r="C77" s="1701" t="s">
        <v>22</v>
      </c>
      <c r="D77" s="1701" t="s">
        <v>5406</v>
      </c>
      <c r="E77" s="1701" t="s">
        <v>5292</v>
      </c>
      <c r="F77" s="1701" t="s">
        <v>22</v>
      </c>
      <c r="G77" s="1701" t="s">
        <v>22</v>
      </c>
      <c r="H77" s="1701" t="s">
        <v>22</v>
      </c>
      <c r="I77" s="1701" t="s">
        <v>22</v>
      </c>
    </row>
    <row customHeight="1" ht="11.25">
      <c r="A78" s="1701" t="s">
        <v>4181</v>
      </c>
      <c r="B78" s="1701" t="s">
        <v>5407</v>
      </c>
      <c r="C78" s="1701" t="s">
        <v>22</v>
      </c>
      <c r="D78" s="1701" t="s">
        <v>5306</v>
      </c>
      <c r="E78" s="1701" t="s">
        <v>5307</v>
      </c>
      <c r="F78" s="1701" t="s">
        <v>22</v>
      </c>
      <c r="G78" s="1701" t="s">
        <v>22</v>
      </c>
      <c r="H78" s="1701" t="s">
        <v>22</v>
      </c>
      <c r="I78" s="1701" t="s">
        <v>22</v>
      </c>
    </row>
    <row customHeight="1" ht="11.25">
      <c r="A79" s="1701" t="s">
        <v>4184</v>
      </c>
      <c r="B79" s="1701" t="s">
        <v>5408</v>
      </c>
      <c r="C79" s="1701" t="s">
        <v>22</v>
      </c>
      <c r="D79" s="1701" t="s">
        <v>5294</v>
      </c>
      <c r="E79" s="1701" t="s">
        <v>5348</v>
      </c>
      <c r="F79" s="1701" t="s">
        <v>22</v>
      </c>
      <c r="G79" s="1701" t="s">
        <v>22</v>
      </c>
      <c r="H79" s="1701" t="s">
        <v>22</v>
      </c>
      <c r="I79" s="1701" t="s">
        <v>22</v>
      </c>
    </row>
    <row customHeight="1" ht="11.25">
      <c r="A80" s="1701" t="s">
        <v>4189</v>
      </c>
      <c r="B80" s="1701" t="s">
        <v>5409</v>
      </c>
      <c r="C80" s="1701" t="s">
        <v>22</v>
      </c>
      <c r="D80" s="1701" t="s">
        <v>5294</v>
      </c>
      <c r="E80" s="1701" t="s">
        <v>5348</v>
      </c>
      <c r="F80" s="1701" t="s">
        <v>22</v>
      </c>
      <c r="G80" s="1701" t="s">
        <v>22</v>
      </c>
      <c r="H80" s="1701" t="s">
        <v>22</v>
      </c>
      <c r="I80" s="1701" t="s">
        <v>22</v>
      </c>
    </row>
    <row customHeight="1" ht="11.25">
      <c r="A81" s="1701" t="s">
        <v>4191</v>
      </c>
      <c r="B81" s="1701" t="s">
        <v>5410</v>
      </c>
      <c r="C81" s="1701" t="s">
        <v>22</v>
      </c>
      <c r="D81" s="1701" t="s">
        <v>5294</v>
      </c>
      <c r="E81" s="1701" t="s">
        <v>5348</v>
      </c>
      <c r="F81" s="1701" t="s">
        <v>22</v>
      </c>
      <c r="G81" s="1701" t="s">
        <v>22</v>
      </c>
      <c r="H81" s="1701" t="s">
        <v>22</v>
      </c>
      <c r="I81" s="1701" t="s">
        <v>22</v>
      </c>
    </row>
    <row customHeight="1" ht="11.25">
      <c r="A82" s="1701" t="s">
        <v>4194</v>
      </c>
      <c r="B82" s="1701" t="s">
        <v>5411</v>
      </c>
      <c r="C82" s="1701" t="s">
        <v>22</v>
      </c>
      <c r="D82" s="1701" t="s">
        <v>5294</v>
      </c>
      <c r="E82" s="1701" t="s">
        <v>5390</v>
      </c>
      <c r="F82" s="1701" t="s">
        <v>22</v>
      </c>
      <c r="G82" s="1701" t="s">
        <v>22</v>
      </c>
      <c r="H82" s="1701" t="s">
        <v>22</v>
      </c>
      <c r="I82" s="1701" t="s">
        <v>22</v>
      </c>
    </row>
    <row customHeight="1" ht="11.25">
      <c r="A83" s="1701" t="s">
        <v>4197</v>
      </c>
      <c r="B83" s="1701" t="s">
        <v>5412</v>
      </c>
      <c r="C83" s="1701" t="s">
        <v>22</v>
      </c>
      <c r="D83" s="1701" t="s">
        <v>5294</v>
      </c>
      <c r="E83" s="1701" t="s">
        <v>5348</v>
      </c>
      <c r="F83" s="1701" t="s">
        <v>22</v>
      </c>
      <c r="G83" s="1701" t="s">
        <v>22</v>
      </c>
      <c r="H83" s="1701" t="s">
        <v>22</v>
      </c>
      <c r="I83" s="1701" t="s">
        <v>22</v>
      </c>
    </row>
    <row customHeight="1" ht="11.25">
      <c r="A84" s="1701" t="s">
        <v>4200</v>
      </c>
      <c r="B84" s="1701" t="s">
        <v>5413</v>
      </c>
      <c r="C84" s="1701" t="s">
        <v>22</v>
      </c>
      <c r="D84" s="1701" t="s">
        <v>5294</v>
      </c>
      <c r="E84" s="1701" t="s">
        <v>5390</v>
      </c>
      <c r="F84" s="1701" t="s">
        <v>22</v>
      </c>
      <c r="G84" s="1701" t="s">
        <v>22</v>
      </c>
      <c r="H84" s="1701" t="s">
        <v>22</v>
      </c>
      <c r="I84" s="1701" t="s">
        <v>22</v>
      </c>
    </row>
    <row customHeight="1" ht="11.25">
      <c r="A85" s="1701" t="s">
        <v>4201</v>
      </c>
      <c r="B85" s="1701" t="s">
        <v>5414</v>
      </c>
      <c r="C85" s="1701" t="s">
        <v>22</v>
      </c>
      <c r="D85" s="1701" t="s">
        <v>5294</v>
      </c>
      <c r="E85" s="1701" t="s">
        <v>5348</v>
      </c>
      <c r="F85" s="1701" t="s">
        <v>22</v>
      </c>
      <c r="G85" s="1701" t="s">
        <v>22</v>
      </c>
      <c r="H85" s="1701" t="s">
        <v>22</v>
      </c>
      <c r="I85" s="1701" t="s">
        <v>22</v>
      </c>
    </row>
    <row customHeight="1" ht="11.25">
      <c r="A86" s="1701" t="s">
        <v>4204</v>
      </c>
      <c r="B86" s="1701" t="s">
        <v>5415</v>
      </c>
      <c r="C86" s="1701" t="s">
        <v>22</v>
      </c>
      <c r="D86" s="1701" t="s">
        <v>5294</v>
      </c>
      <c r="E86" s="1701" t="s">
        <v>5364</v>
      </c>
      <c r="F86" s="1701" t="s">
        <v>22</v>
      </c>
      <c r="G86" s="1701" t="s">
        <v>22</v>
      </c>
      <c r="H86" s="1701" t="s">
        <v>22</v>
      </c>
      <c r="I86" s="1701" t="s">
        <v>22</v>
      </c>
    </row>
    <row customHeight="1" ht="11.25">
      <c r="A87" s="1701" t="s">
        <v>4207</v>
      </c>
      <c r="B87" s="1701" t="s">
        <v>5416</v>
      </c>
      <c r="C87" s="1701" t="s">
        <v>22</v>
      </c>
      <c r="D87" s="1701" t="s">
        <v>5294</v>
      </c>
      <c r="E87" s="1701" t="s">
        <v>5364</v>
      </c>
      <c r="F87" s="1701" t="s">
        <v>22</v>
      </c>
      <c r="G87" s="1701" t="s">
        <v>22</v>
      </c>
      <c r="H87" s="1701" t="s">
        <v>22</v>
      </c>
      <c r="I87" s="1701" t="s">
        <v>22</v>
      </c>
    </row>
    <row customHeight="1" ht="11.25">
      <c r="A88" s="1701" t="s">
        <v>4210</v>
      </c>
      <c r="B88" s="1701" t="s">
        <v>5417</v>
      </c>
      <c r="C88" s="1701" t="s">
        <v>22</v>
      </c>
      <c r="D88" s="1701" t="s">
        <v>5418</v>
      </c>
      <c r="E88" s="1701" t="s">
        <v>5364</v>
      </c>
      <c r="F88" s="1701" t="s">
        <v>22</v>
      </c>
      <c r="G88" s="1701" t="s">
        <v>22</v>
      </c>
      <c r="H88" s="1701" t="s">
        <v>22</v>
      </c>
      <c r="I88" s="1701" t="s">
        <v>22</v>
      </c>
    </row>
    <row customHeight="1" ht="11.25">
      <c r="A89" s="1701" t="s">
        <v>4213</v>
      </c>
      <c r="B89" s="1701" t="s">
        <v>5419</v>
      </c>
      <c r="C89" s="1701" t="s">
        <v>22</v>
      </c>
      <c r="D89" s="1701" t="s">
        <v>5327</v>
      </c>
      <c r="E89" s="1701" t="s">
        <v>5313</v>
      </c>
      <c r="F89" s="1701" t="s">
        <v>22</v>
      </c>
      <c r="G89" s="1701" t="s">
        <v>22</v>
      </c>
      <c r="H89" s="1701" t="s">
        <v>22</v>
      </c>
      <c r="I89" s="1701" t="s">
        <v>22</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B2F2ED-DDA8-A755-C19F-0.B214918B}" mc:Ignorable="x14ac xr xr2 xr3">
  <sheetPr>
    <tabColor rgb="FFFFCC99"/>
  </sheetPr>
  <dimension ref="A1:A1"/>
  <sheetViews>
    <sheetView topLeftCell="A1"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E49D97-4055-8D1A-2844-0.5F454133}"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42" width="9.140625" hidden="1" customWidth="1"/>
    <col min="2" max="2" style="1645" width="9.140625" hidden="1" customWidth="1"/>
    <col min="3" max="3" style="1852" width="3.00390625" customWidth="1"/>
    <col min="4" max="4" style="1645" width="5.00390625" customWidth="1"/>
    <col min="5" max="5" style="1645" width="48.00390625" customWidth="1"/>
    <col min="6" max="6" style="1645" width="38.00390625" customWidth="1"/>
    <col min="7" max="7" style="1645" width="1.7109375" hidden="1" customWidth="1"/>
    <col min="8" max="11" style="1645" width="19.8515625" customWidth="1"/>
    <col min="12" max="12" style="1645" width="9.7109375" customWidth="1"/>
    <col min="13" max="18" style="1645" width="19.8515625" customWidth="1"/>
    <col min="19" max="19" style="1645" width="1.7109375" hidden="1" customWidth="1"/>
    <col min="20" max="22" style="1645" width="19.8515625" hidden="1" customWidth="1"/>
    <col min="23" max="23" style="1645" width="1.7109375" hidden="1" customWidth="1"/>
    <col min="24" max="26" style="1645" width="19.8515625" hidden="1" customWidth="1"/>
    <col min="27" max="27" style="1645" width="1.7109375" hidden="1" customWidth="1"/>
    <col min="28" max="29" style="1645" width="19.8515625" hidden="1" customWidth="1"/>
    <col min="30" max="30" style="1645" width="1.7109375" hidden="1" customWidth="1"/>
    <col min="31" max="31" style="1645" width="103.7109375" customWidth="1"/>
    <col min="32" max="34" style="1645" width="103.7109375" hidden="1" customWidth="1"/>
    <col min="35" max="35" style="1829" width="3.00390625" customWidth="1"/>
    <col min="36" max="38" style="1652" width="10.00390625" customWidth="1"/>
    <col min="39" max="39" style="1652" width="13.7109375" hidden="1" customWidth="1"/>
    <col min="40" max="40" style="1652" width="15.00390625" customWidth="1"/>
    <col min="41" max="41" style="1652" width="16.00390625" customWidth="1"/>
    <col min="42" max="45" style="1652" width="10.00390625" customWidth="1"/>
    <col min="46" max="46" style="1645" width="10.57421875" hidden="1"/>
  </cols>
  <sheetData>
    <row customHeight="1" ht="22.5" hidden="1">
      <c r="E1" s="422"/>
      <c r="F1" s="422"/>
      <c r="G1" s="422"/>
      <c r="H1" s="2227" t="s">
        <v>374</v>
      </c>
      <c r="I1" s="2227"/>
      <c r="J1" s="2227"/>
      <c r="K1" s="2227"/>
      <c r="L1" s="2227"/>
      <c r="M1" s="2227"/>
      <c r="N1" s="2227"/>
      <c r="O1" s="2227"/>
      <c r="P1" s="2227"/>
      <c r="Q1" s="2227"/>
      <c r="R1" s="2227"/>
      <c r="T1" s="2227" t="s">
        <v>375</v>
      </c>
      <c r="U1" s="2227"/>
      <c r="V1" s="2227"/>
      <c r="X1" s="2227" t="s">
        <v>376</v>
      </c>
      <c r="Y1" s="2227"/>
      <c r="Z1" s="2227"/>
      <c r="AB1" s="2227" t="s">
        <v>377</v>
      </c>
      <c r="AC1" s="2227"/>
      <c r="AT1" s="457" t="s">
        <v>14</v>
      </c>
    </row>
    <row customHeight="1" ht="14.25" hidden="1">
      <c r="AT2" s="457">
        <v>0</v>
      </c>
    </row>
    <row s="1623" customFormat="1" customHeight="1" ht="5.25">
      <c r="C3" s="711"/>
      <c r="D3" s="712"/>
      <c r="E3" s="712"/>
      <c r="F3" s="712"/>
      <c r="G3" s="712"/>
      <c r="H3" s="712" t="s">
        <v>378</v>
      </c>
      <c r="I3" s="712"/>
      <c r="J3" s="712"/>
      <c r="K3" s="712"/>
      <c r="L3" s="712"/>
      <c r="M3" s="712"/>
      <c r="N3" s="712"/>
      <c r="O3" s="712"/>
      <c r="P3" s="712"/>
      <c r="Q3" s="712"/>
      <c r="R3" s="712"/>
      <c r="S3" s="712"/>
      <c r="T3" s="712"/>
      <c r="U3" s="712"/>
      <c r="V3" s="712"/>
      <c r="W3" s="712"/>
      <c r="X3" s="712"/>
      <c r="Y3" s="712"/>
      <c r="Z3" s="712"/>
      <c r="AA3" s="712"/>
      <c r="AB3" s="712"/>
      <c r="AC3" s="712"/>
      <c r="AD3" s="712"/>
      <c r="AE3" s="712"/>
      <c r="AF3" s="712"/>
      <c r="AG3" s="712"/>
      <c r="AH3" s="712"/>
      <c r="AJ3" s="521"/>
      <c r="AK3" s="521"/>
      <c r="AL3" s="521"/>
      <c r="AM3" s="521"/>
      <c r="AN3" s="521"/>
      <c r="AO3" s="521"/>
      <c r="AP3" s="521"/>
      <c r="AQ3" s="521"/>
      <c r="AR3" s="521"/>
      <c r="AS3" s="521"/>
      <c r="AT3" s="710">
        <v>5</v>
      </c>
    </row>
    <row customHeight="1" ht="39.75">
      <c r="C4" s="460"/>
      <c r="D4" s="2167"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8"/>
      <c r="F4" s="2168"/>
      <c r="G4" s="2168"/>
      <c r="H4" s="2168"/>
      <c r="I4" s="2168"/>
      <c r="J4" s="2168"/>
      <c r="K4" s="2168"/>
      <c r="L4" s="2168"/>
      <c r="M4" s="2168"/>
      <c r="N4" s="2168"/>
      <c r="O4" s="2168"/>
      <c r="P4" s="2168"/>
      <c r="Q4" s="2168"/>
      <c r="R4" s="2169"/>
      <c r="S4" s="863"/>
      <c r="T4" s="709"/>
      <c r="U4" s="709"/>
      <c r="V4" s="709"/>
      <c r="W4" s="709"/>
      <c r="X4" s="709"/>
      <c r="Y4" s="709"/>
      <c r="Z4" s="709"/>
      <c r="AA4" s="709"/>
      <c r="AB4" s="709"/>
      <c r="AC4" s="709"/>
      <c r="AD4" s="709"/>
      <c r="AE4" s="501"/>
      <c r="AF4" s="501"/>
      <c r="AG4" s="501"/>
      <c r="AH4" s="501"/>
      <c r="AI4" s="498"/>
      <c r="AT4" s="457">
        <v>38</v>
      </c>
    </row>
    <row s="1645" customFormat="1" customHeight="1" ht="18">
      <c r="A5" s="769"/>
      <c r="C5" s="832"/>
      <c r="D5" s="2224" t="str">
        <f>IF(org=0,"Не определено",org)</f>
        <v>АО «ДГК» СП «Нерюнгринская ГРЭС»</v>
      </c>
      <c r="E5" s="2225"/>
      <c r="F5" s="2225"/>
      <c r="G5" s="2225"/>
      <c r="H5" s="2225"/>
      <c r="I5" s="2225"/>
      <c r="J5" s="2225"/>
      <c r="K5" s="2225"/>
      <c r="L5" s="2225"/>
      <c r="M5" s="2225"/>
      <c r="N5" s="2225"/>
      <c r="O5" s="2225"/>
      <c r="P5" s="2225"/>
      <c r="Q5" s="2225"/>
      <c r="R5" s="2226"/>
      <c r="S5" s="863"/>
      <c r="T5" s="709"/>
      <c r="U5" s="709"/>
      <c r="V5" s="709"/>
      <c r="W5" s="709"/>
      <c r="X5" s="709"/>
      <c r="Y5" s="709"/>
      <c r="Z5" s="709"/>
      <c r="AA5" s="709"/>
      <c r="AB5" s="709"/>
      <c r="AC5" s="709"/>
      <c r="AD5" s="709"/>
      <c r="AE5" s="501"/>
      <c r="AF5" s="501"/>
      <c r="AG5" s="501"/>
      <c r="AH5" s="501"/>
      <c r="AI5" s="498"/>
      <c r="AJ5" s="521"/>
      <c r="AK5" s="521"/>
      <c r="AL5" s="521"/>
      <c r="AM5" s="521"/>
      <c r="AN5" s="521"/>
      <c r="AO5" s="521"/>
      <c r="AP5" s="521"/>
      <c r="AQ5" s="521"/>
      <c r="AR5" s="521"/>
      <c r="AS5" s="521"/>
      <c r="AT5" s="768">
        <v>17</v>
      </c>
    </row>
    <row s="1622" customFormat="1" customHeight="1" ht="11.549999999999999">
      <c r="A6" s="489"/>
      <c r="C6" s="496"/>
      <c r="D6" s="495"/>
      <c r="E6" s="495"/>
      <c r="F6" s="495"/>
      <c r="G6" s="495"/>
      <c r="H6" s="495"/>
      <c r="I6" s="495"/>
      <c r="J6" s="495"/>
      <c r="K6" s="495"/>
      <c r="L6" s="495"/>
      <c r="M6" s="495"/>
      <c r="N6" s="495"/>
      <c r="O6" s="495"/>
      <c r="P6" s="495"/>
      <c r="Q6" s="495"/>
      <c r="R6" s="762"/>
      <c r="S6" s="762"/>
      <c r="T6" s="495"/>
      <c r="U6" s="495"/>
      <c r="V6" s="722"/>
      <c r="W6" s="722"/>
      <c r="X6" s="495"/>
      <c r="Y6" s="495"/>
      <c r="Z6" s="722"/>
      <c r="AA6" s="722"/>
      <c r="AB6" s="495"/>
      <c r="AC6" s="722"/>
      <c r="AD6" s="722"/>
      <c r="AE6" s="495"/>
      <c r="AF6" s="495"/>
      <c r="AG6" s="495"/>
      <c r="AH6" s="495"/>
      <c r="AJ6" s="499"/>
      <c r="AK6" s="499"/>
      <c r="AL6" s="499"/>
      <c r="AM6" s="499"/>
      <c r="AN6" s="499"/>
      <c r="AO6" s="499"/>
      <c r="AP6" s="499"/>
      <c r="AQ6" s="499"/>
      <c r="AR6" s="499"/>
      <c r="AS6" s="499"/>
      <c r="AT6" s="490">
        <v>11</v>
      </c>
    </row>
    <row customHeight="1" ht="14.699999999999998">
      <c r="C7" s="460"/>
      <c r="D7" s="2228" t="s">
        <v>322</v>
      </c>
      <c r="E7" s="2229"/>
      <c r="F7" s="2229"/>
      <c r="G7" s="2229"/>
      <c r="H7" s="2229"/>
      <c r="I7" s="2229"/>
      <c r="J7" s="2229"/>
      <c r="K7" s="2229"/>
      <c r="L7" s="2229"/>
      <c r="M7" s="2229"/>
      <c r="N7" s="2229"/>
      <c r="O7" s="2229"/>
      <c r="P7" s="2229"/>
      <c r="Q7" s="2229"/>
      <c r="R7" s="2229"/>
      <c r="S7" s="2229"/>
      <c r="T7" s="2229"/>
      <c r="U7" s="2229"/>
      <c r="V7" s="2229"/>
      <c r="W7" s="2229"/>
      <c r="X7" s="2229"/>
      <c r="Y7" s="2229"/>
      <c r="Z7" s="2229"/>
      <c r="AA7" s="2229"/>
      <c r="AB7" s="2229"/>
      <c r="AC7" s="2229"/>
      <c r="AD7" s="2230"/>
      <c r="AE7" s="2233" t="s">
        <v>323</v>
      </c>
      <c r="AF7" s="2233" t="s">
        <v>323</v>
      </c>
      <c r="AG7" s="2233" t="s">
        <v>323</v>
      </c>
      <c r="AH7" s="2233" t="s">
        <v>323</v>
      </c>
      <c r="AT7" s="457">
        <v>14</v>
      </c>
    </row>
    <row customHeight="1" ht="27.299999999999997">
      <c r="C8" s="460"/>
      <c r="D8" s="2137" t="s">
        <v>88</v>
      </c>
      <c r="E8" s="2233" t="str">
        <f>"Наименование "&amp;IF(TEMPLATE_SPHERE&lt;&gt;"HEAT","централизованной ","")&amp;"системы "&amp;TEMPLATE_SPHERE_RUS</f>
        <v>Наименование системы теплоснабжения</v>
      </c>
      <c r="F8" s="2233" t="str">
        <f>IF(TEMPLATE_SPHERE&lt;&gt;"HEAT","Регулируемый вид деятельности","Вид регулируемой деятельности")</f>
        <v>Вид регулируемой деятельности</v>
      </c>
      <c r="G8" s="838"/>
      <c r="H8" s="2234" t="s">
        <v>379</v>
      </c>
      <c r="I8" s="2236" t="s">
        <v>380</v>
      </c>
      <c r="J8" s="2233" t="s">
        <v>381</v>
      </c>
      <c r="K8" s="2233"/>
      <c r="L8" s="2233"/>
      <c r="M8" s="2228"/>
      <c r="N8" s="2233" t="s">
        <v>382</v>
      </c>
      <c r="O8" s="2233"/>
      <c r="P8" s="2233" t="s">
        <v>383</v>
      </c>
      <c r="Q8" s="2233"/>
      <c r="R8" s="2240" t="s">
        <v>384</v>
      </c>
      <c r="S8" s="834"/>
      <c r="T8" s="2238" t="s">
        <v>385</v>
      </c>
      <c r="U8" s="2238" t="s">
        <v>386</v>
      </c>
      <c r="V8" s="2238" t="s">
        <v>387</v>
      </c>
      <c r="W8" s="836"/>
      <c r="X8" s="2238" t="s">
        <v>388</v>
      </c>
      <c r="Y8" s="2238" t="s">
        <v>389</v>
      </c>
      <c r="Z8" s="2238" t="s">
        <v>390</v>
      </c>
      <c r="AA8" s="836"/>
      <c r="AB8" s="2238" t="s">
        <v>391</v>
      </c>
      <c r="AC8" s="2238" t="s">
        <v>384</v>
      </c>
      <c r="AD8" s="836"/>
      <c r="AE8" s="2233"/>
      <c r="AF8" s="2233"/>
      <c r="AG8" s="2233"/>
      <c r="AH8" s="2233"/>
      <c r="AT8" s="457">
        <v>26</v>
      </c>
    </row>
    <row customHeight="1" ht="46.199999999999996">
      <c r="C9" s="460"/>
      <c r="D9" s="2137"/>
      <c r="E9" s="2233"/>
      <c r="F9" s="2233"/>
      <c r="G9" s="839"/>
      <c r="H9" s="2235"/>
      <c r="I9" s="2237"/>
      <c r="J9" s="435" t="s">
        <v>392</v>
      </c>
      <c r="K9" s="435" t="s">
        <v>393</v>
      </c>
      <c r="L9" s="435" t="s">
        <v>394</v>
      </c>
      <c r="M9" s="441" t="s">
        <v>395</v>
      </c>
      <c r="N9" s="435" t="s">
        <v>396</v>
      </c>
      <c r="O9" s="435" t="s">
        <v>395</v>
      </c>
      <c r="P9" s="435" t="s">
        <v>397</v>
      </c>
      <c r="Q9" s="435" t="s">
        <v>395</v>
      </c>
      <c r="R9" s="2241"/>
      <c r="S9" s="835"/>
      <c r="T9" s="2239"/>
      <c r="U9" s="2239"/>
      <c r="V9" s="2239"/>
      <c r="W9" s="837"/>
      <c r="X9" s="2239"/>
      <c r="Y9" s="2239"/>
      <c r="Z9" s="2239"/>
      <c r="AA9" s="837"/>
      <c r="AB9" s="2239"/>
      <c r="AC9" s="2239"/>
      <c r="AD9" s="837"/>
      <c r="AE9" s="2233"/>
      <c r="AF9" s="2233"/>
      <c r="AG9" s="2233"/>
      <c r="AH9" s="2233"/>
      <c r="AT9" s="457">
        <v>44</v>
      </c>
    </row>
    <row customHeight="1" ht="12" hidden="1">
      <c r="C10" s="497"/>
      <c r="D10" s="458"/>
      <c r="E10" s="458"/>
      <c r="F10" s="458"/>
      <c r="G10" s="458"/>
      <c r="H10" s="458"/>
      <c r="I10" s="458"/>
      <c r="J10" s="458"/>
      <c r="K10" s="458"/>
      <c r="L10" s="458"/>
      <c r="M10" s="458"/>
      <c r="N10" s="458"/>
      <c r="O10" s="458"/>
      <c r="P10" s="458"/>
      <c r="Q10" s="458"/>
      <c r="R10" s="458"/>
      <c r="S10" s="458"/>
      <c r="T10" s="458"/>
      <c r="U10" s="458"/>
      <c r="V10" s="458"/>
      <c r="W10" s="458"/>
      <c r="X10" s="458"/>
      <c r="Y10" s="458"/>
      <c r="Z10" s="458"/>
      <c r="AA10" s="458"/>
      <c r="AB10" s="458"/>
      <c r="AC10" s="458"/>
      <c r="AD10" s="458"/>
      <c r="AE10" s="458"/>
      <c r="AF10" s="458"/>
      <c r="AG10" s="458"/>
      <c r="AH10" s="458"/>
      <c r="AI10" s="457"/>
      <c r="AP10" s="510"/>
      <c r="AQ10" s="510"/>
      <c r="AT10" s="457">
        <v>0</v>
      </c>
    </row>
    <row s="1651" customFormat="1" customHeight="1" ht="11.25" hidden="1">
      <c r="C11" s="508"/>
      <c r="D11" s="509" t="s">
        <v>398</v>
      </c>
      <c r="E11" s="509"/>
      <c r="F11" s="509"/>
      <c r="G11" s="509"/>
      <c r="H11" s="507"/>
      <c r="I11" s="507"/>
      <c r="J11" s="507"/>
      <c r="K11" s="507"/>
      <c r="L11" s="507"/>
      <c r="M11" s="507"/>
      <c r="N11" s="507"/>
      <c r="O11" s="507"/>
      <c r="P11" s="507"/>
      <c r="Q11" s="507"/>
      <c r="R11" s="507"/>
      <c r="S11" s="507"/>
      <c r="T11" s="507"/>
      <c r="U11" s="507"/>
      <c r="V11" s="507"/>
      <c r="W11" s="507"/>
      <c r="X11" s="507"/>
      <c r="Y11" s="507"/>
      <c r="Z11" s="507"/>
      <c r="AA11" s="507"/>
      <c r="AB11" s="507"/>
      <c r="AC11" s="507"/>
      <c r="AD11" s="507"/>
      <c r="AE11" s="445"/>
      <c r="AF11" s="445"/>
      <c r="AG11" s="445"/>
      <c r="AH11" s="445"/>
      <c r="AJ11" s="499"/>
      <c r="AK11" s="499"/>
      <c r="AL11" s="499"/>
      <c r="AM11" s="499"/>
      <c r="AN11" s="499"/>
      <c r="AO11" s="499"/>
      <c r="AP11" s="499"/>
      <c r="AQ11" s="499"/>
      <c r="AR11" s="499"/>
      <c r="AS11" s="499"/>
      <c r="AT11" s="506">
        <v>0</v>
      </c>
    </row>
    <row customHeight="1" ht="14.699999999999998">
      <c r="A12" s="457"/>
      <c r="C12" s="460"/>
      <c r="D12" s="444" t="s">
        <v>124</v>
      </c>
      <c r="E12" s="1787" t="s">
        <v>22</v>
      </c>
      <c r="F12" s="865"/>
      <c r="G12" s="866"/>
      <c r="H12" s="1788"/>
      <c r="I12" s="1788"/>
      <c r="J12" s="443"/>
      <c r="K12" s="1873"/>
      <c r="L12" s="442"/>
      <c r="M12" s="1873"/>
      <c r="N12" s="443"/>
      <c r="O12" s="1873"/>
      <c r="P12" s="443"/>
      <c r="Q12" s="1873"/>
      <c r="R12" s="443"/>
      <c r="S12" s="864"/>
      <c r="T12" s="1788"/>
      <c r="U12" s="443"/>
      <c r="V12" s="443"/>
      <c r="W12" s="837"/>
      <c r="X12" s="1788"/>
      <c r="Y12" s="443"/>
      <c r="Z12" s="443"/>
      <c r="AA12" s="837"/>
      <c r="AB12" s="1788"/>
      <c r="AC12" s="443"/>
      <c r="AD12" s="837"/>
      <c r="AE12" s="2231" t="s">
        <v>399</v>
      </c>
      <c r="AF12" s="2231" t="s">
        <v>400</v>
      </c>
      <c r="AG12" s="2231" t="s">
        <v>401</v>
      </c>
      <c r="AH12" s="2231" t="s">
        <v>402</v>
      </c>
      <c r="AI12" s="457"/>
      <c r="AM12" s="521"/>
      <c r="AP12" s="510" t="s">
        <v>403</v>
      </c>
      <c r="AQ12" s="510" t="s">
        <v>403</v>
      </c>
      <c r="AT12" s="457">
        <v>14</v>
      </c>
    </row>
    <row customHeight="1" ht="18">
      <c r="A13" s="457"/>
      <c r="C13" s="460"/>
      <c r="D13" s="415"/>
      <c r="E13" s="879" t="str">
        <f>IF(TITLE_DIFFERENTIATION_TYPE="нет","","Добавить систему")</f>
        <v/>
      </c>
      <c r="F13" s="879" t="str">
        <f>IF(TITLE_DIFFERENTIATION_TYPE="нет","Добавить вид деятельности","")</f>
        <v>Добавить вид деятельности</v>
      </c>
      <c r="G13" s="323"/>
      <c r="H13" s="416"/>
      <c r="I13" s="416"/>
      <c r="J13" s="416"/>
      <c r="K13" s="416"/>
      <c r="L13" s="416"/>
      <c r="M13" s="416"/>
      <c r="N13" s="416"/>
      <c r="O13" s="416"/>
      <c r="P13" s="416"/>
      <c r="Q13" s="416"/>
      <c r="R13" s="416"/>
      <c r="S13" s="416"/>
      <c r="T13" s="416"/>
      <c r="U13" s="416"/>
      <c r="V13" s="416"/>
      <c r="W13" s="416"/>
      <c r="X13" s="416"/>
      <c r="Y13" s="416"/>
      <c r="Z13" s="416"/>
      <c r="AA13" s="416"/>
      <c r="AB13" s="416"/>
      <c r="AC13" s="416"/>
      <c r="AD13" s="867"/>
      <c r="AE13" s="2232"/>
      <c r="AF13" s="2232"/>
      <c r="AG13" s="2232"/>
      <c r="AH13" s="2232"/>
      <c r="AI13" s="457"/>
      <c r="AT13" s="457">
        <v>17</v>
      </c>
    </row>
    <row customHeight="1" ht="14.699999999999998">
      <c r="AI14" s="457"/>
      <c r="AT14" s="457">
        <v>14</v>
      </c>
    </row>
    <row customHeight="1" ht="14.699999999999998">
      <c r="E15" s="768"/>
      <c r="L15" s="768"/>
      <c r="AT15" s="457">
        <v>14</v>
      </c>
    </row>
    <row customHeight="1" ht="14.699999999999998">
      <c r="L16" s="768"/>
      <c r="AT16" s="457">
        <v>14</v>
      </c>
    </row>
    <row customHeight="1" ht="14.699999999999998">
      <c r="L17" s="768"/>
      <c r="AT17" s="457">
        <v>14</v>
      </c>
    </row>
    <row customHeight="1" ht="22.5" hidden="1">
      <c r="A18" s="459" t="s">
        <v>82</v>
      </c>
      <c r="B18" s="457">
        <v>0</v>
      </c>
      <c r="C18" s="461">
        <v>3</v>
      </c>
      <c r="D18" s="457">
        <v>5</v>
      </c>
      <c r="E18" s="457">
        <v>48</v>
      </c>
      <c r="F18" s="457">
        <v>38</v>
      </c>
      <c r="G18" s="768">
        <v>0</v>
      </c>
      <c r="H18" s="457">
        <v>0</v>
      </c>
      <c r="I18" s="457">
        <v>0</v>
      </c>
      <c r="J18" s="457">
        <v>0</v>
      </c>
      <c r="K18" s="457">
        <v>0</v>
      </c>
      <c r="L18" s="457">
        <v>0</v>
      </c>
      <c r="M18" s="457">
        <v>0</v>
      </c>
      <c r="N18" s="457">
        <v>0</v>
      </c>
      <c r="O18" s="457">
        <v>0</v>
      </c>
      <c r="P18" s="457">
        <v>0</v>
      </c>
      <c r="Q18" s="457">
        <v>0</v>
      </c>
      <c r="R18" s="457">
        <v>0</v>
      </c>
      <c r="S18" s="768">
        <v>0</v>
      </c>
      <c r="T18" s="515">
        <v>0</v>
      </c>
      <c r="U18" s="515">
        <v>0</v>
      </c>
      <c r="V18" s="515">
        <v>0</v>
      </c>
      <c r="W18" s="768">
        <v>0</v>
      </c>
      <c r="X18" s="515">
        <v>0</v>
      </c>
      <c r="Y18" s="515">
        <v>0</v>
      </c>
      <c r="Z18" s="515">
        <v>0</v>
      </c>
      <c r="AA18" s="768">
        <v>0</v>
      </c>
      <c r="AB18" s="515">
        <v>0</v>
      </c>
      <c r="AC18" s="515">
        <v>0</v>
      </c>
      <c r="AD18" s="768">
        <v>0</v>
      </c>
      <c r="AE18" s="457">
        <v>0</v>
      </c>
      <c r="AF18" s="515">
        <v>0</v>
      </c>
      <c r="AG18" s="515">
        <v>0</v>
      </c>
      <c r="AH18" s="515">
        <v>0</v>
      </c>
      <c r="AI18" s="462">
        <v>3</v>
      </c>
      <c r="AJ18" s="499">
        <v>10</v>
      </c>
      <c r="AK18" s="499">
        <v>10</v>
      </c>
      <c r="AL18" s="499">
        <v>10</v>
      </c>
      <c r="AM18" s="499">
        <v>0</v>
      </c>
      <c r="AN18" s="499">
        <v>15</v>
      </c>
      <c r="AO18" s="499">
        <v>16</v>
      </c>
      <c r="AP18" s="499">
        <v>10</v>
      </c>
      <c r="AQ18" s="499">
        <v>10</v>
      </c>
      <c r="AR18" s="499">
        <v>10</v>
      </c>
      <c r="AS18" s="499">
        <v>10</v>
      </c>
      <c r="AT18" s="457">
        <v>23</v>
      </c>
    </row>
  </sheetData>
  <sheetProtection sheet="1" formatColumns="0" formatRows="0" autoFilter="0" sort="1" insertRows="1" insertColumns="1" deleteRows="1" deleteColumns="1"/>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20E9F2-DDCA-3F18-022C-0.A85F2D36}" mc:Ignorable="x14ac xr xr2 xr3">
  <sheetPr>
    <tabColor rgb="FFFFCC99"/>
  </sheetPr>
  <dimension ref="A1:B5"/>
  <sheetViews>
    <sheetView topLeftCell="A1" showGridLines="0" workbookViewId="0">
      <selection activeCell="A1" sqref="A1"/>
    </sheetView>
  </sheetViews>
  <sheetFormatPr defaultColWidth="9.140625" customHeight="1" defaultRowHeight="11.25"/>
  <cols>
    <col min="1" max="2" style="193" width="9.140625"/>
  </cols>
  <sheetData>
    <row customHeight="1" ht="11.25">
      <c r="A1" s="193" t="s">
        <v>154</v>
      </c>
      <c r="B1" s="193" t="s">
        <v>5420</v>
      </c>
    </row>
    <row customHeight="1" ht="11.25">
      <c r="A2" s="193" t="s">
        <v>98</v>
      </c>
      <c r="B2" s="193" t="s">
        <v>5421</v>
      </c>
    </row>
    <row customHeight="1" ht="11.25">
      <c r="A3" s="193" t="s">
        <v>106</v>
      </c>
      <c r="B3" s="193" t="s">
        <v>5422</v>
      </c>
    </row>
    <row customHeight="1" ht="11.25">
      <c r="A4" s="193" t="s">
        <v>110</v>
      </c>
      <c r="B4" s="193" t="s">
        <v>5423</v>
      </c>
    </row>
    <row customHeight="1" ht="11.25">
      <c r="A5" s="193" t="s">
        <v>114</v>
      </c>
      <c r="B5" s="193" t="s">
        <v>5424</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DBFEE3-4EDC-DCD2-B834-0.93773B3E}"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701" width="9.140625"/>
    <col min="2" max="2" style="1701" width="65.28125" customWidth="1"/>
  </cols>
  <sheetData>
    <row customHeight="1" ht="11.25">
      <c r="A1" s="845" t="s">
        <v>5425</v>
      </c>
      <c r="B1" s="845" t="s">
        <v>5426</v>
      </c>
    </row>
    <row customHeight="1" ht="11.25">
      <c r="A2" s="845">
        <v>4213775</v>
      </c>
      <c r="B2" s="845" t="s">
        <v>1502</v>
      </c>
    </row>
    <row customHeight="1" ht="11.25">
      <c r="A3" s="845">
        <v>4213784</v>
      </c>
      <c r="B3" s="845" t="s">
        <v>1535</v>
      </c>
    </row>
    <row customHeight="1" ht="11.25">
      <c r="A4" s="845">
        <v>4213781</v>
      </c>
      <c r="B4" s="845" t="s">
        <v>1528</v>
      </c>
    </row>
    <row customHeight="1" ht="11.25">
      <c r="A5" s="845">
        <v>4213776</v>
      </c>
      <c r="B5" s="845" t="s">
        <v>190</v>
      </c>
    </row>
    <row customHeight="1" ht="11.25">
      <c r="A6" s="845">
        <v>4213777</v>
      </c>
      <c r="B6" s="845" t="s">
        <v>196</v>
      </c>
    </row>
    <row customHeight="1" ht="11.25">
      <c r="A7" s="845">
        <v>4213778</v>
      </c>
      <c r="B7" s="845" t="s">
        <v>202</v>
      </c>
    </row>
    <row customHeight="1" ht="11.25">
      <c r="A8" s="845">
        <v>4213780</v>
      </c>
      <c r="B8" s="845" t="s">
        <v>208</v>
      </c>
    </row>
    <row customHeight="1" ht="11.25">
      <c r="A9" s="845">
        <v>4213779</v>
      </c>
      <c r="B9" s="845" t="s">
        <v>1669</v>
      </c>
    </row>
    <row customHeight="1" ht="11.25">
      <c r="A10" s="845">
        <v>4213783</v>
      </c>
      <c r="B10" s="845" t="s">
        <v>1684</v>
      </c>
    </row>
    <row customHeight="1" ht="11.25">
      <c r="A11" s="845">
        <v>4213782</v>
      </c>
      <c r="B11" s="845" t="s">
        <v>214</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076475-614B-CC61-F36B-0.2F33DF8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701" width="9.140625"/>
    <col min="2" max="2" style="1701" width="65.28125" customWidth="1"/>
  </cols>
  <sheetData>
    <row customHeight="1" ht="11.25">
      <c r="A1" s="845" t="s">
        <v>5425</v>
      </c>
      <c r="B1" s="845" t="s">
        <v>5427</v>
      </c>
    </row>
    <row customHeight="1" ht="11.25">
      <c r="A2" s="845" t="s">
        <v>133</v>
      </c>
      <c r="B2" s="845" t="s">
        <v>1782</v>
      </c>
    </row>
    <row customHeight="1" ht="11.25">
      <c r="A3" s="845" t="s">
        <v>5428</v>
      </c>
      <c r="B3" s="845" t="s">
        <v>1792</v>
      </c>
    </row>
    <row customHeight="1" ht="11.25">
      <c r="A4" s="845" t="s">
        <v>5429</v>
      </c>
      <c r="B4" s="845" t="s">
        <v>1801</v>
      </c>
    </row>
    <row customHeight="1" ht="11.25">
      <c r="A5" s="845" t="s">
        <v>5430</v>
      </c>
      <c r="B5" s="845" t="s">
        <v>1810</v>
      </c>
    </row>
    <row customHeight="1" ht="11.25">
      <c r="A6" s="845" t="s">
        <v>5431</v>
      </c>
      <c r="B6" s="845" t="s">
        <v>1816</v>
      </c>
    </row>
    <row customHeight="1" ht="11.25">
      <c r="A7" s="845" t="s">
        <v>5432</v>
      </c>
      <c r="B7" s="845" t="s">
        <v>1824</v>
      </c>
    </row>
    <row customHeight="1" ht="11.25">
      <c r="A8" s="845" t="s">
        <v>5433</v>
      </c>
      <c r="B8" s="845" t="s">
        <v>1831</v>
      </c>
    </row>
    <row customHeight="1" ht="11.25">
      <c r="A9" s="845" t="s">
        <v>5434</v>
      </c>
      <c r="B9" s="845" t="s">
        <v>1837</v>
      </c>
    </row>
    <row customHeight="1" ht="11.25">
      <c r="A10" s="845" t="s">
        <v>5435</v>
      </c>
      <c r="B10" s="845" t="s">
        <v>1841</v>
      </c>
    </row>
    <row customHeight="1" ht="11.25">
      <c r="A11" s="845" t="s">
        <v>5436</v>
      </c>
      <c r="B11" s="845" t="s">
        <v>1848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12F30A-EDAB-9197-4832-0.42BE108D}" mc:Ignorable="x14ac xr xr2 xr3">
  <sheetPr>
    <tabColor rgb="FFFFCC99"/>
  </sheetPr>
  <dimension ref="A1:G456"/>
  <sheetViews>
    <sheetView topLeftCell="A1" showGridLines="0" workbookViewId="0">
      <selection activeCell="A1" sqref="A1"/>
    </sheetView>
  </sheetViews>
  <sheetFormatPr customHeight="1" defaultRowHeight="11.25"/>
  <sheetData>
    <row customHeight="1" ht="11.25">
      <c r="A1" s="383" t="s">
        <v>4000</v>
      </c>
      <c r="B1" s="383" t="s">
        <v>4001</v>
      </c>
      <c r="C1" s="383" t="s">
        <v>4002</v>
      </c>
      <c r="D1" s="383" t="s">
        <v>4003</v>
      </c>
      <c r="E1" s="0" t="s">
        <v>4004</v>
      </c>
      <c r="F1" s="0" t="s">
        <v>4005</v>
      </c>
      <c r="G1" s="0" t="s">
        <v>4006</v>
      </c>
    </row>
    <row customHeight="1" ht="11.25">
      <c r="A2" s="0" t="s">
        <v>16</v>
      </c>
      <c r="B2" s="0" t="s">
        <v>4007</v>
      </c>
      <c r="C2" s="0" t="s">
        <v>4008</v>
      </c>
      <c r="D2" s="0" t="s">
        <v>4007</v>
      </c>
      <c r="E2" s="0" t="s">
        <v>4008</v>
      </c>
      <c r="F2" s="0" t="s">
        <v>4009</v>
      </c>
      <c r="G2" s="0" t="s">
        <v>124</v>
      </c>
    </row>
    <row customHeight="1" ht="11.25">
      <c r="A3" s="0" t="s">
        <v>16</v>
      </c>
      <c r="B3" s="0" t="s">
        <v>4007</v>
      </c>
      <c r="C3" s="0" t="s">
        <v>4008</v>
      </c>
      <c r="D3" s="0" t="s">
        <v>4010</v>
      </c>
      <c r="E3" s="0" t="s">
        <v>4011</v>
      </c>
      <c r="F3" s="0" t="s">
        <v>4012</v>
      </c>
      <c r="G3" s="0" t="s">
        <v>104</v>
      </c>
    </row>
    <row customHeight="1" ht="11.25">
      <c r="A4" s="0" t="s">
        <v>16</v>
      </c>
      <c r="B4" s="0" t="s">
        <v>4007</v>
      </c>
      <c r="C4" s="0" t="s">
        <v>4008</v>
      </c>
      <c r="D4" s="0" t="s">
        <v>4013</v>
      </c>
      <c r="E4" s="0" t="s">
        <v>4014</v>
      </c>
      <c r="F4" s="0" t="s">
        <v>4012</v>
      </c>
      <c r="G4" s="0" t="s">
        <v>90</v>
      </c>
    </row>
    <row customHeight="1" ht="11.25">
      <c r="A5" s="0" t="s">
        <v>16</v>
      </c>
      <c r="B5" s="0" t="s">
        <v>4007</v>
      </c>
      <c r="C5" s="0" t="s">
        <v>4008</v>
      </c>
      <c r="D5" s="0" t="s">
        <v>4015</v>
      </c>
      <c r="E5" s="0" t="s">
        <v>4016</v>
      </c>
      <c r="F5" s="0" t="s">
        <v>4012</v>
      </c>
      <c r="G5" s="0" t="s">
        <v>91</v>
      </c>
    </row>
    <row customHeight="1" ht="11.25">
      <c r="A6" s="0" t="s">
        <v>16</v>
      </c>
      <c r="B6" s="0" t="s">
        <v>4007</v>
      </c>
      <c r="C6" s="0" t="s">
        <v>4008</v>
      </c>
      <c r="D6" s="0" t="s">
        <v>4017</v>
      </c>
      <c r="E6" s="0" t="s">
        <v>4018</v>
      </c>
      <c r="F6" s="0" t="s">
        <v>4019</v>
      </c>
      <c r="G6" s="0" t="s">
        <v>125</v>
      </c>
    </row>
    <row customHeight="1" ht="11.25">
      <c r="A7" s="0" t="s">
        <v>16</v>
      </c>
      <c r="B7" s="0" t="s">
        <v>4007</v>
      </c>
      <c r="C7" s="0" t="s">
        <v>4008</v>
      </c>
      <c r="D7" s="0" t="s">
        <v>4020</v>
      </c>
      <c r="E7" s="0" t="s">
        <v>4021</v>
      </c>
      <c r="F7" s="0" t="s">
        <v>4012</v>
      </c>
      <c r="G7" s="0" t="s">
        <v>92</v>
      </c>
    </row>
    <row customHeight="1" ht="11.25">
      <c r="A8" s="0" t="s">
        <v>16</v>
      </c>
      <c r="B8" s="0" t="s">
        <v>4007</v>
      </c>
      <c r="C8" s="0" t="s">
        <v>4008</v>
      </c>
      <c r="D8" s="0" t="s">
        <v>4022</v>
      </c>
      <c r="E8" s="0" t="s">
        <v>4023</v>
      </c>
      <c r="F8" s="0" t="s">
        <v>4012</v>
      </c>
      <c r="G8" s="0" t="s">
        <v>93</v>
      </c>
    </row>
    <row customHeight="1" ht="11.25">
      <c r="A9" s="0" t="s">
        <v>16</v>
      </c>
      <c r="B9" s="0" t="s">
        <v>4024</v>
      </c>
      <c r="C9" s="0" t="s">
        <v>4025</v>
      </c>
      <c r="D9" s="0" t="s">
        <v>4024</v>
      </c>
      <c r="E9" s="0" t="s">
        <v>4025</v>
      </c>
      <c r="F9" s="0" t="s">
        <v>4009</v>
      </c>
      <c r="G9" s="0" t="s">
        <v>126</v>
      </c>
    </row>
    <row customHeight="1" ht="11.25">
      <c r="A10" s="0" t="s">
        <v>16</v>
      </c>
      <c r="B10" s="0" t="s">
        <v>4024</v>
      </c>
      <c r="C10" s="0" t="s">
        <v>4025</v>
      </c>
      <c r="D10" s="0" t="s">
        <v>4026</v>
      </c>
      <c r="E10" s="0" t="s">
        <v>4027</v>
      </c>
      <c r="F10" s="0" t="s">
        <v>4012</v>
      </c>
      <c r="G10" s="0" t="s">
        <v>172</v>
      </c>
    </row>
    <row customHeight="1" ht="11.25">
      <c r="A11" s="0" t="s">
        <v>16</v>
      </c>
      <c r="B11" s="0" t="s">
        <v>4024</v>
      </c>
      <c r="C11" s="0" t="s">
        <v>4025</v>
      </c>
      <c r="D11" s="0" t="s">
        <v>4028</v>
      </c>
      <c r="E11" s="0" t="s">
        <v>4029</v>
      </c>
      <c r="F11" s="0" t="s">
        <v>4030</v>
      </c>
      <c r="G11" s="0" t="s">
        <v>173</v>
      </c>
    </row>
    <row customHeight="1" ht="11.25">
      <c r="A12" s="0" t="s">
        <v>16</v>
      </c>
      <c r="B12" s="0" t="s">
        <v>4024</v>
      </c>
      <c r="C12" s="0" t="s">
        <v>4025</v>
      </c>
      <c r="D12" s="0" t="s">
        <v>4031</v>
      </c>
      <c r="E12" s="0" t="s">
        <v>4032</v>
      </c>
      <c r="F12" s="0" t="s">
        <v>4030</v>
      </c>
      <c r="G12" s="0" t="s">
        <v>174</v>
      </c>
    </row>
    <row customHeight="1" ht="11.25">
      <c r="A13" s="0" t="s">
        <v>16</v>
      </c>
      <c r="B13" s="0" t="s">
        <v>4024</v>
      </c>
      <c r="C13" s="0" t="s">
        <v>4025</v>
      </c>
      <c r="D13" s="0" t="s">
        <v>4033</v>
      </c>
      <c r="E13" s="0" t="s">
        <v>4034</v>
      </c>
      <c r="F13" s="0" t="s">
        <v>4012</v>
      </c>
      <c r="G13" s="0" t="s">
        <v>175</v>
      </c>
    </row>
    <row customHeight="1" ht="11.25">
      <c r="A14" s="0" t="s">
        <v>16</v>
      </c>
      <c r="B14" s="0" t="s">
        <v>4024</v>
      </c>
      <c r="C14" s="0" t="s">
        <v>4025</v>
      </c>
      <c r="D14" s="0" t="s">
        <v>4035</v>
      </c>
      <c r="E14" s="0" t="s">
        <v>4036</v>
      </c>
      <c r="F14" s="0" t="s">
        <v>4019</v>
      </c>
      <c r="G14" s="0" t="s">
        <v>176</v>
      </c>
    </row>
    <row customHeight="1" ht="11.25">
      <c r="A15" s="0" t="s">
        <v>16</v>
      </c>
      <c r="B15" s="0" t="s">
        <v>4024</v>
      </c>
      <c r="C15" s="0" t="s">
        <v>4025</v>
      </c>
      <c r="D15" s="0" t="s">
        <v>4037</v>
      </c>
      <c r="E15" s="0" t="s">
        <v>4038</v>
      </c>
      <c r="F15" s="0" t="s">
        <v>4019</v>
      </c>
      <c r="G15" s="0" t="s">
        <v>177</v>
      </c>
    </row>
    <row customHeight="1" ht="11.25">
      <c r="A16" s="0" t="s">
        <v>16</v>
      </c>
      <c r="B16" s="0" t="s">
        <v>4024</v>
      </c>
      <c r="C16" s="0" t="s">
        <v>4025</v>
      </c>
      <c r="D16" s="0" t="s">
        <v>4039</v>
      </c>
      <c r="E16" s="0" t="s">
        <v>4040</v>
      </c>
      <c r="F16" s="0" t="s">
        <v>4012</v>
      </c>
      <c r="G16" s="0" t="s">
        <v>1744</v>
      </c>
    </row>
    <row customHeight="1" ht="11.25">
      <c r="A17" s="0" t="s">
        <v>16</v>
      </c>
      <c r="B17" s="0" t="s">
        <v>4041</v>
      </c>
      <c r="C17" s="0" t="s">
        <v>4042</v>
      </c>
      <c r="D17" s="0" t="s">
        <v>4041</v>
      </c>
      <c r="E17" s="0" t="s">
        <v>4042</v>
      </c>
      <c r="F17" s="0" t="s">
        <v>4009</v>
      </c>
      <c r="G17" s="0" t="s">
        <v>1750</v>
      </c>
    </row>
    <row customHeight="1" ht="11.25">
      <c r="A18" s="0" t="s">
        <v>16</v>
      </c>
      <c r="B18" s="0" t="s">
        <v>4041</v>
      </c>
      <c r="C18" s="0" t="s">
        <v>4042</v>
      </c>
      <c r="D18" s="0" t="s">
        <v>4043</v>
      </c>
      <c r="E18" s="0" t="s">
        <v>4044</v>
      </c>
      <c r="F18" s="0" t="s">
        <v>4012</v>
      </c>
      <c r="G18" s="0" t="s">
        <v>1762</v>
      </c>
    </row>
    <row customHeight="1" ht="11.25">
      <c r="A19" s="0" t="s">
        <v>16</v>
      </c>
      <c r="B19" s="0" t="s">
        <v>4041</v>
      </c>
      <c r="C19" s="0" t="s">
        <v>4042</v>
      </c>
      <c r="D19" s="0" t="s">
        <v>4045</v>
      </c>
      <c r="E19" s="0" t="s">
        <v>4046</v>
      </c>
      <c r="F19" s="0" t="s">
        <v>4012</v>
      </c>
      <c r="G19" s="0" t="s">
        <v>1776</v>
      </c>
    </row>
    <row customHeight="1" ht="11.25">
      <c r="A20" s="0" t="s">
        <v>16</v>
      </c>
      <c r="B20" s="0" t="s">
        <v>4041</v>
      </c>
      <c r="C20" s="0" t="s">
        <v>4042</v>
      </c>
      <c r="D20" s="0" t="s">
        <v>4047</v>
      </c>
      <c r="E20" s="0" t="s">
        <v>4048</v>
      </c>
      <c r="F20" s="0" t="s">
        <v>4049</v>
      </c>
      <c r="G20" s="0" t="s">
        <v>1788</v>
      </c>
    </row>
    <row customHeight="1" ht="11.25">
      <c r="A21" s="0" t="s">
        <v>16</v>
      </c>
      <c r="B21" s="0" t="s">
        <v>4041</v>
      </c>
      <c r="C21" s="0" t="s">
        <v>4042</v>
      </c>
      <c r="D21" s="0" t="s">
        <v>4050</v>
      </c>
      <c r="E21" s="0" t="s">
        <v>4051</v>
      </c>
      <c r="F21" s="0" t="s">
        <v>4019</v>
      </c>
      <c r="G21" s="0" t="s">
        <v>1797</v>
      </c>
    </row>
    <row customHeight="1" ht="11.25">
      <c r="A22" s="0" t="s">
        <v>16</v>
      </c>
      <c r="B22" s="0" t="s">
        <v>4041</v>
      </c>
      <c r="C22" s="0" t="s">
        <v>4042</v>
      </c>
      <c r="D22" s="0" t="s">
        <v>4052</v>
      </c>
      <c r="E22" s="0" t="s">
        <v>4053</v>
      </c>
      <c r="F22" s="0" t="s">
        <v>4012</v>
      </c>
      <c r="G22" s="0" t="s">
        <v>1813</v>
      </c>
    </row>
    <row customHeight="1" ht="11.25">
      <c r="A23" s="0" t="s">
        <v>16</v>
      </c>
      <c r="B23" s="0" t="s">
        <v>4041</v>
      </c>
      <c r="C23" s="0" t="s">
        <v>4042</v>
      </c>
      <c r="D23" s="0" t="s">
        <v>4054</v>
      </c>
      <c r="E23" s="0" t="s">
        <v>4055</v>
      </c>
      <c r="F23" s="0" t="s">
        <v>4012</v>
      </c>
      <c r="G23" s="0" t="s">
        <v>1820</v>
      </c>
    </row>
    <row customHeight="1" ht="11.25">
      <c r="A24" s="0" t="s">
        <v>16</v>
      </c>
      <c r="B24" s="0" t="s">
        <v>4056</v>
      </c>
      <c r="C24" s="0" t="s">
        <v>4057</v>
      </c>
      <c r="D24" s="0" t="s">
        <v>4058</v>
      </c>
      <c r="E24" s="0" t="s">
        <v>4059</v>
      </c>
      <c r="F24" s="0" t="s">
        <v>4012</v>
      </c>
      <c r="G24" s="0" t="s">
        <v>1828</v>
      </c>
    </row>
    <row customHeight="1" ht="11.25">
      <c r="A25" s="0" t="s">
        <v>16</v>
      </c>
      <c r="B25" s="0" t="s">
        <v>4056</v>
      </c>
      <c r="C25" s="0" t="s">
        <v>4057</v>
      </c>
      <c r="D25" s="0" t="s">
        <v>4060</v>
      </c>
      <c r="E25" s="0" t="s">
        <v>4061</v>
      </c>
      <c r="F25" s="0" t="s">
        <v>4012</v>
      </c>
      <c r="G25" s="0" t="s">
        <v>1835</v>
      </c>
    </row>
    <row customHeight="1" ht="11.25">
      <c r="A26" s="0" t="s">
        <v>16</v>
      </c>
      <c r="B26" s="0" t="s">
        <v>4056</v>
      </c>
      <c r="C26" s="0" t="s">
        <v>4057</v>
      </c>
      <c r="D26" s="0" t="s">
        <v>4062</v>
      </c>
      <c r="E26" s="0" t="s">
        <v>4063</v>
      </c>
      <c r="F26" s="0" t="s">
        <v>4012</v>
      </c>
      <c r="G26" s="0" t="s">
        <v>1839</v>
      </c>
    </row>
    <row customHeight="1" ht="11.25">
      <c r="A27" s="0" t="s">
        <v>16</v>
      </c>
      <c r="B27" s="0" t="s">
        <v>4056</v>
      </c>
      <c r="C27" s="0" t="s">
        <v>4057</v>
      </c>
      <c r="D27" s="0" t="s">
        <v>4056</v>
      </c>
      <c r="E27" s="0" t="s">
        <v>4057</v>
      </c>
      <c r="F27" s="0" t="s">
        <v>4009</v>
      </c>
      <c r="G27" s="0" t="s">
        <v>1844</v>
      </c>
    </row>
    <row customHeight="1" ht="11.25">
      <c r="A28" s="0" t="s">
        <v>16</v>
      </c>
      <c r="B28" s="0" t="s">
        <v>4056</v>
      </c>
      <c r="C28" s="0" t="s">
        <v>4057</v>
      </c>
      <c r="D28" s="0" t="s">
        <v>4064</v>
      </c>
      <c r="E28" s="0" t="s">
        <v>4065</v>
      </c>
      <c r="F28" s="0" t="s">
        <v>4012</v>
      </c>
      <c r="G28" s="0" t="s">
        <v>1852</v>
      </c>
    </row>
    <row customHeight="1" ht="11.25">
      <c r="A29" s="0" t="s">
        <v>16</v>
      </c>
      <c r="B29" s="0" t="s">
        <v>4056</v>
      </c>
      <c r="C29" s="0" t="s">
        <v>4057</v>
      </c>
      <c r="D29" s="0" t="s">
        <v>4066</v>
      </c>
      <c r="E29" s="0" t="s">
        <v>4067</v>
      </c>
      <c r="F29" s="0" t="s">
        <v>4012</v>
      </c>
      <c r="G29" s="0" t="s">
        <v>1854</v>
      </c>
    </row>
    <row customHeight="1" ht="11.25">
      <c r="A30" s="0" t="s">
        <v>16</v>
      </c>
      <c r="B30" s="0" t="s">
        <v>4056</v>
      </c>
      <c r="C30" s="0" t="s">
        <v>4057</v>
      </c>
      <c r="D30" s="0" t="s">
        <v>4068</v>
      </c>
      <c r="E30" s="0" t="s">
        <v>4069</v>
      </c>
      <c r="F30" s="0" t="s">
        <v>4012</v>
      </c>
      <c r="G30" s="0" t="s">
        <v>1857</v>
      </c>
    </row>
    <row customHeight="1" ht="11.25">
      <c r="A31" s="0" t="s">
        <v>16</v>
      </c>
      <c r="B31" s="0" t="s">
        <v>4056</v>
      </c>
      <c r="C31" s="0" t="s">
        <v>4057</v>
      </c>
      <c r="D31" s="0" t="s">
        <v>4070</v>
      </c>
      <c r="E31" s="0" t="s">
        <v>4071</v>
      </c>
      <c r="F31" s="0" t="s">
        <v>4012</v>
      </c>
      <c r="G31" s="0" t="s">
        <v>1863</v>
      </c>
    </row>
    <row customHeight="1" ht="11.25">
      <c r="A32" s="0" t="s">
        <v>16</v>
      </c>
      <c r="B32" s="0" t="s">
        <v>4056</v>
      </c>
      <c r="C32" s="0" t="s">
        <v>4057</v>
      </c>
      <c r="D32" s="0" t="s">
        <v>4072</v>
      </c>
      <c r="E32" s="0" t="s">
        <v>4073</v>
      </c>
      <c r="F32" s="0" t="s">
        <v>4012</v>
      </c>
      <c r="G32" s="0" t="s">
        <v>1865</v>
      </c>
    </row>
    <row customHeight="1" ht="11.25">
      <c r="A33" s="0" t="s">
        <v>16</v>
      </c>
      <c r="B33" s="0" t="s">
        <v>4056</v>
      </c>
      <c r="C33" s="0" t="s">
        <v>4057</v>
      </c>
      <c r="D33" s="0" t="s">
        <v>4074</v>
      </c>
      <c r="E33" s="0" t="s">
        <v>4075</v>
      </c>
      <c r="F33" s="0" t="s">
        <v>4012</v>
      </c>
      <c r="G33" s="0" t="s">
        <v>1867</v>
      </c>
    </row>
    <row customHeight="1" ht="11.25">
      <c r="A34" s="0" t="s">
        <v>16</v>
      </c>
      <c r="B34" s="0" t="s">
        <v>4056</v>
      </c>
      <c r="C34" s="0" t="s">
        <v>4057</v>
      </c>
      <c r="D34" s="0" t="s">
        <v>4076</v>
      </c>
      <c r="E34" s="0" t="s">
        <v>4077</v>
      </c>
      <c r="F34" s="0" t="s">
        <v>4012</v>
      </c>
      <c r="G34" s="0" t="s">
        <v>1869</v>
      </c>
    </row>
    <row customHeight="1" ht="11.25">
      <c r="A35" s="0" t="s">
        <v>16</v>
      </c>
      <c r="B35" s="0" t="s">
        <v>4056</v>
      </c>
      <c r="C35" s="0" t="s">
        <v>4057</v>
      </c>
      <c r="D35" s="0" t="s">
        <v>4078</v>
      </c>
      <c r="E35" s="0" t="s">
        <v>4079</v>
      </c>
      <c r="F35" s="0" t="s">
        <v>4012</v>
      </c>
      <c r="G35" s="0" t="s">
        <v>1874</v>
      </c>
    </row>
    <row customHeight="1" ht="11.25">
      <c r="A36" s="0" t="s">
        <v>16</v>
      </c>
      <c r="B36" s="0" t="s">
        <v>4056</v>
      </c>
      <c r="C36" s="0" t="s">
        <v>4057</v>
      </c>
      <c r="D36" s="0" t="s">
        <v>4080</v>
      </c>
      <c r="E36" s="0" t="s">
        <v>4081</v>
      </c>
      <c r="F36" s="0" t="s">
        <v>4012</v>
      </c>
      <c r="G36" s="0" t="s">
        <v>1879</v>
      </c>
    </row>
    <row customHeight="1" ht="11.25">
      <c r="A37" s="0" t="s">
        <v>16</v>
      </c>
      <c r="B37" s="0" t="s">
        <v>4056</v>
      </c>
      <c r="C37" s="0" t="s">
        <v>4057</v>
      </c>
      <c r="D37" s="0" t="s">
        <v>4082</v>
      </c>
      <c r="E37" s="0" t="s">
        <v>4083</v>
      </c>
      <c r="F37" s="0" t="s">
        <v>4012</v>
      </c>
      <c r="G37" s="0" t="s">
        <v>1883</v>
      </c>
    </row>
    <row customHeight="1" ht="11.25">
      <c r="A38" s="0" t="s">
        <v>16</v>
      </c>
      <c r="B38" s="0" t="s">
        <v>4056</v>
      </c>
      <c r="C38" s="0" t="s">
        <v>4057</v>
      </c>
      <c r="D38" s="0" t="s">
        <v>4084</v>
      </c>
      <c r="E38" s="0" t="s">
        <v>4085</v>
      </c>
      <c r="F38" s="0" t="s">
        <v>4012</v>
      </c>
      <c r="G38" s="0" t="s">
        <v>1891</v>
      </c>
    </row>
    <row customHeight="1" ht="11.25">
      <c r="A39" s="0" t="s">
        <v>16</v>
      </c>
      <c r="B39" s="0" t="s">
        <v>4086</v>
      </c>
      <c r="C39" s="0" t="s">
        <v>4087</v>
      </c>
      <c r="D39" s="0" t="s">
        <v>4086</v>
      </c>
      <c r="E39" s="0" t="s">
        <v>4087</v>
      </c>
      <c r="F39" s="0" t="s">
        <v>4009</v>
      </c>
      <c r="G39" s="0" t="s">
        <v>1897</v>
      </c>
    </row>
    <row customHeight="1" ht="11.25">
      <c r="A40" s="0" t="s">
        <v>16</v>
      </c>
      <c r="B40" s="0" t="s">
        <v>4086</v>
      </c>
      <c r="C40" s="0" t="s">
        <v>4087</v>
      </c>
      <c r="D40" s="0" t="s">
        <v>4088</v>
      </c>
      <c r="E40" s="0" t="s">
        <v>4089</v>
      </c>
      <c r="F40" s="0" t="s">
        <v>4012</v>
      </c>
      <c r="G40" s="0" t="s">
        <v>1902</v>
      </c>
    </row>
    <row customHeight="1" ht="11.25">
      <c r="A41" s="0" t="s">
        <v>16</v>
      </c>
      <c r="B41" s="0" t="s">
        <v>4086</v>
      </c>
      <c r="C41" s="0" t="s">
        <v>4087</v>
      </c>
      <c r="D41" s="0" t="s">
        <v>4090</v>
      </c>
      <c r="E41" s="0" t="s">
        <v>4091</v>
      </c>
      <c r="F41" s="0" t="s">
        <v>4012</v>
      </c>
      <c r="G41" s="0" t="s">
        <v>1906</v>
      </c>
    </row>
    <row customHeight="1" ht="11.25">
      <c r="A42" s="0" t="s">
        <v>16</v>
      </c>
      <c r="B42" s="0" t="s">
        <v>4092</v>
      </c>
      <c r="C42" s="0" t="s">
        <v>4093</v>
      </c>
      <c r="D42" s="0" t="s">
        <v>4094</v>
      </c>
      <c r="E42" s="0" t="s">
        <v>4095</v>
      </c>
      <c r="F42" s="0" t="s">
        <v>4012</v>
      </c>
      <c r="G42" s="0" t="s">
        <v>1909</v>
      </c>
    </row>
    <row customHeight="1" ht="11.25">
      <c r="A43" s="0" t="s">
        <v>16</v>
      </c>
      <c r="B43" s="0" t="s">
        <v>4092</v>
      </c>
      <c r="C43" s="0" t="s">
        <v>4093</v>
      </c>
      <c r="D43" s="0" t="s">
        <v>4092</v>
      </c>
      <c r="E43" s="0" t="s">
        <v>4093</v>
      </c>
      <c r="F43" s="0" t="s">
        <v>4009</v>
      </c>
      <c r="G43" s="0" t="s">
        <v>1916</v>
      </c>
    </row>
    <row customHeight="1" ht="11.25">
      <c r="A44" s="0" t="s">
        <v>16</v>
      </c>
      <c r="B44" s="0" t="s">
        <v>4092</v>
      </c>
      <c r="C44" s="0" t="s">
        <v>4093</v>
      </c>
      <c r="D44" s="0" t="s">
        <v>4096</v>
      </c>
      <c r="E44" s="0" t="s">
        <v>4097</v>
      </c>
      <c r="F44" s="0" t="s">
        <v>4012</v>
      </c>
      <c r="G44" s="0" t="s">
        <v>1925</v>
      </c>
    </row>
    <row customHeight="1" ht="11.25">
      <c r="A45" s="0" t="s">
        <v>16</v>
      </c>
      <c r="B45" s="0" t="s">
        <v>4092</v>
      </c>
      <c r="C45" s="0" t="s">
        <v>4093</v>
      </c>
      <c r="D45" s="0" t="s">
        <v>4098</v>
      </c>
      <c r="E45" s="0" t="s">
        <v>4099</v>
      </c>
      <c r="F45" s="0" t="s">
        <v>4012</v>
      </c>
      <c r="G45" s="0" t="s">
        <v>1930</v>
      </c>
    </row>
    <row customHeight="1" ht="11.25">
      <c r="A46" s="0" t="s">
        <v>16</v>
      </c>
      <c r="B46" s="0" t="s">
        <v>4092</v>
      </c>
      <c r="C46" s="0" t="s">
        <v>4093</v>
      </c>
      <c r="D46" s="0" t="s">
        <v>4100</v>
      </c>
      <c r="E46" s="0" t="s">
        <v>4101</v>
      </c>
      <c r="F46" s="0" t="s">
        <v>4019</v>
      </c>
      <c r="G46" s="0" t="s">
        <v>1933</v>
      </c>
    </row>
    <row customHeight="1" ht="11.25">
      <c r="A47" s="0" t="s">
        <v>16</v>
      </c>
      <c r="B47" s="0" t="s">
        <v>4092</v>
      </c>
      <c r="C47" s="0" t="s">
        <v>4093</v>
      </c>
      <c r="D47" s="0" t="s">
        <v>4102</v>
      </c>
      <c r="E47" s="0" t="s">
        <v>4103</v>
      </c>
      <c r="F47" s="0" t="s">
        <v>4012</v>
      </c>
      <c r="G47" s="0" t="s">
        <v>1939</v>
      </c>
    </row>
    <row customHeight="1" ht="11.25">
      <c r="A48" s="0" t="s">
        <v>16</v>
      </c>
      <c r="B48" s="0" t="s">
        <v>4092</v>
      </c>
      <c r="C48" s="0" t="s">
        <v>4093</v>
      </c>
      <c r="D48" s="0" t="s">
        <v>4104</v>
      </c>
      <c r="E48" s="0" t="s">
        <v>4105</v>
      </c>
      <c r="F48" s="0" t="s">
        <v>4012</v>
      </c>
      <c r="G48" s="0" t="s">
        <v>1944</v>
      </c>
    </row>
    <row customHeight="1" ht="11.25">
      <c r="A49" s="0" t="s">
        <v>16</v>
      </c>
      <c r="B49" s="0" t="s">
        <v>4092</v>
      </c>
      <c r="C49" s="0" t="s">
        <v>4093</v>
      </c>
      <c r="D49" s="0" t="s">
        <v>4106</v>
      </c>
      <c r="E49" s="0" t="s">
        <v>4107</v>
      </c>
      <c r="F49" s="0" t="s">
        <v>4012</v>
      </c>
      <c r="G49" s="0" t="s">
        <v>1947</v>
      </c>
    </row>
    <row customHeight="1" ht="11.25">
      <c r="A50" s="0" t="s">
        <v>16</v>
      </c>
      <c r="B50" s="0" t="s">
        <v>4108</v>
      </c>
      <c r="C50" s="0" t="s">
        <v>4109</v>
      </c>
      <c r="D50" s="0" t="s">
        <v>4110</v>
      </c>
      <c r="E50" s="0" t="s">
        <v>4111</v>
      </c>
      <c r="F50" s="0" t="s">
        <v>4012</v>
      </c>
      <c r="G50" s="0" t="s">
        <v>1951</v>
      </c>
    </row>
    <row customHeight="1" ht="11.25">
      <c r="A51" s="0" t="s">
        <v>16</v>
      </c>
      <c r="B51" s="0" t="s">
        <v>4108</v>
      </c>
      <c r="C51" s="0" t="s">
        <v>4109</v>
      </c>
      <c r="D51" s="0" t="s">
        <v>4112</v>
      </c>
      <c r="E51" s="0" t="s">
        <v>4113</v>
      </c>
      <c r="F51" s="0" t="s">
        <v>4012</v>
      </c>
      <c r="G51" s="0" t="s">
        <v>1956</v>
      </c>
    </row>
    <row customHeight="1" ht="11.25">
      <c r="A52" s="0" t="s">
        <v>16</v>
      </c>
      <c r="B52" s="0" t="s">
        <v>4108</v>
      </c>
      <c r="C52" s="0" t="s">
        <v>4109</v>
      </c>
      <c r="D52" s="0" t="s">
        <v>4114</v>
      </c>
      <c r="E52" s="0" t="s">
        <v>4115</v>
      </c>
      <c r="F52" s="0" t="s">
        <v>4012</v>
      </c>
      <c r="G52" s="0" t="s">
        <v>1960</v>
      </c>
    </row>
    <row customHeight="1" ht="11.25">
      <c r="A53" s="0" t="s">
        <v>16</v>
      </c>
      <c r="B53" s="0" t="s">
        <v>4108</v>
      </c>
      <c r="C53" s="0" t="s">
        <v>4109</v>
      </c>
      <c r="D53" s="0" t="s">
        <v>4108</v>
      </c>
      <c r="E53" s="0" t="s">
        <v>4109</v>
      </c>
      <c r="F53" s="0" t="s">
        <v>4009</v>
      </c>
      <c r="G53" s="0" t="s">
        <v>1962</v>
      </c>
    </row>
    <row customHeight="1" ht="11.25">
      <c r="A54" s="0" t="s">
        <v>16</v>
      </c>
      <c r="B54" s="0" t="s">
        <v>4108</v>
      </c>
      <c r="C54" s="0" t="s">
        <v>4109</v>
      </c>
      <c r="D54" s="0" t="s">
        <v>4116</v>
      </c>
      <c r="E54" s="0" t="s">
        <v>4117</v>
      </c>
      <c r="F54" s="0" t="s">
        <v>4012</v>
      </c>
      <c r="G54" s="0" t="s">
        <v>1965</v>
      </c>
    </row>
    <row customHeight="1" ht="11.25">
      <c r="A55" s="0" t="s">
        <v>16</v>
      </c>
      <c r="B55" s="0" t="s">
        <v>4108</v>
      </c>
      <c r="C55" s="0" t="s">
        <v>4109</v>
      </c>
      <c r="D55" s="0" t="s">
        <v>4118</v>
      </c>
      <c r="E55" s="0" t="s">
        <v>4119</v>
      </c>
      <c r="F55" s="0" t="s">
        <v>4012</v>
      </c>
      <c r="G55" s="0" t="s">
        <v>1970</v>
      </c>
    </row>
    <row customHeight="1" ht="11.25">
      <c r="A56" s="0" t="s">
        <v>16</v>
      </c>
      <c r="B56" s="0" t="s">
        <v>4108</v>
      </c>
      <c r="C56" s="0" t="s">
        <v>4109</v>
      </c>
      <c r="D56" s="0" t="s">
        <v>4120</v>
      </c>
      <c r="E56" s="0" t="s">
        <v>4121</v>
      </c>
      <c r="F56" s="0" t="s">
        <v>4012</v>
      </c>
      <c r="G56" s="0" t="s">
        <v>1973</v>
      </c>
    </row>
    <row customHeight="1" ht="11.25">
      <c r="A57" s="0" t="s">
        <v>16</v>
      </c>
      <c r="B57" s="0" t="s">
        <v>4108</v>
      </c>
      <c r="C57" s="0" t="s">
        <v>4109</v>
      </c>
      <c r="D57" s="0" t="s">
        <v>4122</v>
      </c>
      <c r="E57" s="0" t="s">
        <v>4123</v>
      </c>
      <c r="F57" s="0" t="s">
        <v>4012</v>
      </c>
      <c r="G57" s="0" t="s">
        <v>1976</v>
      </c>
    </row>
    <row customHeight="1" ht="11.25">
      <c r="A58" s="0" t="s">
        <v>16</v>
      </c>
      <c r="B58" s="0" t="s">
        <v>4108</v>
      </c>
      <c r="C58" s="0" t="s">
        <v>4109</v>
      </c>
      <c r="D58" s="0" t="s">
        <v>4124</v>
      </c>
      <c r="E58" s="0" t="s">
        <v>4125</v>
      </c>
      <c r="F58" s="0" t="s">
        <v>4012</v>
      </c>
      <c r="G58" s="0" t="s">
        <v>1979</v>
      </c>
    </row>
    <row customHeight="1" ht="11.25">
      <c r="A59" s="0" t="s">
        <v>16</v>
      </c>
      <c r="B59" s="0" t="s">
        <v>4108</v>
      </c>
      <c r="C59" s="0" t="s">
        <v>4109</v>
      </c>
      <c r="D59" s="0" t="s">
        <v>4126</v>
      </c>
      <c r="E59" s="0" t="s">
        <v>4127</v>
      </c>
      <c r="F59" s="0" t="s">
        <v>4012</v>
      </c>
      <c r="G59" s="0" t="s">
        <v>1983</v>
      </c>
    </row>
    <row customHeight="1" ht="11.25">
      <c r="A60" s="0" t="s">
        <v>16</v>
      </c>
      <c r="B60" s="0" t="s">
        <v>4108</v>
      </c>
      <c r="C60" s="0" t="s">
        <v>4109</v>
      </c>
      <c r="D60" s="0" t="s">
        <v>4128</v>
      </c>
      <c r="E60" s="0" t="s">
        <v>4129</v>
      </c>
      <c r="F60" s="0" t="s">
        <v>4012</v>
      </c>
      <c r="G60" s="0" t="s">
        <v>1986</v>
      </c>
    </row>
    <row customHeight="1" ht="11.25">
      <c r="A61" s="0" t="s">
        <v>16</v>
      </c>
      <c r="B61" s="0" t="s">
        <v>4108</v>
      </c>
      <c r="C61" s="0" t="s">
        <v>4109</v>
      </c>
      <c r="D61" s="0" t="s">
        <v>4130</v>
      </c>
      <c r="E61" s="0" t="s">
        <v>4131</v>
      </c>
      <c r="F61" s="0" t="s">
        <v>4012</v>
      </c>
      <c r="G61" s="0" t="s">
        <v>4132</v>
      </c>
    </row>
    <row customHeight="1" ht="11.25">
      <c r="A62" s="0" t="s">
        <v>16</v>
      </c>
      <c r="B62" s="0" t="s">
        <v>4108</v>
      </c>
      <c r="C62" s="0" t="s">
        <v>4109</v>
      </c>
      <c r="D62" s="0" t="s">
        <v>4133</v>
      </c>
      <c r="E62" s="0" t="s">
        <v>4134</v>
      </c>
      <c r="F62" s="0" t="s">
        <v>4012</v>
      </c>
      <c r="G62" s="0" t="s">
        <v>4135</v>
      </c>
    </row>
    <row customHeight="1" ht="11.25">
      <c r="A63" s="0" t="s">
        <v>16</v>
      </c>
      <c r="B63" s="0" t="s">
        <v>4108</v>
      </c>
      <c r="C63" s="0" t="s">
        <v>4109</v>
      </c>
      <c r="D63" s="0" t="s">
        <v>4136</v>
      </c>
      <c r="E63" s="0" t="s">
        <v>4137</v>
      </c>
      <c r="F63" s="0" t="s">
        <v>4012</v>
      </c>
      <c r="G63" s="0" t="s">
        <v>4138</v>
      </c>
    </row>
    <row customHeight="1" ht="11.25">
      <c r="A64" s="0" t="s">
        <v>16</v>
      </c>
      <c r="B64" s="0" t="s">
        <v>4108</v>
      </c>
      <c r="C64" s="0" t="s">
        <v>4109</v>
      </c>
      <c r="D64" s="0" t="s">
        <v>4139</v>
      </c>
      <c r="E64" s="0" t="s">
        <v>4140</v>
      </c>
      <c r="F64" s="0" t="s">
        <v>4012</v>
      </c>
      <c r="G64" s="0" t="s">
        <v>4141</v>
      </c>
    </row>
    <row customHeight="1" ht="11.25">
      <c r="A65" s="0" t="s">
        <v>16</v>
      </c>
      <c r="B65" s="0" t="s">
        <v>4108</v>
      </c>
      <c r="C65" s="0" t="s">
        <v>4109</v>
      </c>
      <c r="D65" s="0" t="s">
        <v>4142</v>
      </c>
      <c r="E65" s="0" t="s">
        <v>4143</v>
      </c>
      <c r="F65" s="0" t="s">
        <v>4012</v>
      </c>
      <c r="G65" s="0" t="s">
        <v>4144</v>
      </c>
    </row>
    <row customHeight="1" ht="11.25">
      <c r="A66" s="0" t="s">
        <v>16</v>
      </c>
      <c r="B66" s="0" t="s">
        <v>4108</v>
      </c>
      <c r="C66" s="0" t="s">
        <v>4109</v>
      </c>
      <c r="D66" s="0" t="s">
        <v>4145</v>
      </c>
      <c r="E66" s="0" t="s">
        <v>4146</v>
      </c>
      <c r="F66" s="0" t="s">
        <v>4012</v>
      </c>
      <c r="G66" s="0" t="s">
        <v>4147</v>
      </c>
    </row>
    <row customHeight="1" ht="11.25">
      <c r="A67" s="0" t="s">
        <v>16</v>
      </c>
      <c r="B67" s="0" t="s">
        <v>4108</v>
      </c>
      <c r="C67" s="0" t="s">
        <v>4109</v>
      </c>
      <c r="D67" s="0" t="s">
        <v>4148</v>
      </c>
      <c r="E67" s="0" t="s">
        <v>4149</v>
      </c>
      <c r="F67" s="0" t="s">
        <v>4012</v>
      </c>
      <c r="G67" s="0" t="s">
        <v>2302</v>
      </c>
    </row>
    <row customHeight="1" ht="11.25">
      <c r="A68" s="0" t="s">
        <v>16</v>
      </c>
      <c r="B68" s="0" t="s">
        <v>4108</v>
      </c>
      <c r="C68" s="0" t="s">
        <v>4109</v>
      </c>
      <c r="D68" s="0" t="s">
        <v>4150</v>
      </c>
      <c r="E68" s="0" t="s">
        <v>4151</v>
      </c>
      <c r="F68" s="0" t="s">
        <v>4012</v>
      </c>
      <c r="G68" s="0" t="s">
        <v>4152</v>
      </c>
    </row>
    <row customHeight="1" ht="11.25">
      <c r="A69" s="0" t="s">
        <v>16</v>
      </c>
      <c r="B69" s="0" t="s">
        <v>4108</v>
      </c>
      <c r="C69" s="0" t="s">
        <v>4109</v>
      </c>
      <c r="D69" s="0" t="s">
        <v>4153</v>
      </c>
      <c r="E69" s="0" t="s">
        <v>4154</v>
      </c>
      <c r="F69" s="0" t="s">
        <v>4012</v>
      </c>
      <c r="G69" s="0" t="s">
        <v>2505</v>
      </c>
    </row>
    <row customHeight="1" ht="11.25">
      <c r="A70" s="0" t="s">
        <v>16</v>
      </c>
      <c r="B70" s="0" t="s">
        <v>4108</v>
      </c>
      <c r="C70" s="0" t="s">
        <v>4109</v>
      </c>
      <c r="D70" s="0" t="s">
        <v>4155</v>
      </c>
      <c r="E70" s="0" t="s">
        <v>4156</v>
      </c>
      <c r="F70" s="0" t="s">
        <v>4012</v>
      </c>
      <c r="G70" s="0" t="s">
        <v>4157</v>
      </c>
    </row>
    <row customHeight="1" ht="11.25">
      <c r="A71" s="0" t="s">
        <v>16</v>
      </c>
      <c r="B71" s="0" t="s">
        <v>4108</v>
      </c>
      <c r="C71" s="0" t="s">
        <v>4109</v>
      </c>
      <c r="D71" s="0" t="s">
        <v>4158</v>
      </c>
      <c r="E71" s="0" t="s">
        <v>4159</v>
      </c>
      <c r="F71" s="0" t="s">
        <v>4012</v>
      </c>
      <c r="G71" s="0" t="s">
        <v>4160</v>
      </c>
    </row>
    <row customHeight="1" ht="11.25">
      <c r="A72" s="0" t="s">
        <v>16</v>
      </c>
      <c r="B72" s="0" t="s">
        <v>4161</v>
      </c>
      <c r="C72" s="0" t="s">
        <v>4162</v>
      </c>
      <c r="D72" s="0" t="s">
        <v>4163</v>
      </c>
      <c r="E72" s="0" t="s">
        <v>4164</v>
      </c>
      <c r="F72" s="0" t="s">
        <v>4012</v>
      </c>
      <c r="G72" s="0" t="s">
        <v>4165</v>
      </c>
    </row>
    <row customHeight="1" ht="11.25">
      <c r="A73" s="0" t="s">
        <v>16</v>
      </c>
      <c r="B73" s="0" t="s">
        <v>4161</v>
      </c>
      <c r="C73" s="0" t="s">
        <v>4162</v>
      </c>
      <c r="D73" s="0" t="s">
        <v>4161</v>
      </c>
      <c r="E73" s="0" t="s">
        <v>4162</v>
      </c>
      <c r="F73" s="0" t="s">
        <v>4009</v>
      </c>
      <c r="G73" s="0" t="s">
        <v>4166</v>
      </c>
    </row>
    <row customHeight="1" ht="11.25">
      <c r="A74" s="0" t="s">
        <v>16</v>
      </c>
      <c r="B74" s="0" t="s">
        <v>4161</v>
      </c>
      <c r="C74" s="0" t="s">
        <v>4162</v>
      </c>
      <c r="D74" s="0" t="s">
        <v>4167</v>
      </c>
      <c r="E74" s="0" t="s">
        <v>4168</v>
      </c>
      <c r="F74" s="0" t="s">
        <v>4012</v>
      </c>
      <c r="G74" s="0" t="s">
        <v>4169</v>
      </c>
    </row>
    <row customHeight="1" ht="11.25">
      <c r="A75" s="0" t="s">
        <v>16</v>
      </c>
      <c r="B75" s="0" t="s">
        <v>4161</v>
      </c>
      <c r="C75" s="0" t="s">
        <v>4162</v>
      </c>
      <c r="D75" s="0" t="s">
        <v>4170</v>
      </c>
      <c r="E75" s="0" t="s">
        <v>4171</v>
      </c>
      <c r="F75" s="0" t="s">
        <v>4049</v>
      </c>
      <c r="G75" s="0" t="s">
        <v>4172</v>
      </c>
    </row>
    <row customHeight="1" ht="11.25">
      <c r="A76" s="0" t="s">
        <v>16</v>
      </c>
      <c r="B76" s="0" t="s">
        <v>4161</v>
      </c>
      <c r="C76" s="0" t="s">
        <v>4162</v>
      </c>
      <c r="D76" s="0" t="s">
        <v>4173</v>
      </c>
      <c r="E76" s="0" t="s">
        <v>4174</v>
      </c>
      <c r="F76" s="0" t="s">
        <v>4012</v>
      </c>
      <c r="G76" s="0" t="s">
        <v>4175</v>
      </c>
    </row>
    <row customHeight="1" ht="11.25">
      <c r="A77" s="0" t="s">
        <v>16</v>
      </c>
      <c r="B77" s="0" t="s">
        <v>4161</v>
      </c>
      <c r="C77" s="0" t="s">
        <v>4162</v>
      </c>
      <c r="D77" s="0" t="s">
        <v>4176</v>
      </c>
      <c r="E77" s="0" t="s">
        <v>4177</v>
      </c>
      <c r="F77" s="0" t="s">
        <v>4019</v>
      </c>
      <c r="G77" s="0" t="s">
        <v>4178</v>
      </c>
    </row>
    <row customHeight="1" ht="11.25">
      <c r="A78" s="0" t="s">
        <v>16</v>
      </c>
      <c r="B78" s="0" t="s">
        <v>4161</v>
      </c>
      <c r="C78" s="0" t="s">
        <v>4162</v>
      </c>
      <c r="D78" s="0" t="s">
        <v>4179</v>
      </c>
      <c r="E78" s="0" t="s">
        <v>4180</v>
      </c>
      <c r="F78" s="0" t="s">
        <v>4012</v>
      </c>
      <c r="G78" s="0" t="s">
        <v>4181</v>
      </c>
    </row>
    <row customHeight="1" ht="11.25">
      <c r="A79" s="0" t="s">
        <v>16</v>
      </c>
      <c r="B79" s="0" t="s">
        <v>4161</v>
      </c>
      <c r="C79" s="0" t="s">
        <v>4162</v>
      </c>
      <c r="D79" s="0" t="s">
        <v>4182</v>
      </c>
      <c r="E79" s="0" t="s">
        <v>4183</v>
      </c>
      <c r="F79" s="0" t="s">
        <v>4012</v>
      </c>
      <c r="G79" s="0" t="s">
        <v>4184</v>
      </c>
    </row>
    <row customHeight="1" ht="11.25">
      <c r="A80" s="0" t="s">
        <v>16</v>
      </c>
      <c r="B80" s="0" t="s">
        <v>4185</v>
      </c>
      <c r="C80" s="0" t="s">
        <v>4186</v>
      </c>
      <c r="D80" s="0" t="s">
        <v>4187</v>
      </c>
      <c r="E80" s="0" t="s">
        <v>4188</v>
      </c>
      <c r="F80" s="0" t="s">
        <v>4012</v>
      </c>
      <c r="G80" s="0" t="s">
        <v>4189</v>
      </c>
    </row>
    <row customHeight="1" ht="11.25">
      <c r="A81" s="0" t="s">
        <v>16</v>
      </c>
      <c r="B81" s="0" t="s">
        <v>4185</v>
      </c>
      <c r="C81" s="0" t="s">
        <v>4186</v>
      </c>
      <c r="D81" s="0" t="s">
        <v>4163</v>
      </c>
      <c r="E81" s="0" t="s">
        <v>4190</v>
      </c>
      <c r="F81" s="0" t="s">
        <v>4012</v>
      </c>
      <c r="G81" s="0" t="s">
        <v>4191</v>
      </c>
    </row>
    <row customHeight="1" ht="11.25">
      <c r="A82" s="0" t="s">
        <v>16</v>
      </c>
      <c r="B82" s="0" t="s">
        <v>4185</v>
      </c>
      <c r="C82" s="0" t="s">
        <v>4186</v>
      </c>
      <c r="D82" s="0" t="s">
        <v>4192</v>
      </c>
      <c r="E82" s="0" t="s">
        <v>4193</v>
      </c>
      <c r="F82" s="0" t="s">
        <v>4012</v>
      </c>
      <c r="G82" s="0" t="s">
        <v>4194</v>
      </c>
    </row>
    <row customHeight="1" ht="11.25">
      <c r="A83" s="0" t="s">
        <v>16</v>
      </c>
      <c r="B83" s="0" t="s">
        <v>4185</v>
      </c>
      <c r="C83" s="0" t="s">
        <v>4186</v>
      </c>
      <c r="D83" s="0" t="s">
        <v>4195</v>
      </c>
      <c r="E83" s="0" t="s">
        <v>4196</v>
      </c>
      <c r="F83" s="0" t="s">
        <v>4012</v>
      </c>
      <c r="G83" s="0" t="s">
        <v>4197</v>
      </c>
    </row>
    <row customHeight="1" ht="11.25">
      <c r="A84" s="0" t="s">
        <v>16</v>
      </c>
      <c r="B84" s="0" t="s">
        <v>4185</v>
      </c>
      <c r="C84" s="0" t="s">
        <v>4186</v>
      </c>
      <c r="D84" s="0" t="s">
        <v>4198</v>
      </c>
      <c r="E84" s="0" t="s">
        <v>4199</v>
      </c>
      <c r="F84" s="0" t="s">
        <v>4012</v>
      </c>
      <c r="G84" s="0" t="s">
        <v>4200</v>
      </c>
    </row>
    <row customHeight="1" ht="11.25">
      <c r="A85" s="0" t="s">
        <v>16</v>
      </c>
      <c r="B85" s="0" t="s">
        <v>4185</v>
      </c>
      <c r="C85" s="0" t="s">
        <v>4186</v>
      </c>
      <c r="D85" s="0" t="s">
        <v>4185</v>
      </c>
      <c r="E85" s="0" t="s">
        <v>4186</v>
      </c>
      <c r="F85" s="0" t="s">
        <v>4009</v>
      </c>
      <c r="G85" s="0" t="s">
        <v>4201</v>
      </c>
    </row>
    <row customHeight="1" ht="11.25">
      <c r="A86" s="0" t="s">
        <v>16</v>
      </c>
      <c r="B86" s="0" t="s">
        <v>4185</v>
      </c>
      <c r="C86" s="0" t="s">
        <v>4186</v>
      </c>
      <c r="D86" s="0" t="s">
        <v>4202</v>
      </c>
      <c r="E86" s="0" t="s">
        <v>4203</v>
      </c>
      <c r="F86" s="0" t="s">
        <v>4030</v>
      </c>
      <c r="G86" s="0" t="s">
        <v>4204</v>
      </c>
    </row>
    <row customHeight="1" ht="11.25">
      <c r="A87" s="0" t="s">
        <v>16</v>
      </c>
      <c r="B87" s="0" t="s">
        <v>4185</v>
      </c>
      <c r="C87" s="0" t="s">
        <v>4186</v>
      </c>
      <c r="D87" s="0" t="s">
        <v>4205</v>
      </c>
      <c r="E87" s="0" t="s">
        <v>4206</v>
      </c>
      <c r="F87" s="0" t="s">
        <v>4012</v>
      </c>
      <c r="G87" s="0" t="s">
        <v>4207</v>
      </c>
    </row>
    <row customHeight="1" ht="11.25">
      <c r="A88" s="0" t="s">
        <v>16</v>
      </c>
      <c r="B88" s="0" t="s">
        <v>4185</v>
      </c>
      <c r="C88" s="0" t="s">
        <v>4186</v>
      </c>
      <c r="D88" s="0" t="s">
        <v>4208</v>
      </c>
      <c r="E88" s="0" t="s">
        <v>4209</v>
      </c>
      <c r="F88" s="0" t="s">
        <v>4019</v>
      </c>
      <c r="G88" s="0" t="s">
        <v>4210</v>
      </c>
    </row>
    <row customHeight="1" ht="11.25">
      <c r="A89" s="0" t="s">
        <v>16</v>
      </c>
      <c r="B89" s="0" t="s">
        <v>4185</v>
      </c>
      <c r="C89" s="0" t="s">
        <v>4186</v>
      </c>
      <c r="D89" s="0" t="s">
        <v>4211</v>
      </c>
      <c r="E89" s="0" t="s">
        <v>4212</v>
      </c>
      <c r="F89" s="0" t="s">
        <v>4019</v>
      </c>
      <c r="G89" s="0" t="s">
        <v>4213</v>
      </c>
    </row>
    <row customHeight="1" ht="11.25">
      <c r="A90" s="0" t="s">
        <v>16</v>
      </c>
      <c r="B90" s="0" t="s">
        <v>4185</v>
      </c>
      <c r="C90" s="0" t="s">
        <v>4186</v>
      </c>
      <c r="D90" s="0" t="s">
        <v>4214</v>
      </c>
      <c r="E90" s="0" t="s">
        <v>4215</v>
      </c>
      <c r="F90" s="0" t="s">
        <v>4012</v>
      </c>
      <c r="G90" s="0" t="s">
        <v>4216</v>
      </c>
    </row>
    <row customHeight="1" ht="11.25">
      <c r="A91" s="0" t="s">
        <v>16</v>
      </c>
      <c r="B91" s="0" t="s">
        <v>4185</v>
      </c>
      <c r="C91" s="0" t="s">
        <v>4186</v>
      </c>
      <c r="D91" s="0" t="s">
        <v>4217</v>
      </c>
      <c r="E91" s="0" t="s">
        <v>4218</v>
      </c>
      <c r="F91" s="0" t="s">
        <v>4012</v>
      </c>
      <c r="G91" s="0" t="s">
        <v>4219</v>
      </c>
    </row>
    <row customHeight="1" ht="11.25">
      <c r="A92" s="0" t="s">
        <v>16</v>
      </c>
      <c r="B92" s="0" t="s">
        <v>4185</v>
      </c>
      <c r="C92" s="0" t="s">
        <v>4186</v>
      </c>
      <c r="D92" s="0" t="s">
        <v>4220</v>
      </c>
      <c r="E92" s="0" t="s">
        <v>4221</v>
      </c>
      <c r="F92" s="0" t="s">
        <v>4012</v>
      </c>
      <c r="G92" s="0" t="s">
        <v>4222</v>
      </c>
    </row>
    <row customHeight="1" ht="11.25">
      <c r="A93" s="0" t="s">
        <v>16</v>
      </c>
      <c r="B93" s="0" t="s">
        <v>4185</v>
      </c>
      <c r="C93" s="0" t="s">
        <v>4186</v>
      </c>
      <c r="D93" s="0" t="s">
        <v>4223</v>
      </c>
      <c r="E93" s="0" t="s">
        <v>4224</v>
      </c>
      <c r="F93" s="0" t="s">
        <v>4012</v>
      </c>
      <c r="G93" s="0" t="s">
        <v>4225</v>
      </c>
    </row>
    <row customHeight="1" ht="11.25">
      <c r="A94" s="0" t="s">
        <v>16</v>
      </c>
      <c r="B94" s="0" t="s">
        <v>4185</v>
      </c>
      <c r="C94" s="0" t="s">
        <v>4186</v>
      </c>
      <c r="D94" s="0" t="s">
        <v>4226</v>
      </c>
      <c r="E94" s="0" t="s">
        <v>4227</v>
      </c>
      <c r="F94" s="0" t="s">
        <v>4012</v>
      </c>
      <c r="G94" s="0" t="s">
        <v>4228</v>
      </c>
    </row>
    <row customHeight="1" ht="11.25">
      <c r="A95" s="0" t="s">
        <v>16</v>
      </c>
      <c r="B95" s="0" t="s">
        <v>4185</v>
      </c>
      <c r="C95" s="0" t="s">
        <v>4186</v>
      </c>
      <c r="D95" s="0" t="s">
        <v>4229</v>
      </c>
      <c r="E95" s="0" t="s">
        <v>4230</v>
      </c>
      <c r="F95" s="0" t="s">
        <v>4012</v>
      </c>
      <c r="G95" s="0" t="s">
        <v>4231</v>
      </c>
    </row>
    <row customHeight="1" ht="11.25">
      <c r="A96" s="0" t="s">
        <v>16</v>
      </c>
      <c r="B96" s="0" t="s">
        <v>4185</v>
      </c>
      <c r="C96" s="0" t="s">
        <v>4186</v>
      </c>
      <c r="D96" s="0" t="s">
        <v>4232</v>
      </c>
      <c r="E96" s="0" t="s">
        <v>4233</v>
      </c>
      <c r="F96" s="0" t="s">
        <v>4012</v>
      </c>
      <c r="G96" s="0" t="s">
        <v>4234</v>
      </c>
    </row>
    <row customHeight="1" ht="11.25">
      <c r="A97" s="0" t="s">
        <v>16</v>
      </c>
      <c r="B97" s="0" t="s">
        <v>4185</v>
      </c>
      <c r="C97" s="0" t="s">
        <v>4186</v>
      </c>
      <c r="D97" s="0" t="s">
        <v>4235</v>
      </c>
      <c r="E97" s="0" t="s">
        <v>4236</v>
      </c>
      <c r="F97" s="0" t="s">
        <v>4012</v>
      </c>
      <c r="G97" s="0" t="s">
        <v>4237</v>
      </c>
    </row>
    <row customHeight="1" ht="11.25">
      <c r="A98" s="0" t="s">
        <v>16</v>
      </c>
      <c r="B98" s="0" t="s">
        <v>4238</v>
      </c>
      <c r="C98" s="0" t="s">
        <v>4239</v>
      </c>
      <c r="D98" s="0" t="s">
        <v>4163</v>
      </c>
      <c r="E98" s="0" t="s">
        <v>4240</v>
      </c>
      <c r="F98" s="0" t="s">
        <v>4012</v>
      </c>
      <c r="G98" s="0" t="s">
        <v>4241</v>
      </c>
    </row>
    <row customHeight="1" ht="11.25">
      <c r="A99" s="0" t="s">
        <v>16</v>
      </c>
      <c r="B99" s="0" t="s">
        <v>4238</v>
      </c>
      <c r="C99" s="0" t="s">
        <v>4239</v>
      </c>
      <c r="D99" s="0" t="s">
        <v>4242</v>
      </c>
      <c r="E99" s="0" t="s">
        <v>4243</v>
      </c>
      <c r="F99" s="0" t="s">
        <v>4012</v>
      </c>
      <c r="G99" s="0" t="s">
        <v>4244</v>
      </c>
    </row>
    <row customHeight="1" ht="11.25">
      <c r="A100" s="0" t="s">
        <v>16</v>
      </c>
      <c r="B100" s="0" t="s">
        <v>4238</v>
      </c>
      <c r="C100" s="0" t="s">
        <v>4239</v>
      </c>
      <c r="D100" s="0" t="s">
        <v>4245</v>
      </c>
      <c r="E100" s="0" t="s">
        <v>4246</v>
      </c>
      <c r="F100" s="0" t="s">
        <v>4012</v>
      </c>
      <c r="G100" s="0" t="s">
        <v>4247</v>
      </c>
    </row>
    <row customHeight="1" ht="11.25">
      <c r="A101" s="0" t="s">
        <v>16</v>
      </c>
      <c r="B101" s="0" t="s">
        <v>4238</v>
      </c>
      <c r="C101" s="0" t="s">
        <v>4239</v>
      </c>
      <c r="D101" s="0" t="s">
        <v>4094</v>
      </c>
      <c r="E101" s="0" t="s">
        <v>4248</v>
      </c>
      <c r="F101" s="0" t="s">
        <v>4012</v>
      </c>
      <c r="G101" s="0" t="s">
        <v>4249</v>
      </c>
    </row>
    <row customHeight="1" ht="11.25">
      <c r="A102" s="0" t="s">
        <v>16</v>
      </c>
      <c r="B102" s="0" t="s">
        <v>4238</v>
      </c>
      <c r="C102" s="0" t="s">
        <v>4239</v>
      </c>
      <c r="D102" s="0" t="s">
        <v>4238</v>
      </c>
      <c r="E102" s="0" t="s">
        <v>4239</v>
      </c>
      <c r="F102" s="0" t="s">
        <v>4009</v>
      </c>
      <c r="G102" s="0" t="s">
        <v>4250</v>
      </c>
    </row>
    <row customHeight="1" ht="11.25">
      <c r="A103" s="0" t="s">
        <v>16</v>
      </c>
      <c r="B103" s="0" t="s">
        <v>4238</v>
      </c>
      <c r="C103" s="0" t="s">
        <v>4239</v>
      </c>
      <c r="D103" s="0" t="s">
        <v>4251</v>
      </c>
      <c r="E103" s="0" t="s">
        <v>4252</v>
      </c>
      <c r="F103" s="0" t="s">
        <v>4030</v>
      </c>
      <c r="G103" s="0" t="s">
        <v>4253</v>
      </c>
    </row>
    <row customHeight="1" ht="11.25">
      <c r="A104" s="0" t="s">
        <v>16</v>
      </c>
      <c r="B104" s="0" t="s">
        <v>4238</v>
      </c>
      <c r="C104" s="0" t="s">
        <v>4239</v>
      </c>
      <c r="D104" s="0" t="s">
        <v>4254</v>
      </c>
      <c r="E104" s="0" t="s">
        <v>4255</v>
      </c>
      <c r="F104" s="0" t="s">
        <v>4012</v>
      </c>
      <c r="G104" s="0" t="s">
        <v>4256</v>
      </c>
    </row>
    <row customHeight="1" ht="11.25">
      <c r="A105" s="0" t="s">
        <v>16</v>
      </c>
      <c r="B105" s="0" t="s">
        <v>4238</v>
      </c>
      <c r="C105" s="0" t="s">
        <v>4239</v>
      </c>
      <c r="D105" s="0" t="s">
        <v>4257</v>
      </c>
      <c r="E105" s="0" t="s">
        <v>4258</v>
      </c>
      <c r="F105" s="0" t="s">
        <v>4012</v>
      </c>
      <c r="G105" s="0" t="s">
        <v>4259</v>
      </c>
    </row>
    <row customHeight="1" ht="11.25">
      <c r="A106" s="0" t="s">
        <v>16</v>
      </c>
      <c r="B106" s="0" t="s">
        <v>4238</v>
      </c>
      <c r="C106" s="0" t="s">
        <v>4239</v>
      </c>
      <c r="D106" s="0" t="s">
        <v>4260</v>
      </c>
      <c r="E106" s="0" t="s">
        <v>4261</v>
      </c>
      <c r="F106" s="0" t="s">
        <v>4012</v>
      </c>
      <c r="G106" s="0" t="s">
        <v>4262</v>
      </c>
    </row>
    <row customHeight="1" ht="11.25">
      <c r="A107" s="0" t="s">
        <v>16</v>
      </c>
      <c r="B107" s="0" t="s">
        <v>4238</v>
      </c>
      <c r="C107" s="0" t="s">
        <v>4239</v>
      </c>
      <c r="D107" s="0" t="s">
        <v>4263</v>
      </c>
      <c r="E107" s="0" t="s">
        <v>4264</v>
      </c>
      <c r="F107" s="0" t="s">
        <v>4012</v>
      </c>
      <c r="G107" s="0" t="s">
        <v>4265</v>
      </c>
    </row>
    <row customHeight="1" ht="11.25">
      <c r="A108" s="0" t="s">
        <v>16</v>
      </c>
      <c r="B108" s="0" t="s">
        <v>4238</v>
      </c>
      <c r="C108" s="0" t="s">
        <v>4239</v>
      </c>
      <c r="D108" s="0" t="s">
        <v>4266</v>
      </c>
      <c r="E108" s="0" t="s">
        <v>4267</v>
      </c>
      <c r="F108" s="0" t="s">
        <v>4012</v>
      </c>
      <c r="G108" s="0" t="s">
        <v>4268</v>
      </c>
    </row>
    <row customHeight="1" ht="11.25">
      <c r="A109" s="0" t="s">
        <v>16</v>
      </c>
      <c r="B109" s="0" t="s">
        <v>4238</v>
      </c>
      <c r="C109" s="0" t="s">
        <v>4239</v>
      </c>
      <c r="D109" s="0" t="s">
        <v>4269</v>
      </c>
      <c r="E109" s="0" t="s">
        <v>4270</v>
      </c>
      <c r="F109" s="0" t="s">
        <v>4012</v>
      </c>
      <c r="G109" s="0" t="s">
        <v>4271</v>
      </c>
    </row>
    <row customHeight="1" ht="11.25">
      <c r="A110" s="0" t="s">
        <v>16</v>
      </c>
      <c r="B110" s="0" t="s">
        <v>4238</v>
      </c>
      <c r="C110" s="0" t="s">
        <v>4239</v>
      </c>
      <c r="D110" s="0" t="s">
        <v>4272</v>
      </c>
      <c r="E110" s="0" t="s">
        <v>4273</v>
      </c>
      <c r="F110" s="0" t="s">
        <v>4012</v>
      </c>
      <c r="G110" s="0" t="s">
        <v>4274</v>
      </c>
    </row>
    <row customHeight="1" ht="11.25">
      <c r="A111" s="0" t="s">
        <v>16</v>
      </c>
      <c r="B111" s="0" t="s">
        <v>4238</v>
      </c>
      <c r="C111" s="0" t="s">
        <v>4239</v>
      </c>
      <c r="D111" s="0" t="s">
        <v>4275</v>
      </c>
      <c r="E111" s="0" t="s">
        <v>4276</v>
      </c>
      <c r="F111" s="0" t="s">
        <v>4019</v>
      </c>
      <c r="G111" s="0" t="s">
        <v>4277</v>
      </c>
    </row>
    <row customHeight="1" ht="11.25">
      <c r="A112" s="0" t="s">
        <v>16</v>
      </c>
      <c r="B112" s="0" t="s">
        <v>4238</v>
      </c>
      <c r="C112" s="0" t="s">
        <v>4239</v>
      </c>
      <c r="D112" s="0" t="s">
        <v>4278</v>
      </c>
      <c r="E112" s="0" t="s">
        <v>4279</v>
      </c>
      <c r="F112" s="0" t="s">
        <v>4012</v>
      </c>
      <c r="G112" s="0" t="s">
        <v>638</v>
      </c>
    </row>
    <row customHeight="1" ht="11.25">
      <c r="A113" s="0" t="s">
        <v>16</v>
      </c>
      <c r="B113" s="0" t="s">
        <v>4238</v>
      </c>
      <c r="C113" s="0" t="s">
        <v>4239</v>
      </c>
      <c r="D113" s="0" t="s">
        <v>4280</v>
      </c>
      <c r="E113" s="0" t="s">
        <v>4281</v>
      </c>
      <c r="F113" s="0" t="s">
        <v>4012</v>
      </c>
      <c r="G113" s="0" t="s">
        <v>4282</v>
      </c>
    </row>
    <row customHeight="1" ht="11.25">
      <c r="A114" s="0" t="s">
        <v>16</v>
      </c>
      <c r="B114" s="0" t="s">
        <v>4238</v>
      </c>
      <c r="C114" s="0" t="s">
        <v>4239</v>
      </c>
      <c r="D114" s="0" t="s">
        <v>4283</v>
      </c>
      <c r="E114" s="0" t="s">
        <v>4284</v>
      </c>
      <c r="F114" s="0" t="s">
        <v>4012</v>
      </c>
      <c r="G114" s="0" t="s">
        <v>4285</v>
      </c>
    </row>
    <row customHeight="1" ht="11.25">
      <c r="A115" s="0" t="s">
        <v>16</v>
      </c>
      <c r="B115" s="0" t="s">
        <v>4238</v>
      </c>
      <c r="C115" s="0" t="s">
        <v>4239</v>
      </c>
      <c r="D115" s="0" t="s">
        <v>4286</v>
      </c>
      <c r="E115" s="0" t="s">
        <v>4287</v>
      </c>
      <c r="F115" s="0" t="s">
        <v>4012</v>
      </c>
      <c r="G115" s="0" t="s">
        <v>4288</v>
      </c>
    </row>
    <row customHeight="1" ht="11.25">
      <c r="A116" s="0" t="s">
        <v>16</v>
      </c>
      <c r="B116" s="0" t="s">
        <v>4238</v>
      </c>
      <c r="C116" s="0" t="s">
        <v>4239</v>
      </c>
      <c r="D116" s="0" t="s">
        <v>4289</v>
      </c>
      <c r="E116" s="0" t="s">
        <v>4290</v>
      </c>
      <c r="F116" s="0" t="s">
        <v>4012</v>
      </c>
      <c r="G116" s="0" t="s">
        <v>4291</v>
      </c>
    </row>
    <row customHeight="1" ht="11.25">
      <c r="A117" s="0" t="s">
        <v>16</v>
      </c>
      <c r="B117" s="0" t="s">
        <v>4238</v>
      </c>
      <c r="C117" s="0" t="s">
        <v>4239</v>
      </c>
      <c r="D117" s="0" t="s">
        <v>4292</v>
      </c>
      <c r="E117" s="0" t="s">
        <v>4293</v>
      </c>
      <c r="F117" s="0" t="s">
        <v>4012</v>
      </c>
      <c r="G117" s="0" t="s">
        <v>4294</v>
      </c>
    </row>
    <row customHeight="1" ht="11.25">
      <c r="A118" s="0" t="s">
        <v>16</v>
      </c>
      <c r="B118" s="0" t="s">
        <v>4238</v>
      </c>
      <c r="C118" s="0" t="s">
        <v>4239</v>
      </c>
      <c r="D118" s="0" t="s">
        <v>4295</v>
      </c>
      <c r="E118" s="0" t="s">
        <v>4296</v>
      </c>
      <c r="F118" s="0" t="s">
        <v>4012</v>
      </c>
      <c r="G118" s="0" t="s">
        <v>4297</v>
      </c>
    </row>
    <row customHeight="1" ht="11.25">
      <c r="A119" s="0" t="s">
        <v>16</v>
      </c>
      <c r="B119" s="0" t="s">
        <v>4238</v>
      </c>
      <c r="C119" s="0" t="s">
        <v>4239</v>
      </c>
      <c r="D119" s="0" t="s">
        <v>4298</v>
      </c>
      <c r="E119" s="0" t="s">
        <v>4299</v>
      </c>
      <c r="F119" s="0" t="s">
        <v>4012</v>
      </c>
      <c r="G119" s="0" t="s">
        <v>4300</v>
      </c>
    </row>
    <row customHeight="1" ht="11.25">
      <c r="A120" s="0" t="s">
        <v>16</v>
      </c>
      <c r="B120" s="0" t="s">
        <v>4301</v>
      </c>
      <c r="C120" s="0" t="s">
        <v>4302</v>
      </c>
      <c r="D120" s="0" t="s">
        <v>4303</v>
      </c>
      <c r="E120" s="0" t="s">
        <v>4304</v>
      </c>
      <c r="F120" s="0" t="s">
        <v>4012</v>
      </c>
      <c r="G120" s="0" t="s">
        <v>4305</v>
      </c>
    </row>
    <row customHeight="1" ht="11.25">
      <c r="A121" s="0" t="s">
        <v>16</v>
      </c>
      <c r="B121" s="0" t="s">
        <v>4301</v>
      </c>
      <c r="C121" s="0" t="s">
        <v>4302</v>
      </c>
      <c r="D121" s="0" t="s">
        <v>4306</v>
      </c>
      <c r="E121" s="0" t="s">
        <v>4307</v>
      </c>
      <c r="F121" s="0" t="s">
        <v>4012</v>
      </c>
      <c r="G121" s="0" t="s">
        <v>4308</v>
      </c>
    </row>
    <row customHeight="1" ht="11.25">
      <c r="A122" s="0" t="s">
        <v>16</v>
      </c>
      <c r="B122" s="0" t="s">
        <v>4301</v>
      </c>
      <c r="C122" s="0" t="s">
        <v>4302</v>
      </c>
      <c r="D122" s="0" t="s">
        <v>4301</v>
      </c>
      <c r="E122" s="0" t="s">
        <v>4302</v>
      </c>
      <c r="F122" s="0" t="s">
        <v>4009</v>
      </c>
      <c r="G122" s="0" t="s">
        <v>4309</v>
      </c>
    </row>
    <row customHeight="1" ht="11.25">
      <c r="A123" s="0" t="s">
        <v>16</v>
      </c>
      <c r="B123" s="0" t="s">
        <v>4301</v>
      </c>
      <c r="C123" s="0" t="s">
        <v>4302</v>
      </c>
      <c r="D123" s="0" t="s">
        <v>4310</v>
      </c>
      <c r="E123" s="0" t="s">
        <v>4311</v>
      </c>
      <c r="F123" s="0" t="s">
        <v>4012</v>
      </c>
      <c r="G123" s="0" t="s">
        <v>4312</v>
      </c>
    </row>
    <row customHeight="1" ht="11.25">
      <c r="A124" s="0" t="s">
        <v>16</v>
      </c>
      <c r="B124" s="0" t="s">
        <v>4301</v>
      </c>
      <c r="C124" s="0" t="s">
        <v>4302</v>
      </c>
      <c r="D124" s="0" t="s">
        <v>4313</v>
      </c>
      <c r="E124" s="0" t="s">
        <v>4314</v>
      </c>
      <c r="F124" s="0" t="s">
        <v>4012</v>
      </c>
      <c r="G124" s="0" t="s">
        <v>4315</v>
      </c>
    </row>
    <row customHeight="1" ht="11.25">
      <c r="A125" s="0" t="s">
        <v>16</v>
      </c>
      <c r="B125" s="0" t="s">
        <v>4301</v>
      </c>
      <c r="C125" s="0" t="s">
        <v>4302</v>
      </c>
      <c r="D125" s="0" t="s">
        <v>4316</v>
      </c>
      <c r="E125" s="0" t="s">
        <v>4317</v>
      </c>
      <c r="F125" s="0" t="s">
        <v>4012</v>
      </c>
      <c r="G125" s="0" t="s">
        <v>4318</v>
      </c>
    </row>
    <row customHeight="1" ht="11.25">
      <c r="A126" s="0" t="s">
        <v>16</v>
      </c>
      <c r="B126" s="0" t="s">
        <v>4301</v>
      </c>
      <c r="C126" s="0" t="s">
        <v>4302</v>
      </c>
      <c r="D126" s="0" t="s">
        <v>4319</v>
      </c>
      <c r="E126" s="0" t="s">
        <v>4320</v>
      </c>
      <c r="F126" s="0" t="s">
        <v>4012</v>
      </c>
      <c r="G126" s="0" t="s">
        <v>4321</v>
      </c>
    </row>
    <row customHeight="1" ht="11.25">
      <c r="A127" s="0" t="s">
        <v>16</v>
      </c>
      <c r="B127" s="0" t="s">
        <v>4301</v>
      </c>
      <c r="C127" s="0" t="s">
        <v>4302</v>
      </c>
      <c r="D127" s="0" t="s">
        <v>4322</v>
      </c>
      <c r="E127" s="0" t="s">
        <v>4323</v>
      </c>
      <c r="F127" s="0" t="s">
        <v>4012</v>
      </c>
      <c r="G127" s="0" t="s">
        <v>4324</v>
      </c>
    </row>
    <row customHeight="1" ht="11.25">
      <c r="A128" s="0" t="s">
        <v>16</v>
      </c>
      <c r="B128" s="0" t="s">
        <v>4301</v>
      </c>
      <c r="C128" s="0" t="s">
        <v>4302</v>
      </c>
      <c r="D128" s="0" t="s">
        <v>4325</v>
      </c>
      <c r="E128" s="0" t="s">
        <v>4326</v>
      </c>
      <c r="F128" s="0" t="s">
        <v>4012</v>
      </c>
      <c r="G128" s="0" t="s">
        <v>4327</v>
      </c>
    </row>
    <row customHeight="1" ht="11.25">
      <c r="A129" s="0" t="s">
        <v>16</v>
      </c>
      <c r="B129" s="0" t="s">
        <v>4301</v>
      </c>
      <c r="C129" s="0" t="s">
        <v>4302</v>
      </c>
      <c r="D129" s="0" t="s">
        <v>4328</v>
      </c>
      <c r="E129" s="0" t="s">
        <v>4329</v>
      </c>
      <c r="F129" s="0" t="s">
        <v>4012</v>
      </c>
      <c r="G129" s="0" t="s">
        <v>4330</v>
      </c>
    </row>
    <row customHeight="1" ht="11.25">
      <c r="A130" s="0" t="s">
        <v>16</v>
      </c>
      <c r="B130" s="0" t="s">
        <v>4331</v>
      </c>
      <c r="C130" s="0" t="s">
        <v>4332</v>
      </c>
      <c r="D130" s="0" t="s">
        <v>4331</v>
      </c>
      <c r="E130" s="0" t="s">
        <v>4332</v>
      </c>
      <c r="F130" s="0" t="s">
        <v>4333</v>
      </c>
      <c r="G130" s="0" t="s">
        <v>4334</v>
      </c>
    </row>
    <row customHeight="1" ht="11.25">
      <c r="A131" s="0" t="s">
        <v>16</v>
      </c>
      <c r="B131" s="0" t="s">
        <v>4335</v>
      </c>
      <c r="C131" s="0" t="s">
        <v>4336</v>
      </c>
      <c r="D131" s="0" t="s">
        <v>4335</v>
      </c>
      <c r="E131" s="0" t="s">
        <v>4336</v>
      </c>
      <c r="F131" s="0" t="s">
        <v>4333</v>
      </c>
      <c r="G131" s="0" t="s">
        <v>4337</v>
      </c>
    </row>
    <row customHeight="1" ht="11.25">
      <c r="A132" s="0" t="s">
        <v>16</v>
      </c>
      <c r="B132" s="0" t="s">
        <v>4338</v>
      </c>
      <c r="C132" s="0" t="s">
        <v>4339</v>
      </c>
      <c r="D132" s="0" t="s">
        <v>4340</v>
      </c>
      <c r="E132" s="0" t="s">
        <v>4341</v>
      </c>
      <c r="F132" s="0" t="s">
        <v>4012</v>
      </c>
      <c r="G132" s="0" t="s">
        <v>4342</v>
      </c>
    </row>
    <row customHeight="1" ht="11.25">
      <c r="A133" s="0" t="s">
        <v>16</v>
      </c>
      <c r="B133" s="0" t="s">
        <v>4338</v>
      </c>
      <c r="C133" s="0" t="s">
        <v>4339</v>
      </c>
      <c r="D133" s="0" t="s">
        <v>4338</v>
      </c>
      <c r="E133" s="0" t="s">
        <v>4339</v>
      </c>
      <c r="F133" s="0" t="s">
        <v>4009</v>
      </c>
      <c r="G133" s="0" t="s">
        <v>4343</v>
      </c>
    </row>
    <row customHeight="1" ht="11.25">
      <c r="A134" s="0" t="s">
        <v>16</v>
      </c>
      <c r="B134" s="0" t="s">
        <v>4338</v>
      </c>
      <c r="C134" s="0" t="s">
        <v>4339</v>
      </c>
      <c r="D134" s="0" t="s">
        <v>4344</v>
      </c>
      <c r="E134" s="0" t="s">
        <v>4345</v>
      </c>
      <c r="F134" s="0" t="s">
        <v>4012</v>
      </c>
      <c r="G134" s="0" t="s">
        <v>4346</v>
      </c>
    </row>
    <row customHeight="1" ht="11.25">
      <c r="A135" s="0" t="s">
        <v>16</v>
      </c>
      <c r="B135" s="0" t="s">
        <v>4338</v>
      </c>
      <c r="C135" s="0" t="s">
        <v>4339</v>
      </c>
      <c r="D135" s="0" t="s">
        <v>4347</v>
      </c>
      <c r="E135" s="0" t="s">
        <v>4348</v>
      </c>
      <c r="F135" s="0" t="s">
        <v>4012</v>
      </c>
      <c r="G135" s="0" t="s">
        <v>4349</v>
      </c>
    </row>
    <row customHeight="1" ht="11.25">
      <c r="A136" s="0" t="s">
        <v>16</v>
      </c>
      <c r="B136" s="0" t="s">
        <v>4338</v>
      </c>
      <c r="C136" s="0" t="s">
        <v>4339</v>
      </c>
      <c r="D136" s="0" t="s">
        <v>4350</v>
      </c>
      <c r="E136" s="0" t="s">
        <v>4351</v>
      </c>
      <c r="F136" s="0" t="s">
        <v>4049</v>
      </c>
      <c r="G136" s="0" t="s">
        <v>4352</v>
      </c>
    </row>
    <row customHeight="1" ht="11.25">
      <c r="A137" s="0" t="s">
        <v>16</v>
      </c>
      <c r="B137" s="0" t="s">
        <v>4338</v>
      </c>
      <c r="C137" s="0" t="s">
        <v>4339</v>
      </c>
      <c r="D137" s="0" t="s">
        <v>4353</v>
      </c>
      <c r="E137" s="0" t="s">
        <v>4354</v>
      </c>
      <c r="F137" s="0" t="s">
        <v>4012</v>
      </c>
      <c r="G137" s="0" t="s">
        <v>4355</v>
      </c>
    </row>
    <row customHeight="1" ht="11.25">
      <c r="A138" s="0" t="s">
        <v>16</v>
      </c>
      <c r="B138" s="0" t="s">
        <v>4356</v>
      </c>
      <c r="C138" s="0" t="s">
        <v>4357</v>
      </c>
      <c r="D138" s="0" t="s">
        <v>4358</v>
      </c>
      <c r="E138" s="0" t="s">
        <v>4359</v>
      </c>
      <c r="F138" s="0" t="s">
        <v>4012</v>
      </c>
      <c r="G138" s="0" t="s">
        <v>4360</v>
      </c>
    </row>
    <row customHeight="1" ht="11.25">
      <c r="A139" s="0" t="s">
        <v>16</v>
      </c>
      <c r="B139" s="0" t="s">
        <v>4356</v>
      </c>
      <c r="C139" s="0" t="s">
        <v>4357</v>
      </c>
      <c r="D139" s="0" t="s">
        <v>4361</v>
      </c>
      <c r="E139" s="0" t="s">
        <v>4362</v>
      </c>
      <c r="F139" s="0" t="s">
        <v>4012</v>
      </c>
      <c r="G139" s="0" t="s">
        <v>4363</v>
      </c>
    </row>
    <row customHeight="1" ht="11.25">
      <c r="A140" s="0" t="s">
        <v>16</v>
      </c>
      <c r="B140" s="0" t="s">
        <v>4356</v>
      </c>
      <c r="C140" s="0" t="s">
        <v>4357</v>
      </c>
      <c r="D140" s="0" t="s">
        <v>4356</v>
      </c>
      <c r="E140" s="0" t="s">
        <v>4357</v>
      </c>
      <c r="F140" s="0" t="s">
        <v>4009</v>
      </c>
      <c r="G140" s="0" t="s">
        <v>4364</v>
      </c>
    </row>
    <row customHeight="1" ht="11.25">
      <c r="A141" s="0" t="s">
        <v>16</v>
      </c>
      <c r="B141" s="0" t="s">
        <v>4356</v>
      </c>
      <c r="C141" s="0" t="s">
        <v>4357</v>
      </c>
      <c r="D141" s="0" t="s">
        <v>4365</v>
      </c>
      <c r="E141" s="0" t="s">
        <v>4366</v>
      </c>
      <c r="F141" s="0" t="s">
        <v>4012</v>
      </c>
      <c r="G141" s="0" t="s">
        <v>4367</v>
      </c>
    </row>
    <row customHeight="1" ht="11.25">
      <c r="A142" s="0" t="s">
        <v>16</v>
      </c>
      <c r="B142" s="0" t="s">
        <v>4356</v>
      </c>
      <c r="C142" s="0" t="s">
        <v>4357</v>
      </c>
      <c r="D142" s="0" t="s">
        <v>4368</v>
      </c>
      <c r="E142" s="0" t="s">
        <v>4369</v>
      </c>
      <c r="F142" s="0" t="s">
        <v>4012</v>
      </c>
      <c r="G142" s="0" t="s">
        <v>4370</v>
      </c>
    </row>
    <row customHeight="1" ht="11.25">
      <c r="A143" s="0" t="s">
        <v>16</v>
      </c>
      <c r="B143" s="0" t="s">
        <v>4356</v>
      </c>
      <c r="C143" s="0" t="s">
        <v>4357</v>
      </c>
      <c r="D143" s="0" t="s">
        <v>4371</v>
      </c>
      <c r="E143" s="0" t="s">
        <v>4372</v>
      </c>
      <c r="F143" s="0" t="s">
        <v>4012</v>
      </c>
      <c r="G143" s="0" t="s">
        <v>4373</v>
      </c>
    </row>
    <row customHeight="1" ht="11.25">
      <c r="A144" s="0" t="s">
        <v>16</v>
      </c>
      <c r="B144" s="0" t="s">
        <v>4356</v>
      </c>
      <c r="C144" s="0" t="s">
        <v>4357</v>
      </c>
      <c r="D144" s="0" t="s">
        <v>4374</v>
      </c>
      <c r="E144" s="0" t="s">
        <v>4375</v>
      </c>
      <c r="F144" s="0" t="s">
        <v>4012</v>
      </c>
      <c r="G144" s="0" t="s">
        <v>4376</v>
      </c>
    </row>
    <row customHeight="1" ht="11.25">
      <c r="A145" s="0" t="s">
        <v>16</v>
      </c>
      <c r="B145" s="0" t="s">
        <v>4356</v>
      </c>
      <c r="C145" s="0" t="s">
        <v>4357</v>
      </c>
      <c r="D145" s="0" t="s">
        <v>4377</v>
      </c>
      <c r="E145" s="0" t="s">
        <v>4378</v>
      </c>
      <c r="F145" s="0" t="s">
        <v>4012</v>
      </c>
      <c r="G145" s="0" t="s">
        <v>4379</v>
      </c>
    </row>
    <row customHeight="1" ht="11.25">
      <c r="A146" s="0" t="s">
        <v>16</v>
      </c>
      <c r="B146" s="0" t="s">
        <v>4356</v>
      </c>
      <c r="C146" s="0" t="s">
        <v>4357</v>
      </c>
      <c r="D146" s="0" t="s">
        <v>4380</v>
      </c>
      <c r="E146" s="0" t="s">
        <v>4381</v>
      </c>
      <c r="F146" s="0" t="s">
        <v>4049</v>
      </c>
      <c r="G146" s="0" t="s">
        <v>4382</v>
      </c>
    </row>
    <row customHeight="1" ht="11.25">
      <c r="A147" s="0" t="s">
        <v>16</v>
      </c>
      <c r="B147" s="0" t="s">
        <v>4356</v>
      </c>
      <c r="C147" s="0" t="s">
        <v>4357</v>
      </c>
      <c r="D147" s="0" t="s">
        <v>4383</v>
      </c>
      <c r="E147" s="0" t="s">
        <v>4384</v>
      </c>
      <c r="F147" s="0" t="s">
        <v>4012</v>
      </c>
      <c r="G147" s="0" t="s">
        <v>4385</v>
      </c>
    </row>
    <row customHeight="1" ht="11.25">
      <c r="A148" s="0" t="s">
        <v>16</v>
      </c>
      <c r="B148" s="0" t="s">
        <v>4356</v>
      </c>
      <c r="C148" s="0" t="s">
        <v>4357</v>
      </c>
      <c r="D148" s="0" t="s">
        <v>4386</v>
      </c>
      <c r="E148" s="0" t="s">
        <v>4387</v>
      </c>
      <c r="F148" s="0" t="s">
        <v>4012</v>
      </c>
      <c r="G148" s="0" t="s">
        <v>4388</v>
      </c>
    </row>
    <row customHeight="1" ht="11.25">
      <c r="A149" s="0" t="s">
        <v>16</v>
      </c>
      <c r="B149" s="0" t="s">
        <v>4356</v>
      </c>
      <c r="C149" s="0" t="s">
        <v>4357</v>
      </c>
      <c r="D149" s="0" t="s">
        <v>4389</v>
      </c>
      <c r="E149" s="0" t="s">
        <v>4390</v>
      </c>
      <c r="F149" s="0" t="s">
        <v>4019</v>
      </c>
      <c r="G149" s="0" t="s">
        <v>4391</v>
      </c>
    </row>
    <row customHeight="1" ht="11.25">
      <c r="A150" s="0" t="s">
        <v>16</v>
      </c>
      <c r="B150" s="0" t="s">
        <v>4356</v>
      </c>
      <c r="C150" s="0" t="s">
        <v>4357</v>
      </c>
      <c r="D150" s="0" t="s">
        <v>4392</v>
      </c>
      <c r="E150" s="0" t="s">
        <v>4393</v>
      </c>
      <c r="F150" s="0" t="s">
        <v>4012</v>
      </c>
      <c r="G150" s="0" t="s">
        <v>4394</v>
      </c>
    </row>
    <row customHeight="1" ht="11.25">
      <c r="A151" s="0" t="s">
        <v>16</v>
      </c>
      <c r="B151" s="0" t="s">
        <v>4356</v>
      </c>
      <c r="C151" s="0" t="s">
        <v>4357</v>
      </c>
      <c r="D151" s="0" t="s">
        <v>4395</v>
      </c>
      <c r="E151" s="0" t="s">
        <v>4396</v>
      </c>
      <c r="F151" s="0" t="s">
        <v>4012</v>
      </c>
      <c r="G151" s="0" t="s">
        <v>4397</v>
      </c>
    </row>
    <row customHeight="1" ht="11.25">
      <c r="A152" s="0" t="s">
        <v>16</v>
      </c>
      <c r="B152" s="0" t="s">
        <v>4398</v>
      </c>
      <c r="C152" s="0" t="s">
        <v>4399</v>
      </c>
      <c r="D152" s="0" t="s">
        <v>4400</v>
      </c>
      <c r="E152" s="0" t="s">
        <v>4401</v>
      </c>
      <c r="F152" s="0" t="s">
        <v>4012</v>
      </c>
      <c r="G152" s="0" t="s">
        <v>4402</v>
      </c>
    </row>
    <row customHeight="1" ht="11.25">
      <c r="A153" s="0" t="s">
        <v>16</v>
      </c>
      <c r="B153" s="0" t="s">
        <v>4398</v>
      </c>
      <c r="C153" s="0" t="s">
        <v>4399</v>
      </c>
      <c r="D153" s="0" t="s">
        <v>4403</v>
      </c>
      <c r="E153" s="0" t="s">
        <v>4404</v>
      </c>
      <c r="F153" s="0" t="s">
        <v>4030</v>
      </c>
      <c r="G153" s="0" t="s">
        <v>4405</v>
      </c>
    </row>
    <row customHeight="1" ht="11.25">
      <c r="A154" s="0" t="s">
        <v>16</v>
      </c>
      <c r="B154" s="0" t="s">
        <v>4398</v>
      </c>
      <c r="C154" s="0" t="s">
        <v>4399</v>
      </c>
      <c r="D154" s="0" t="s">
        <v>4398</v>
      </c>
      <c r="E154" s="0" t="s">
        <v>4399</v>
      </c>
      <c r="F154" s="0" t="s">
        <v>4009</v>
      </c>
      <c r="G154" s="0" t="s">
        <v>4406</v>
      </c>
    </row>
    <row customHeight="1" ht="11.25">
      <c r="A155" s="0" t="s">
        <v>16</v>
      </c>
      <c r="B155" s="0" t="s">
        <v>4398</v>
      </c>
      <c r="C155" s="0" t="s">
        <v>4399</v>
      </c>
      <c r="D155" s="0" t="s">
        <v>4407</v>
      </c>
      <c r="E155" s="0" t="s">
        <v>4408</v>
      </c>
      <c r="F155" s="0" t="s">
        <v>4049</v>
      </c>
      <c r="G155" s="0" t="s">
        <v>4409</v>
      </c>
    </row>
    <row customHeight="1" ht="11.25">
      <c r="A156" s="0" t="s">
        <v>16</v>
      </c>
      <c r="B156" s="0" t="s">
        <v>4398</v>
      </c>
      <c r="C156" s="0" t="s">
        <v>4399</v>
      </c>
      <c r="D156" s="0" t="s">
        <v>4410</v>
      </c>
      <c r="E156" s="0" t="s">
        <v>4411</v>
      </c>
      <c r="F156" s="0" t="s">
        <v>4012</v>
      </c>
      <c r="G156" s="0" t="s">
        <v>4412</v>
      </c>
    </row>
    <row customHeight="1" ht="11.25">
      <c r="A157" s="0" t="s">
        <v>16</v>
      </c>
      <c r="B157" s="0" t="s">
        <v>4398</v>
      </c>
      <c r="C157" s="0" t="s">
        <v>4399</v>
      </c>
      <c r="D157" s="0" t="s">
        <v>4413</v>
      </c>
      <c r="E157" s="0" t="s">
        <v>4414</v>
      </c>
      <c r="F157" s="0" t="s">
        <v>4012</v>
      </c>
      <c r="G157" s="0" t="s">
        <v>4415</v>
      </c>
    </row>
    <row customHeight="1" ht="11.25">
      <c r="A158" s="0" t="s">
        <v>16</v>
      </c>
      <c r="B158" s="0" t="s">
        <v>4398</v>
      </c>
      <c r="C158" s="0" t="s">
        <v>4399</v>
      </c>
      <c r="D158" s="0" t="s">
        <v>4416</v>
      </c>
      <c r="E158" s="0" t="s">
        <v>4417</v>
      </c>
      <c r="F158" s="0" t="s">
        <v>4012</v>
      </c>
      <c r="G158" s="0" t="s">
        <v>4418</v>
      </c>
    </row>
    <row customHeight="1" ht="11.25">
      <c r="A159" s="0" t="s">
        <v>16</v>
      </c>
      <c r="B159" s="0" t="s">
        <v>4398</v>
      </c>
      <c r="C159" s="0" t="s">
        <v>4399</v>
      </c>
      <c r="D159" s="0" t="s">
        <v>4419</v>
      </c>
      <c r="E159" s="0" t="s">
        <v>4420</v>
      </c>
      <c r="F159" s="0" t="s">
        <v>4012</v>
      </c>
      <c r="G159" s="0" t="s">
        <v>4421</v>
      </c>
    </row>
    <row customHeight="1" ht="11.25">
      <c r="A160" s="0" t="s">
        <v>16</v>
      </c>
      <c r="B160" s="0" t="s">
        <v>4398</v>
      </c>
      <c r="C160" s="0" t="s">
        <v>4399</v>
      </c>
      <c r="D160" s="0" t="s">
        <v>4422</v>
      </c>
      <c r="E160" s="0" t="s">
        <v>4423</v>
      </c>
      <c r="F160" s="0" t="s">
        <v>4019</v>
      </c>
      <c r="G160" s="0" t="s">
        <v>4424</v>
      </c>
    </row>
    <row customHeight="1" ht="11.25">
      <c r="A161" s="0" t="s">
        <v>16</v>
      </c>
      <c r="B161" s="0" t="s">
        <v>4398</v>
      </c>
      <c r="C161" s="0" t="s">
        <v>4399</v>
      </c>
      <c r="D161" s="0" t="s">
        <v>4425</v>
      </c>
      <c r="E161" s="0" t="s">
        <v>4426</v>
      </c>
      <c r="F161" s="0" t="s">
        <v>4019</v>
      </c>
      <c r="G161" s="0" t="s">
        <v>4427</v>
      </c>
    </row>
    <row customHeight="1" ht="11.25">
      <c r="A162" s="0" t="s">
        <v>16</v>
      </c>
      <c r="B162" s="0" t="s">
        <v>4398</v>
      </c>
      <c r="C162" s="0" t="s">
        <v>4399</v>
      </c>
      <c r="D162" s="0" t="s">
        <v>4428</v>
      </c>
      <c r="E162" s="0" t="s">
        <v>4429</v>
      </c>
      <c r="F162" s="0" t="s">
        <v>4012</v>
      </c>
      <c r="G162" s="0" t="s">
        <v>4430</v>
      </c>
    </row>
    <row customHeight="1" ht="11.25">
      <c r="A163" s="0" t="s">
        <v>16</v>
      </c>
      <c r="B163" s="0" t="s">
        <v>4398</v>
      </c>
      <c r="C163" s="0" t="s">
        <v>4399</v>
      </c>
      <c r="D163" s="0" t="s">
        <v>4431</v>
      </c>
      <c r="E163" s="0" t="s">
        <v>4432</v>
      </c>
      <c r="F163" s="0" t="s">
        <v>4012</v>
      </c>
      <c r="G163" s="0" t="s">
        <v>4433</v>
      </c>
    </row>
    <row customHeight="1" ht="11.25">
      <c r="A164" s="0" t="s">
        <v>16</v>
      </c>
      <c r="B164" s="0" t="s">
        <v>4398</v>
      </c>
      <c r="C164" s="0" t="s">
        <v>4399</v>
      </c>
      <c r="D164" s="0" t="s">
        <v>4434</v>
      </c>
      <c r="E164" s="0" t="s">
        <v>4435</v>
      </c>
      <c r="F164" s="0" t="s">
        <v>4012</v>
      </c>
      <c r="G164" s="0" t="s">
        <v>4436</v>
      </c>
    </row>
    <row customHeight="1" ht="11.25">
      <c r="A165" s="0" t="s">
        <v>16</v>
      </c>
      <c r="B165" s="0" t="s">
        <v>4437</v>
      </c>
      <c r="C165" s="0" t="s">
        <v>4438</v>
      </c>
      <c r="D165" s="0" t="s">
        <v>4060</v>
      </c>
      <c r="E165" s="0" t="s">
        <v>4439</v>
      </c>
      <c r="F165" s="0" t="s">
        <v>4012</v>
      </c>
      <c r="G165" s="0" t="s">
        <v>4440</v>
      </c>
    </row>
    <row customHeight="1" ht="11.25">
      <c r="A166" s="0" t="s">
        <v>16</v>
      </c>
      <c r="B166" s="0" t="s">
        <v>4437</v>
      </c>
      <c r="C166" s="0" t="s">
        <v>4438</v>
      </c>
      <c r="D166" s="0" t="s">
        <v>4441</v>
      </c>
      <c r="E166" s="0" t="s">
        <v>4442</v>
      </c>
      <c r="F166" s="0" t="s">
        <v>4012</v>
      </c>
      <c r="G166" s="0" t="s">
        <v>4443</v>
      </c>
    </row>
    <row customHeight="1" ht="11.25">
      <c r="A167" s="0" t="s">
        <v>16</v>
      </c>
      <c r="B167" s="0" t="s">
        <v>4437</v>
      </c>
      <c r="C167" s="0" t="s">
        <v>4438</v>
      </c>
      <c r="D167" s="0" t="s">
        <v>4444</v>
      </c>
      <c r="E167" s="0" t="s">
        <v>4445</v>
      </c>
      <c r="F167" s="0" t="s">
        <v>4012</v>
      </c>
      <c r="G167" s="0" t="s">
        <v>4446</v>
      </c>
    </row>
    <row customHeight="1" ht="11.25">
      <c r="A168" s="0" t="s">
        <v>16</v>
      </c>
      <c r="B168" s="0" t="s">
        <v>4437</v>
      </c>
      <c r="C168" s="0" t="s">
        <v>4438</v>
      </c>
      <c r="D168" s="0" t="s">
        <v>4447</v>
      </c>
      <c r="E168" s="0" t="s">
        <v>4448</v>
      </c>
      <c r="F168" s="0" t="s">
        <v>4012</v>
      </c>
      <c r="G168" s="0" t="s">
        <v>4449</v>
      </c>
    </row>
    <row customHeight="1" ht="11.25">
      <c r="A169" s="0" t="s">
        <v>16</v>
      </c>
      <c r="B169" s="0" t="s">
        <v>4437</v>
      </c>
      <c r="C169" s="0" t="s">
        <v>4438</v>
      </c>
      <c r="D169" s="0" t="s">
        <v>4450</v>
      </c>
      <c r="E169" s="0" t="s">
        <v>4451</v>
      </c>
      <c r="F169" s="0" t="s">
        <v>4012</v>
      </c>
      <c r="G169" s="0" t="s">
        <v>4452</v>
      </c>
    </row>
    <row customHeight="1" ht="11.25">
      <c r="A170" s="0" t="s">
        <v>16</v>
      </c>
      <c r="B170" s="0" t="s">
        <v>4437</v>
      </c>
      <c r="C170" s="0" t="s">
        <v>4438</v>
      </c>
      <c r="D170" s="0" t="s">
        <v>4453</v>
      </c>
      <c r="E170" s="0" t="s">
        <v>4454</v>
      </c>
      <c r="F170" s="0" t="s">
        <v>4012</v>
      </c>
      <c r="G170" s="0" t="s">
        <v>4455</v>
      </c>
    </row>
    <row customHeight="1" ht="11.25">
      <c r="A171" s="0" t="s">
        <v>16</v>
      </c>
      <c r="B171" s="0" t="s">
        <v>4437</v>
      </c>
      <c r="C171" s="0" t="s">
        <v>4438</v>
      </c>
      <c r="D171" s="0" t="s">
        <v>4456</v>
      </c>
      <c r="E171" s="0" t="s">
        <v>4457</v>
      </c>
      <c r="F171" s="0" t="s">
        <v>4012</v>
      </c>
      <c r="G171" s="0" t="s">
        <v>4458</v>
      </c>
    </row>
    <row customHeight="1" ht="11.25">
      <c r="A172" s="0" t="s">
        <v>16</v>
      </c>
      <c r="B172" s="0" t="s">
        <v>4437</v>
      </c>
      <c r="C172" s="0" t="s">
        <v>4438</v>
      </c>
      <c r="D172" s="0" t="s">
        <v>4459</v>
      </c>
      <c r="E172" s="0" t="s">
        <v>4460</v>
      </c>
      <c r="F172" s="0" t="s">
        <v>4012</v>
      </c>
      <c r="G172" s="0" t="s">
        <v>4461</v>
      </c>
    </row>
    <row customHeight="1" ht="11.25">
      <c r="A173" s="0" t="s">
        <v>16</v>
      </c>
      <c r="B173" s="0" t="s">
        <v>4437</v>
      </c>
      <c r="C173" s="0" t="s">
        <v>4438</v>
      </c>
      <c r="D173" s="0" t="s">
        <v>4462</v>
      </c>
      <c r="E173" s="0" t="s">
        <v>4463</v>
      </c>
      <c r="F173" s="0" t="s">
        <v>4012</v>
      </c>
      <c r="G173" s="0" t="s">
        <v>4464</v>
      </c>
    </row>
    <row customHeight="1" ht="11.25">
      <c r="A174" s="0" t="s">
        <v>16</v>
      </c>
      <c r="B174" s="0" t="s">
        <v>4437</v>
      </c>
      <c r="C174" s="0" t="s">
        <v>4438</v>
      </c>
      <c r="D174" s="0" t="s">
        <v>4465</v>
      </c>
      <c r="E174" s="0" t="s">
        <v>4466</v>
      </c>
      <c r="F174" s="0" t="s">
        <v>4012</v>
      </c>
      <c r="G174" s="0" t="s">
        <v>4467</v>
      </c>
    </row>
    <row customHeight="1" ht="11.25">
      <c r="A175" s="0" t="s">
        <v>16</v>
      </c>
      <c r="B175" s="0" t="s">
        <v>4437</v>
      </c>
      <c r="C175" s="0" t="s">
        <v>4438</v>
      </c>
      <c r="D175" s="0" t="s">
        <v>4437</v>
      </c>
      <c r="E175" s="0" t="s">
        <v>4438</v>
      </c>
      <c r="F175" s="0" t="s">
        <v>4009</v>
      </c>
      <c r="G175" s="0" t="s">
        <v>4468</v>
      </c>
    </row>
    <row customHeight="1" ht="11.25">
      <c r="A176" s="0" t="s">
        <v>16</v>
      </c>
      <c r="B176" s="0" t="s">
        <v>4437</v>
      </c>
      <c r="C176" s="0" t="s">
        <v>4438</v>
      </c>
      <c r="D176" s="0" t="s">
        <v>4469</v>
      </c>
      <c r="E176" s="0" t="s">
        <v>4470</v>
      </c>
      <c r="F176" s="0" t="s">
        <v>4012</v>
      </c>
      <c r="G176" s="0" t="s">
        <v>4471</v>
      </c>
    </row>
    <row customHeight="1" ht="11.25">
      <c r="A177" s="0" t="s">
        <v>16</v>
      </c>
      <c r="B177" s="0" t="s">
        <v>4437</v>
      </c>
      <c r="C177" s="0" t="s">
        <v>4438</v>
      </c>
      <c r="D177" s="0" t="s">
        <v>4472</v>
      </c>
      <c r="E177" s="0" t="s">
        <v>4473</v>
      </c>
      <c r="F177" s="0" t="s">
        <v>4012</v>
      </c>
      <c r="G177" s="0" t="s">
        <v>4474</v>
      </c>
    </row>
    <row customHeight="1" ht="11.25">
      <c r="A178" s="0" t="s">
        <v>16</v>
      </c>
      <c r="B178" s="0" t="s">
        <v>4437</v>
      </c>
      <c r="C178" s="0" t="s">
        <v>4438</v>
      </c>
      <c r="D178" s="0" t="s">
        <v>4475</v>
      </c>
      <c r="E178" s="0" t="s">
        <v>4476</v>
      </c>
      <c r="F178" s="0" t="s">
        <v>4012</v>
      </c>
      <c r="G178" s="0" t="s">
        <v>4477</v>
      </c>
    </row>
    <row customHeight="1" ht="11.25">
      <c r="A179" s="0" t="s">
        <v>16</v>
      </c>
      <c r="B179" s="0" t="s">
        <v>4437</v>
      </c>
      <c r="C179" s="0" t="s">
        <v>4438</v>
      </c>
      <c r="D179" s="0" t="s">
        <v>4478</v>
      </c>
      <c r="E179" s="0" t="s">
        <v>4479</v>
      </c>
      <c r="F179" s="0" t="s">
        <v>4012</v>
      </c>
      <c r="G179" s="0" t="s">
        <v>4480</v>
      </c>
    </row>
    <row customHeight="1" ht="11.25">
      <c r="A180" s="0" t="s">
        <v>16</v>
      </c>
      <c r="B180" s="0" t="s">
        <v>4437</v>
      </c>
      <c r="C180" s="0" t="s">
        <v>4438</v>
      </c>
      <c r="D180" s="0" t="s">
        <v>4481</v>
      </c>
      <c r="E180" s="0" t="s">
        <v>4482</v>
      </c>
      <c r="F180" s="0" t="s">
        <v>4012</v>
      </c>
      <c r="G180" s="0" t="s">
        <v>4483</v>
      </c>
    </row>
    <row customHeight="1" ht="11.25">
      <c r="A181" s="0" t="s">
        <v>16</v>
      </c>
      <c r="B181" s="0" t="s">
        <v>4437</v>
      </c>
      <c r="C181" s="0" t="s">
        <v>4438</v>
      </c>
      <c r="D181" s="0" t="s">
        <v>4484</v>
      </c>
      <c r="E181" s="0" t="s">
        <v>4485</v>
      </c>
      <c r="F181" s="0" t="s">
        <v>4012</v>
      </c>
      <c r="G181" s="0" t="s">
        <v>4486</v>
      </c>
    </row>
    <row customHeight="1" ht="11.25">
      <c r="A182" s="0" t="s">
        <v>16</v>
      </c>
      <c r="B182" s="0" t="s">
        <v>4437</v>
      </c>
      <c r="C182" s="0" t="s">
        <v>4438</v>
      </c>
      <c r="D182" s="0" t="s">
        <v>4487</v>
      </c>
      <c r="E182" s="0" t="s">
        <v>4488</v>
      </c>
      <c r="F182" s="0" t="s">
        <v>4012</v>
      </c>
      <c r="G182" s="0" t="s">
        <v>4489</v>
      </c>
    </row>
    <row customHeight="1" ht="11.25">
      <c r="A183" s="0" t="s">
        <v>16</v>
      </c>
      <c r="B183" s="0" t="s">
        <v>4437</v>
      </c>
      <c r="C183" s="0" t="s">
        <v>4438</v>
      </c>
      <c r="D183" s="0" t="s">
        <v>4490</v>
      </c>
      <c r="E183" s="0" t="s">
        <v>4491</v>
      </c>
      <c r="F183" s="0" t="s">
        <v>4012</v>
      </c>
      <c r="G183" s="0" t="s">
        <v>4492</v>
      </c>
    </row>
    <row customHeight="1" ht="11.25">
      <c r="A184" s="0" t="s">
        <v>16</v>
      </c>
      <c r="B184" s="0" t="s">
        <v>4437</v>
      </c>
      <c r="C184" s="0" t="s">
        <v>4438</v>
      </c>
      <c r="D184" s="0" t="s">
        <v>4493</v>
      </c>
      <c r="E184" s="0" t="s">
        <v>4494</v>
      </c>
      <c r="F184" s="0" t="s">
        <v>4012</v>
      </c>
      <c r="G184" s="0" t="s">
        <v>4495</v>
      </c>
    </row>
    <row customHeight="1" ht="11.25">
      <c r="A185" s="0" t="s">
        <v>16</v>
      </c>
      <c r="B185" s="0" t="s">
        <v>4437</v>
      </c>
      <c r="C185" s="0" t="s">
        <v>4438</v>
      </c>
      <c r="D185" s="0" t="s">
        <v>4496</v>
      </c>
      <c r="E185" s="0" t="s">
        <v>4497</v>
      </c>
      <c r="F185" s="0" t="s">
        <v>4012</v>
      </c>
      <c r="G185" s="0" t="s">
        <v>4498</v>
      </c>
    </row>
    <row customHeight="1" ht="11.25">
      <c r="A186" s="0" t="s">
        <v>16</v>
      </c>
      <c r="B186" s="0" t="s">
        <v>4437</v>
      </c>
      <c r="C186" s="0" t="s">
        <v>4438</v>
      </c>
      <c r="D186" s="0" t="s">
        <v>4499</v>
      </c>
      <c r="E186" s="0" t="s">
        <v>4500</v>
      </c>
      <c r="F186" s="0" t="s">
        <v>4012</v>
      </c>
      <c r="G186" s="0" t="s">
        <v>4501</v>
      </c>
    </row>
    <row customHeight="1" ht="11.25">
      <c r="A187" s="0" t="s">
        <v>16</v>
      </c>
      <c r="B187" s="0" t="s">
        <v>4437</v>
      </c>
      <c r="C187" s="0" t="s">
        <v>4438</v>
      </c>
      <c r="D187" s="0" t="s">
        <v>4502</v>
      </c>
      <c r="E187" s="0" t="s">
        <v>4503</v>
      </c>
      <c r="F187" s="0" t="s">
        <v>4012</v>
      </c>
      <c r="G187" s="0" t="s">
        <v>4504</v>
      </c>
    </row>
    <row customHeight="1" ht="11.25">
      <c r="A188" s="0" t="s">
        <v>16</v>
      </c>
      <c r="B188" s="0" t="s">
        <v>4437</v>
      </c>
      <c r="C188" s="0" t="s">
        <v>4438</v>
      </c>
      <c r="D188" s="0" t="s">
        <v>4505</v>
      </c>
      <c r="E188" s="0" t="s">
        <v>4506</v>
      </c>
      <c r="F188" s="0" t="s">
        <v>4012</v>
      </c>
      <c r="G188" s="0" t="s">
        <v>4507</v>
      </c>
    </row>
    <row customHeight="1" ht="11.25">
      <c r="A189" s="0" t="s">
        <v>16</v>
      </c>
      <c r="B189" s="0" t="s">
        <v>4437</v>
      </c>
      <c r="C189" s="0" t="s">
        <v>4438</v>
      </c>
      <c r="D189" s="0" t="s">
        <v>4508</v>
      </c>
      <c r="E189" s="0" t="s">
        <v>4509</v>
      </c>
      <c r="F189" s="0" t="s">
        <v>4012</v>
      </c>
      <c r="G189" s="0" t="s">
        <v>4510</v>
      </c>
    </row>
    <row customHeight="1" ht="11.25">
      <c r="A190" s="0" t="s">
        <v>16</v>
      </c>
      <c r="B190" s="0" t="s">
        <v>4437</v>
      </c>
      <c r="C190" s="0" t="s">
        <v>4438</v>
      </c>
      <c r="D190" s="0" t="s">
        <v>4511</v>
      </c>
      <c r="E190" s="0" t="s">
        <v>4512</v>
      </c>
      <c r="F190" s="0" t="s">
        <v>4012</v>
      </c>
      <c r="G190" s="0" t="s">
        <v>4513</v>
      </c>
    </row>
    <row customHeight="1" ht="11.25">
      <c r="A191" s="0" t="s">
        <v>16</v>
      </c>
      <c r="B191" s="0" t="s">
        <v>4437</v>
      </c>
      <c r="C191" s="0" t="s">
        <v>4438</v>
      </c>
      <c r="D191" s="0" t="s">
        <v>4514</v>
      </c>
      <c r="E191" s="0" t="s">
        <v>4515</v>
      </c>
      <c r="F191" s="0" t="s">
        <v>4012</v>
      </c>
      <c r="G191" s="0" t="s">
        <v>4516</v>
      </c>
    </row>
    <row customHeight="1" ht="11.25">
      <c r="A192" s="0" t="s">
        <v>16</v>
      </c>
      <c r="B192" s="0" t="s">
        <v>4437</v>
      </c>
      <c r="C192" s="0" t="s">
        <v>4438</v>
      </c>
      <c r="D192" s="0" t="s">
        <v>4517</v>
      </c>
      <c r="E192" s="0" t="s">
        <v>4518</v>
      </c>
      <c r="F192" s="0" t="s">
        <v>4012</v>
      </c>
      <c r="G192" s="0" t="s">
        <v>4519</v>
      </c>
    </row>
    <row customHeight="1" ht="11.25">
      <c r="A193" s="0" t="s">
        <v>16</v>
      </c>
      <c r="B193" s="0" t="s">
        <v>4437</v>
      </c>
      <c r="C193" s="0" t="s">
        <v>4438</v>
      </c>
      <c r="D193" s="0" t="s">
        <v>4520</v>
      </c>
      <c r="E193" s="0" t="s">
        <v>4521</v>
      </c>
      <c r="F193" s="0" t="s">
        <v>4012</v>
      </c>
      <c r="G193" s="0" t="s">
        <v>4522</v>
      </c>
    </row>
    <row customHeight="1" ht="11.25">
      <c r="A194" s="0" t="s">
        <v>16</v>
      </c>
      <c r="B194" s="0" t="s">
        <v>4437</v>
      </c>
      <c r="C194" s="0" t="s">
        <v>4438</v>
      </c>
      <c r="D194" s="0" t="s">
        <v>4523</v>
      </c>
      <c r="E194" s="0" t="s">
        <v>4524</v>
      </c>
      <c r="F194" s="0" t="s">
        <v>4012</v>
      </c>
      <c r="G194" s="0" t="s">
        <v>4525</v>
      </c>
    </row>
    <row customHeight="1" ht="11.25">
      <c r="A195" s="0" t="s">
        <v>16</v>
      </c>
      <c r="B195" s="0" t="s">
        <v>4437</v>
      </c>
      <c r="C195" s="0" t="s">
        <v>4438</v>
      </c>
      <c r="D195" s="0" t="s">
        <v>4526</v>
      </c>
      <c r="E195" s="0" t="s">
        <v>4527</v>
      </c>
      <c r="F195" s="0" t="s">
        <v>4012</v>
      </c>
      <c r="G195" s="0" t="s">
        <v>4528</v>
      </c>
    </row>
    <row customHeight="1" ht="11.25">
      <c r="A196" s="0" t="s">
        <v>16</v>
      </c>
      <c r="B196" s="0" t="s">
        <v>4437</v>
      </c>
      <c r="C196" s="0" t="s">
        <v>4438</v>
      </c>
      <c r="D196" s="0" t="s">
        <v>4529</v>
      </c>
      <c r="E196" s="0" t="s">
        <v>4530</v>
      </c>
      <c r="F196" s="0" t="s">
        <v>4019</v>
      </c>
      <c r="G196" s="0" t="s">
        <v>4531</v>
      </c>
    </row>
    <row customHeight="1" ht="11.25">
      <c r="A197" s="0" t="s">
        <v>16</v>
      </c>
      <c r="B197" s="0" t="s">
        <v>4532</v>
      </c>
      <c r="C197" s="0" t="s">
        <v>4533</v>
      </c>
      <c r="D197" s="0" t="s">
        <v>4534</v>
      </c>
      <c r="E197" s="0" t="s">
        <v>4535</v>
      </c>
      <c r="F197" s="0" t="s">
        <v>4012</v>
      </c>
      <c r="G197" s="0" t="s">
        <v>4536</v>
      </c>
    </row>
    <row customHeight="1" ht="11.25">
      <c r="A198" s="0" t="s">
        <v>16</v>
      </c>
      <c r="B198" s="0" t="s">
        <v>4532</v>
      </c>
      <c r="C198" s="0" t="s">
        <v>4533</v>
      </c>
      <c r="D198" s="0" t="s">
        <v>4537</v>
      </c>
      <c r="E198" s="0" t="s">
        <v>4538</v>
      </c>
      <c r="F198" s="0" t="s">
        <v>4030</v>
      </c>
      <c r="G198" s="0" t="s">
        <v>4539</v>
      </c>
    </row>
    <row customHeight="1" ht="11.25">
      <c r="A199" s="0" t="s">
        <v>16</v>
      </c>
      <c r="B199" s="0" t="s">
        <v>4532</v>
      </c>
      <c r="C199" s="0" t="s">
        <v>4533</v>
      </c>
      <c r="D199" s="0" t="s">
        <v>4540</v>
      </c>
      <c r="E199" s="0" t="s">
        <v>4541</v>
      </c>
      <c r="F199" s="0" t="s">
        <v>4030</v>
      </c>
      <c r="G199" s="0" t="s">
        <v>4542</v>
      </c>
    </row>
    <row customHeight="1" ht="11.25">
      <c r="A200" s="0" t="s">
        <v>16</v>
      </c>
      <c r="B200" s="0" t="s">
        <v>4532</v>
      </c>
      <c r="C200" s="0" t="s">
        <v>4533</v>
      </c>
      <c r="D200" s="0" t="s">
        <v>4543</v>
      </c>
      <c r="E200" s="0" t="s">
        <v>4544</v>
      </c>
      <c r="F200" s="0" t="s">
        <v>4049</v>
      </c>
      <c r="G200" s="0" t="s">
        <v>4545</v>
      </c>
    </row>
    <row customHeight="1" ht="11.25">
      <c r="A201" s="0" t="s">
        <v>16</v>
      </c>
      <c r="B201" s="0" t="s">
        <v>4532</v>
      </c>
      <c r="C201" s="0" t="s">
        <v>4533</v>
      </c>
      <c r="D201" s="0" t="s">
        <v>4532</v>
      </c>
      <c r="E201" s="0" t="s">
        <v>4533</v>
      </c>
      <c r="F201" s="0" t="s">
        <v>4009</v>
      </c>
      <c r="G201" s="0" t="s">
        <v>4546</v>
      </c>
    </row>
    <row customHeight="1" ht="11.25">
      <c r="A202" s="0" t="s">
        <v>16</v>
      </c>
      <c r="B202" s="0" t="s">
        <v>4532</v>
      </c>
      <c r="C202" s="0" t="s">
        <v>4533</v>
      </c>
      <c r="D202" s="0" t="s">
        <v>4547</v>
      </c>
      <c r="E202" s="0" t="s">
        <v>4548</v>
      </c>
      <c r="F202" s="0" t="s">
        <v>4019</v>
      </c>
      <c r="G202" s="0" t="s">
        <v>4549</v>
      </c>
    </row>
    <row customHeight="1" ht="11.25">
      <c r="A203" s="0" t="s">
        <v>16</v>
      </c>
      <c r="B203" s="0" t="s">
        <v>4532</v>
      </c>
      <c r="C203" s="0" t="s">
        <v>4533</v>
      </c>
      <c r="D203" s="0" t="s">
        <v>4550</v>
      </c>
      <c r="E203" s="0" t="s">
        <v>4551</v>
      </c>
      <c r="F203" s="0" t="s">
        <v>4019</v>
      </c>
      <c r="G203" s="0" t="s">
        <v>4552</v>
      </c>
    </row>
    <row customHeight="1" ht="11.25">
      <c r="A204" s="0" t="s">
        <v>16</v>
      </c>
      <c r="B204" s="0" t="s">
        <v>4532</v>
      </c>
      <c r="C204" s="0" t="s">
        <v>4533</v>
      </c>
      <c r="D204" s="0" t="s">
        <v>4553</v>
      </c>
      <c r="E204" s="0" t="s">
        <v>4554</v>
      </c>
      <c r="F204" s="0" t="s">
        <v>4019</v>
      </c>
      <c r="G204" s="0" t="s">
        <v>4555</v>
      </c>
    </row>
    <row customHeight="1" ht="11.25">
      <c r="A205" s="0" t="s">
        <v>16</v>
      </c>
      <c r="B205" s="0" t="s">
        <v>4532</v>
      </c>
      <c r="C205" s="0" t="s">
        <v>4533</v>
      </c>
      <c r="D205" s="0" t="s">
        <v>4556</v>
      </c>
      <c r="E205" s="0" t="s">
        <v>4557</v>
      </c>
      <c r="F205" s="0" t="s">
        <v>4019</v>
      </c>
      <c r="G205" s="0" t="s">
        <v>4558</v>
      </c>
    </row>
    <row customHeight="1" ht="11.25">
      <c r="A206" s="0" t="s">
        <v>16</v>
      </c>
      <c r="B206" s="0" t="s">
        <v>4532</v>
      </c>
      <c r="C206" s="0" t="s">
        <v>4533</v>
      </c>
      <c r="D206" s="0" t="s">
        <v>4559</v>
      </c>
      <c r="E206" s="0" t="s">
        <v>4560</v>
      </c>
      <c r="F206" s="0" t="s">
        <v>4012</v>
      </c>
      <c r="G206" s="0" t="s">
        <v>4561</v>
      </c>
    </row>
    <row customHeight="1" ht="11.25">
      <c r="A207" s="0" t="s">
        <v>16</v>
      </c>
      <c r="B207" s="0" t="s">
        <v>4532</v>
      </c>
      <c r="C207" s="0" t="s">
        <v>4533</v>
      </c>
      <c r="D207" s="0" t="s">
        <v>4562</v>
      </c>
      <c r="E207" s="0" t="s">
        <v>4563</v>
      </c>
      <c r="F207" s="0" t="s">
        <v>4012</v>
      </c>
      <c r="G207" s="0" t="s">
        <v>4564</v>
      </c>
    </row>
    <row customHeight="1" ht="11.25">
      <c r="A208" s="0" t="s">
        <v>16</v>
      </c>
      <c r="B208" s="0" t="s">
        <v>4565</v>
      </c>
      <c r="C208" s="0" t="s">
        <v>4566</v>
      </c>
      <c r="D208" s="0" t="s">
        <v>4567</v>
      </c>
      <c r="E208" s="0" t="s">
        <v>4568</v>
      </c>
      <c r="F208" s="0" t="s">
        <v>4012</v>
      </c>
      <c r="G208" s="0" t="s">
        <v>4569</v>
      </c>
    </row>
    <row customHeight="1" ht="11.25">
      <c r="A209" s="0" t="s">
        <v>16</v>
      </c>
      <c r="B209" s="0" t="s">
        <v>4565</v>
      </c>
      <c r="C209" s="0" t="s">
        <v>4566</v>
      </c>
      <c r="D209" s="0" t="s">
        <v>4565</v>
      </c>
      <c r="E209" s="0" t="s">
        <v>4566</v>
      </c>
      <c r="F209" s="0" t="s">
        <v>4009</v>
      </c>
      <c r="G209" s="0" t="s">
        <v>4570</v>
      </c>
    </row>
    <row customHeight="1" ht="11.25">
      <c r="A210" s="0" t="s">
        <v>16</v>
      </c>
      <c r="B210" s="0" t="s">
        <v>4565</v>
      </c>
      <c r="C210" s="0" t="s">
        <v>4566</v>
      </c>
      <c r="D210" s="0" t="s">
        <v>4571</v>
      </c>
      <c r="E210" s="0" t="s">
        <v>4572</v>
      </c>
      <c r="F210" s="0" t="s">
        <v>4012</v>
      </c>
      <c r="G210" s="0" t="s">
        <v>4573</v>
      </c>
    </row>
    <row customHeight="1" ht="11.25">
      <c r="A211" s="0" t="s">
        <v>16</v>
      </c>
      <c r="B211" s="0" t="s">
        <v>4565</v>
      </c>
      <c r="C211" s="0" t="s">
        <v>4566</v>
      </c>
      <c r="D211" s="0" t="s">
        <v>4574</v>
      </c>
      <c r="E211" s="0" t="s">
        <v>4575</v>
      </c>
      <c r="F211" s="0" t="s">
        <v>4012</v>
      </c>
      <c r="G211" s="0" t="s">
        <v>4576</v>
      </c>
    </row>
    <row customHeight="1" ht="11.25">
      <c r="A212" s="0" t="s">
        <v>16</v>
      </c>
      <c r="B212" s="0" t="s">
        <v>4565</v>
      </c>
      <c r="C212" s="0" t="s">
        <v>4566</v>
      </c>
      <c r="D212" s="0" t="s">
        <v>4577</v>
      </c>
      <c r="E212" s="0" t="s">
        <v>4578</v>
      </c>
      <c r="F212" s="0" t="s">
        <v>4012</v>
      </c>
      <c r="G212" s="0" t="s">
        <v>4579</v>
      </c>
    </row>
    <row customHeight="1" ht="11.25">
      <c r="A213" s="0" t="s">
        <v>16</v>
      </c>
      <c r="B213" s="0" t="s">
        <v>4565</v>
      </c>
      <c r="C213" s="0" t="s">
        <v>4566</v>
      </c>
      <c r="D213" s="0" t="s">
        <v>4580</v>
      </c>
      <c r="E213" s="0" t="s">
        <v>4581</v>
      </c>
      <c r="F213" s="0" t="s">
        <v>4012</v>
      </c>
      <c r="G213" s="0" t="s">
        <v>4582</v>
      </c>
    </row>
    <row customHeight="1" ht="11.25">
      <c r="A214" s="0" t="s">
        <v>16</v>
      </c>
      <c r="B214" s="0" t="s">
        <v>4565</v>
      </c>
      <c r="C214" s="0" t="s">
        <v>4566</v>
      </c>
      <c r="D214" s="0" t="s">
        <v>4583</v>
      </c>
      <c r="E214" s="0" t="s">
        <v>4584</v>
      </c>
      <c r="F214" s="0" t="s">
        <v>4012</v>
      </c>
      <c r="G214" s="0" t="s">
        <v>4585</v>
      </c>
    </row>
    <row customHeight="1" ht="11.25">
      <c r="A215" s="0" t="s">
        <v>16</v>
      </c>
      <c r="B215" s="0" t="s">
        <v>4586</v>
      </c>
      <c r="C215" s="0" t="s">
        <v>4587</v>
      </c>
      <c r="D215" s="0" t="s">
        <v>4588</v>
      </c>
      <c r="E215" s="0" t="s">
        <v>4589</v>
      </c>
      <c r="F215" s="0" t="s">
        <v>4012</v>
      </c>
      <c r="G215" s="0" t="s">
        <v>4590</v>
      </c>
    </row>
    <row customHeight="1" ht="11.25">
      <c r="A216" s="0" t="s">
        <v>16</v>
      </c>
      <c r="B216" s="0" t="s">
        <v>4586</v>
      </c>
      <c r="C216" s="0" t="s">
        <v>4587</v>
      </c>
      <c r="D216" s="0" t="s">
        <v>4066</v>
      </c>
      <c r="E216" s="0" t="s">
        <v>4591</v>
      </c>
      <c r="F216" s="0" t="s">
        <v>4012</v>
      </c>
      <c r="G216" s="0" t="s">
        <v>4592</v>
      </c>
    </row>
    <row customHeight="1" ht="11.25">
      <c r="A217" s="0" t="s">
        <v>16</v>
      </c>
      <c r="B217" s="0" t="s">
        <v>4586</v>
      </c>
      <c r="C217" s="0" t="s">
        <v>4587</v>
      </c>
      <c r="D217" s="0" t="s">
        <v>4593</v>
      </c>
      <c r="E217" s="0" t="s">
        <v>4594</v>
      </c>
      <c r="F217" s="0" t="s">
        <v>4012</v>
      </c>
      <c r="G217" s="0" t="s">
        <v>4595</v>
      </c>
    </row>
    <row customHeight="1" ht="11.25">
      <c r="A218" s="0" t="s">
        <v>16</v>
      </c>
      <c r="B218" s="0" t="s">
        <v>4586</v>
      </c>
      <c r="C218" s="0" t="s">
        <v>4587</v>
      </c>
      <c r="D218" s="0" t="s">
        <v>4596</v>
      </c>
      <c r="E218" s="0" t="s">
        <v>4597</v>
      </c>
      <c r="F218" s="0" t="s">
        <v>4012</v>
      </c>
      <c r="G218" s="0" t="s">
        <v>4598</v>
      </c>
    </row>
    <row customHeight="1" ht="11.25">
      <c r="A219" s="0" t="s">
        <v>16</v>
      </c>
      <c r="B219" s="0" t="s">
        <v>4586</v>
      </c>
      <c r="C219" s="0" t="s">
        <v>4587</v>
      </c>
      <c r="D219" s="0" t="s">
        <v>4599</v>
      </c>
      <c r="E219" s="0" t="s">
        <v>4600</v>
      </c>
      <c r="F219" s="0" t="s">
        <v>4012</v>
      </c>
      <c r="G219" s="0" t="s">
        <v>4601</v>
      </c>
    </row>
    <row customHeight="1" ht="11.25">
      <c r="A220" s="0" t="s">
        <v>16</v>
      </c>
      <c r="B220" s="0" t="s">
        <v>4586</v>
      </c>
      <c r="C220" s="0" t="s">
        <v>4587</v>
      </c>
      <c r="D220" s="0" t="s">
        <v>4602</v>
      </c>
      <c r="E220" s="0" t="s">
        <v>4603</v>
      </c>
      <c r="F220" s="0" t="s">
        <v>4012</v>
      </c>
      <c r="G220" s="0" t="s">
        <v>4604</v>
      </c>
    </row>
    <row customHeight="1" ht="11.25">
      <c r="A221" s="0" t="s">
        <v>16</v>
      </c>
      <c r="B221" s="0" t="s">
        <v>4586</v>
      </c>
      <c r="C221" s="0" t="s">
        <v>4587</v>
      </c>
      <c r="D221" s="0" t="s">
        <v>4605</v>
      </c>
      <c r="E221" s="0" t="s">
        <v>4606</v>
      </c>
      <c r="F221" s="0" t="s">
        <v>4012</v>
      </c>
      <c r="G221" s="0" t="s">
        <v>4607</v>
      </c>
    </row>
    <row customHeight="1" ht="11.25">
      <c r="A222" s="0" t="s">
        <v>16</v>
      </c>
      <c r="B222" s="0" t="s">
        <v>4586</v>
      </c>
      <c r="C222" s="0" t="s">
        <v>4587</v>
      </c>
      <c r="D222" s="0" t="s">
        <v>4608</v>
      </c>
      <c r="E222" s="0" t="s">
        <v>4609</v>
      </c>
      <c r="F222" s="0" t="s">
        <v>4012</v>
      </c>
      <c r="G222" s="0" t="s">
        <v>4610</v>
      </c>
    </row>
    <row customHeight="1" ht="11.25">
      <c r="A223" s="0" t="s">
        <v>16</v>
      </c>
      <c r="B223" s="0" t="s">
        <v>4586</v>
      </c>
      <c r="C223" s="0" t="s">
        <v>4587</v>
      </c>
      <c r="D223" s="0" t="s">
        <v>4586</v>
      </c>
      <c r="E223" s="0" t="s">
        <v>4587</v>
      </c>
      <c r="F223" s="0" t="s">
        <v>4009</v>
      </c>
      <c r="G223" s="0" t="s">
        <v>4611</v>
      </c>
    </row>
    <row customHeight="1" ht="11.25">
      <c r="A224" s="0" t="s">
        <v>16</v>
      </c>
      <c r="B224" s="0" t="s">
        <v>4586</v>
      </c>
      <c r="C224" s="0" t="s">
        <v>4587</v>
      </c>
      <c r="D224" s="0" t="s">
        <v>4612</v>
      </c>
      <c r="E224" s="0" t="s">
        <v>4613</v>
      </c>
      <c r="F224" s="0" t="s">
        <v>4012</v>
      </c>
      <c r="G224" s="0" t="s">
        <v>4614</v>
      </c>
    </row>
    <row customHeight="1" ht="11.25">
      <c r="A225" s="0" t="s">
        <v>16</v>
      </c>
      <c r="B225" s="0" t="s">
        <v>4586</v>
      </c>
      <c r="C225" s="0" t="s">
        <v>4587</v>
      </c>
      <c r="D225" s="0" t="s">
        <v>4615</v>
      </c>
      <c r="E225" s="0" t="s">
        <v>4616</v>
      </c>
      <c r="F225" s="0" t="s">
        <v>4012</v>
      </c>
      <c r="G225" s="0" t="s">
        <v>4617</v>
      </c>
    </row>
    <row customHeight="1" ht="11.25">
      <c r="A226" s="0" t="s">
        <v>16</v>
      </c>
      <c r="B226" s="0" t="s">
        <v>4586</v>
      </c>
      <c r="C226" s="0" t="s">
        <v>4587</v>
      </c>
      <c r="D226" s="0" t="s">
        <v>4618</v>
      </c>
      <c r="E226" s="0" t="s">
        <v>4619</v>
      </c>
      <c r="F226" s="0" t="s">
        <v>4012</v>
      </c>
      <c r="G226" s="0" t="s">
        <v>4620</v>
      </c>
    </row>
    <row customHeight="1" ht="11.25">
      <c r="A227" s="0" t="s">
        <v>16</v>
      </c>
      <c r="B227" s="0" t="s">
        <v>4586</v>
      </c>
      <c r="C227" s="0" t="s">
        <v>4587</v>
      </c>
      <c r="D227" s="0" t="s">
        <v>4621</v>
      </c>
      <c r="E227" s="0" t="s">
        <v>4622</v>
      </c>
      <c r="F227" s="0" t="s">
        <v>4012</v>
      </c>
      <c r="G227" s="0" t="s">
        <v>4623</v>
      </c>
    </row>
    <row customHeight="1" ht="11.25">
      <c r="A228" s="0" t="s">
        <v>16</v>
      </c>
      <c r="B228" s="0" t="s">
        <v>4586</v>
      </c>
      <c r="C228" s="0" t="s">
        <v>4587</v>
      </c>
      <c r="D228" s="0" t="s">
        <v>4624</v>
      </c>
      <c r="E228" s="0" t="s">
        <v>4625</v>
      </c>
      <c r="F228" s="0" t="s">
        <v>4012</v>
      </c>
      <c r="G228" s="0" t="s">
        <v>4626</v>
      </c>
    </row>
    <row customHeight="1" ht="11.25">
      <c r="A229" s="0" t="s">
        <v>16</v>
      </c>
      <c r="B229" s="0" t="s">
        <v>4586</v>
      </c>
      <c r="C229" s="0" t="s">
        <v>4587</v>
      </c>
      <c r="D229" s="0" t="s">
        <v>4627</v>
      </c>
      <c r="E229" s="0" t="s">
        <v>4628</v>
      </c>
      <c r="F229" s="0" t="s">
        <v>4012</v>
      </c>
      <c r="G229" s="0" t="s">
        <v>4629</v>
      </c>
    </row>
    <row customHeight="1" ht="11.25">
      <c r="A230" s="0" t="s">
        <v>16</v>
      </c>
      <c r="B230" s="0" t="s">
        <v>4586</v>
      </c>
      <c r="C230" s="0" t="s">
        <v>4587</v>
      </c>
      <c r="D230" s="0" t="s">
        <v>4630</v>
      </c>
      <c r="E230" s="0" t="s">
        <v>4631</v>
      </c>
      <c r="F230" s="0" t="s">
        <v>4012</v>
      </c>
      <c r="G230" s="0" t="s">
        <v>4632</v>
      </c>
    </row>
    <row customHeight="1" ht="11.25">
      <c r="A231" s="0" t="s">
        <v>16</v>
      </c>
      <c r="B231" s="0" t="s">
        <v>4586</v>
      </c>
      <c r="C231" s="0" t="s">
        <v>4587</v>
      </c>
      <c r="D231" s="0" t="s">
        <v>4633</v>
      </c>
      <c r="E231" s="0" t="s">
        <v>4634</v>
      </c>
      <c r="F231" s="0" t="s">
        <v>4012</v>
      </c>
      <c r="G231" s="0" t="s">
        <v>4635</v>
      </c>
    </row>
    <row customHeight="1" ht="11.25">
      <c r="A232" s="0" t="s">
        <v>16</v>
      </c>
      <c r="B232" s="0" t="s">
        <v>4586</v>
      </c>
      <c r="C232" s="0" t="s">
        <v>4587</v>
      </c>
      <c r="D232" s="0" t="s">
        <v>4636</v>
      </c>
      <c r="E232" s="0" t="s">
        <v>4637</v>
      </c>
      <c r="F232" s="0" t="s">
        <v>4012</v>
      </c>
      <c r="G232" s="0" t="s">
        <v>4638</v>
      </c>
    </row>
    <row customHeight="1" ht="11.25">
      <c r="A233" s="0" t="s">
        <v>16</v>
      </c>
      <c r="B233" s="0" t="s">
        <v>4586</v>
      </c>
      <c r="C233" s="0" t="s">
        <v>4587</v>
      </c>
      <c r="D233" s="0" t="s">
        <v>4639</v>
      </c>
      <c r="E233" s="0" t="s">
        <v>4640</v>
      </c>
      <c r="F233" s="0" t="s">
        <v>4012</v>
      </c>
      <c r="G233" s="0" t="s">
        <v>4641</v>
      </c>
    </row>
    <row customHeight="1" ht="11.25">
      <c r="A234" s="0" t="s">
        <v>16</v>
      </c>
      <c r="B234" s="0" t="s">
        <v>4586</v>
      </c>
      <c r="C234" s="0" t="s">
        <v>4587</v>
      </c>
      <c r="D234" s="0" t="s">
        <v>4642</v>
      </c>
      <c r="E234" s="0" t="s">
        <v>4643</v>
      </c>
      <c r="F234" s="0" t="s">
        <v>4012</v>
      </c>
      <c r="G234" s="0" t="s">
        <v>4644</v>
      </c>
    </row>
    <row customHeight="1" ht="11.25">
      <c r="A235" s="0" t="s">
        <v>16</v>
      </c>
      <c r="B235" s="0" t="s">
        <v>100</v>
      </c>
      <c r="C235" s="0" t="s">
        <v>4645</v>
      </c>
      <c r="D235" s="0" t="s">
        <v>101</v>
      </c>
      <c r="E235" s="0" t="s">
        <v>102</v>
      </c>
      <c r="F235" s="0" t="s">
        <v>4030</v>
      </c>
      <c r="G235" s="0" t="s">
        <v>99</v>
      </c>
    </row>
    <row customHeight="1" ht="11.25">
      <c r="A236" s="0" t="s">
        <v>16</v>
      </c>
      <c r="B236" s="0" t="s">
        <v>100</v>
      </c>
      <c r="C236" s="0" t="s">
        <v>4645</v>
      </c>
      <c r="D236" s="0" t="s">
        <v>4646</v>
      </c>
      <c r="E236" s="0" t="s">
        <v>4647</v>
      </c>
      <c r="F236" s="0" t="s">
        <v>4012</v>
      </c>
      <c r="G236" s="0" t="s">
        <v>4648</v>
      </c>
    </row>
    <row customHeight="1" ht="11.25">
      <c r="A237" s="0" t="s">
        <v>16</v>
      </c>
      <c r="B237" s="0" t="s">
        <v>100</v>
      </c>
      <c r="C237" s="0" t="s">
        <v>4645</v>
      </c>
      <c r="D237" s="0" t="s">
        <v>4649</v>
      </c>
      <c r="E237" s="0" t="s">
        <v>4650</v>
      </c>
      <c r="F237" s="0" t="s">
        <v>4049</v>
      </c>
      <c r="G237" s="0" t="s">
        <v>4651</v>
      </c>
    </row>
    <row customHeight="1" ht="11.25">
      <c r="A238" s="0" t="s">
        <v>16</v>
      </c>
      <c r="B238" s="0" t="s">
        <v>100</v>
      </c>
      <c r="C238" s="0" t="s">
        <v>4645</v>
      </c>
      <c r="D238" s="0" t="s">
        <v>100</v>
      </c>
      <c r="E238" s="0" t="s">
        <v>4645</v>
      </c>
      <c r="F238" s="0" t="s">
        <v>4009</v>
      </c>
      <c r="G238" s="0" t="s">
        <v>4652</v>
      </c>
    </row>
    <row customHeight="1" ht="11.25">
      <c r="A239" s="0" t="s">
        <v>16</v>
      </c>
      <c r="B239" s="0" t="s">
        <v>100</v>
      </c>
      <c r="C239" s="0" t="s">
        <v>4645</v>
      </c>
      <c r="D239" s="0" t="s">
        <v>112</v>
      </c>
      <c r="E239" s="0" t="s">
        <v>113</v>
      </c>
      <c r="F239" s="0" t="s">
        <v>4019</v>
      </c>
      <c r="G239" s="0" t="s">
        <v>111</v>
      </c>
    </row>
    <row customHeight="1" ht="11.25">
      <c r="A240" s="0" t="s">
        <v>16</v>
      </c>
      <c r="B240" s="0" t="s">
        <v>100</v>
      </c>
      <c r="C240" s="0" t="s">
        <v>4645</v>
      </c>
      <c r="D240" s="0" t="s">
        <v>4653</v>
      </c>
      <c r="E240" s="0" t="s">
        <v>4654</v>
      </c>
      <c r="F240" s="0" t="s">
        <v>4019</v>
      </c>
      <c r="G240" s="0" t="s">
        <v>4655</v>
      </c>
    </row>
    <row customHeight="1" ht="11.25">
      <c r="A241" s="0" t="s">
        <v>16</v>
      </c>
      <c r="B241" s="0" t="s">
        <v>100</v>
      </c>
      <c r="C241" s="0" t="s">
        <v>4645</v>
      </c>
      <c r="D241" s="0" t="s">
        <v>108</v>
      </c>
      <c r="E241" s="0" t="s">
        <v>109</v>
      </c>
      <c r="F241" s="0" t="s">
        <v>4019</v>
      </c>
      <c r="G241" s="0" t="s">
        <v>107</v>
      </c>
    </row>
    <row customHeight="1" ht="11.25">
      <c r="A242" s="0" t="s">
        <v>16</v>
      </c>
      <c r="B242" s="0" t="s">
        <v>100</v>
      </c>
      <c r="C242" s="0" t="s">
        <v>4645</v>
      </c>
      <c r="D242" s="0" t="s">
        <v>4656</v>
      </c>
      <c r="E242" s="0" t="s">
        <v>4657</v>
      </c>
      <c r="F242" s="0" t="s">
        <v>4019</v>
      </c>
      <c r="G242" s="0" t="s">
        <v>4658</v>
      </c>
    </row>
    <row customHeight="1" ht="11.25">
      <c r="A243" s="0" t="s">
        <v>16</v>
      </c>
      <c r="B243" s="0" t="s">
        <v>100</v>
      </c>
      <c r="C243" s="0" t="s">
        <v>4645</v>
      </c>
      <c r="D243" s="0" t="s">
        <v>116</v>
      </c>
      <c r="E243" s="0" t="s">
        <v>117</v>
      </c>
      <c r="F243" s="0" t="s">
        <v>4019</v>
      </c>
      <c r="G243" s="0" t="s">
        <v>115</v>
      </c>
    </row>
    <row customHeight="1" ht="11.25">
      <c r="A244" s="0" t="s">
        <v>16</v>
      </c>
      <c r="B244" s="0" t="s">
        <v>4659</v>
      </c>
      <c r="C244" s="0" t="s">
        <v>4660</v>
      </c>
      <c r="D244" s="0" t="s">
        <v>4661</v>
      </c>
      <c r="E244" s="0" t="s">
        <v>4662</v>
      </c>
      <c r="F244" s="0" t="s">
        <v>4012</v>
      </c>
      <c r="G244" s="0" t="s">
        <v>4663</v>
      </c>
    </row>
    <row customHeight="1" ht="11.25">
      <c r="A245" s="0" t="s">
        <v>16</v>
      </c>
      <c r="B245" s="0" t="s">
        <v>4659</v>
      </c>
      <c r="C245" s="0" t="s">
        <v>4660</v>
      </c>
      <c r="D245" s="0" t="s">
        <v>4659</v>
      </c>
      <c r="E245" s="0" t="s">
        <v>4660</v>
      </c>
      <c r="F245" s="0" t="s">
        <v>4009</v>
      </c>
      <c r="G245" s="0" t="s">
        <v>4664</v>
      </c>
    </row>
    <row customHeight="1" ht="11.25">
      <c r="A246" s="0" t="s">
        <v>16</v>
      </c>
      <c r="B246" s="0" t="s">
        <v>4659</v>
      </c>
      <c r="C246" s="0" t="s">
        <v>4660</v>
      </c>
      <c r="D246" s="0" t="s">
        <v>4665</v>
      </c>
      <c r="E246" s="0" t="s">
        <v>4666</v>
      </c>
      <c r="F246" s="0" t="s">
        <v>4019</v>
      </c>
      <c r="G246" s="0" t="s">
        <v>4667</v>
      </c>
    </row>
    <row customHeight="1" ht="11.25">
      <c r="A247" s="0" t="s">
        <v>16</v>
      </c>
      <c r="B247" s="0" t="s">
        <v>4659</v>
      </c>
      <c r="C247" s="0" t="s">
        <v>4660</v>
      </c>
      <c r="D247" s="0" t="s">
        <v>4668</v>
      </c>
      <c r="E247" s="0" t="s">
        <v>4669</v>
      </c>
      <c r="F247" s="0" t="s">
        <v>4012</v>
      </c>
      <c r="G247" s="0" t="s">
        <v>4670</v>
      </c>
    </row>
    <row customHeight="1" ht="11.25">
      <c r="A248" s="0" t="s">
        <v>16</v>
      </c>
      <c r="B248" s="0" t="s">
        <v>4659</v>
      </c>
      <c r="C248" s="0" t="s">
        <v>4660</v>
      </c>
      <c r="D248" s="0" t="s">
        <v>4671</v>
      </c>
      <c r="E248" s="0" t="s">
        <v>4672</v>
      </c>
      <c r="F248" s="0" t="s">
        <v>4012</v>
      </c>
      <c r="G248" s="0" t="s">
        <v>4673</v>
      </c>
    </row>
    <row customHeight="1" ht="11.25">
      <c r="A249" s="0" t="s">
        <v>16</v>
      </c>
      <c r="B249" s="0" t="s">
        <v>4674</v>
      </c>
      <c r="C249" s="0" t="s">
        <v>4675</v>
      </c>
      <c r="D249" s="0" t="s">
        <v>4676</v>
      </c>
      <c r="E249" s="0" t="s">
        <v>4677</v>
      </c>
      <c r="F249" s="0" t="s">
        <v>4012</v>
      </c>
      <c r="G249" s="0" t="s">
        <v>4678</v>
      </c>
    </row>
    <row customHeight="1" ht="11.25">
      <c r="A250" s="0" t="s">
        <v>16</v>
      </c>
      <c r="B250" s="0" t="s">
        <v>4674</v>
      </c>
      <c r="C250" s="0" t="s">
        <v>4675</v>
      </c>
      <c r="D250" s="0" t="s">
        <v>4679</v>
      </c>
      <c r="E250" s="0" t="s">
        <v>4680</v>
      </c>
      <c r="F250" s="0" t="s">
        <v>4012</v>
      </c>
      <c r="G250" s="0" t="s">
        <v>4681</v>
      </c>
    </row>
    <row customHeight="1" ht="11.25">
      <c r="A251" s="0" t="s">
        <v>16</v>
      </c>
      <c r="B251" s="0" t="s">
        <v>4674</v>
      </c>
      <c r="C251" s="0" t="s">
        <v>4675</v>
      </c>
      <c r="D251" s="0" t="s">
        <v>4682</v>
      </c>
      <c r="E251" s="0" t="s">
        <v>4683</v>
      </c>
      <c r="F251" s="0" t="s">
        <v>4030</v>
      </c>
      <c r="G251" s="0" t="s">
        <v>4684</v>
      </c>
    </row>
    <row customHeight="1" ht="11.25">
      <c r="A252" s="0" t="s">
        <v>16</v>
      </c>
      <c r="B252" s="0" t="s">
        <v>4674</v>
      </c>
      <c r="C252" s="0" t="s">
        <v>4675</v>
      </c>
      <c r="D252" s="0" t="s">
        <v>4685</v>
      </c>
      <c r="E252" s="0" t="s">
        <v>4686</v>
      </c>
      <c r="F252" s="0" t="s">
        <v>4012</v>
      </c>
      <c r="G252" s="0" t="s">
        <v>4687</v>
      </c>
    </row>
    <row customHeight="1" ht="11.25">
      <c r="A253" s="0" t="s">
        <v>16</v>
      </c>
      <c r="B253" s="0" t="s">
        <v>4674</v>
      </c>
      <c r="C253" s="0" t="s">
        <v>4675</v>
      </c>
      <c r="D253" s="0" t="s">
        <v>4593</v>
      </c>
      <c r="E253" s="0" t="s">
        <v>4688</v>
      </c>
      <c r="F253" s="0" t="s">
        <v>4012</v>
      </c>
      <c r="G253" s="0" t="s">
        <v>4689</v>
      </c>
    </row>
    <row customHeight="1" ht="11.25">
      <c r="A254" s="0" t="s">
        <v>16</v>
      </c>
      <c r="B254" s="0" t="s">
        <v>4674</v>
      </c>
      <c r="C254" s="0" t="s">
        <v>4675</v>
      </c>
      <c r="D254" s="0" t="s">
        <v>4690</v>
      </c>
      <c r="E254" s="0" t="s">
        <v>4691</v>
      </c>
      <c r="F254" s="0" t="s">
        <v>4012</v>
      </c>
      <c r="G254" s="0" t="s">
        <v>4692</v>
      </c>
    </row>
    <row customHeight="1" ht="11.25">
      <c r="A255" s="0" t="s">
        <v>16</v>
      </c>
      <c r="B255" s="0" t="s">
        <v>4674</v>
      </c>
      <c r="C255" s="0" t="s">
        <v>4675</v>
      </c>
      <c r="D255" s="0" t="s">
        <v>4693</v>
      </c>
      <c r="E255" s="0" t="s">
        <v>4694</v>
      </c>
      <c r="F255" s="0" t="s">
        <v>4012</v>
      </c>
      <c r="G255" s="0" t="s">
        <v>4695</v>
      </c>
    </row>
    <row customHeight="1" ht="11.25">
      <c r="A256" s="0" t="s">
        <v>16</v>
      </c>
      <c r="B256" s="0" t="s">
        <v>4674</v>
      </c>
      <c r="C256" s="0" t="s">
        <v>4675</v>
      </c>
      <c r="D256" s="0" t="s">
        <v>4696</v>
      </c>
      <c r="E256" s="0" t="s">
        <v>4697</v>
      </c>
      <c r="F256" s="0" t="s">
        <v>4012</v>
      </c>
      <c r="G256" s="0" t="s">
        <v>4698</v>
      </c>
    </row>
    <row customHeight="1" ht="11.25">
      <c r="A257" s="0" t="s">
        <v>16</v>
      </c>
      <c r="B257" s="0" t="s">
        <v>4674</v>
      </c>
      <c r="C257" s="0" t="s">
        <v>4675</v>
      </c>
      <c r="D257" s="0" t="s">
        <v>4699</v>
      </c>
      <c r="E257" s="0" t="s">
        <v>4700</v>
      </c>
      <c r="F257" s="0" t="s">
        <v>4012</v>
      </c>
      <c r="G257" s="0" t="s">
        <v>4701</v>
      </c>
    </row>
    <row customHeight="1" ht="11.25">
      <c r="A258" s="0" t="s">
        <v>16</v>
      </c>
      <c r="B258" s="0" t="s">
        <v>4674</v>
      </c>
      <c r="C258" s="0" t="s">
        <v>4675</v>
      </c>
      <c r="D258" s="0" t="s">
        <v>4702</v>
      </c>
      <c r="E258" s="0" t="s">
        <v>4703</v>
      </c>
      <c r="F258" s="0" t="s">
        <v>4012</v>
      </c>
      <c r="G258" s="0" t="s">
        <v>4704</v>
      </c>
    </row>
    <row customHeight="1" ht="11.25">
      <c r="A259" s="0" t="s">
        <v>16</v>
      </c>
      <c r="B259" s="0" t="s">
        <v>4674</v>
      </c>
      <c r="C259" s="0" t="s">
        <v>4675</v>
      </c>
      <c r="D259" s="0" t="s">
        <v>4705</v>
      </c>
      <c r="E259" s="0" t="s">
        <v>4706</v>
      </c>
      <c r="F259" s="0" t="s">
        <v>4012</v>
      </c>
      <c r="G259" s="0" t="s">
        <v>4707</v>
      </c>
    </row>
    <row customHeight="1" ht="11.25">
      <c r="A260" s="0" t="s">
        <v>16</v>
      </c>
      <c r="B260" s="0" t="s">
        <v>4674</v>
      </c>
      <c r="C260" s="0" t="s">
        <v>4675</v>
      </c>
      <c r="D260" s="0" t="s">
        <v>4708</v>
      </c>
      <c r="E260" s="0" t="s">
        <v>4709</v>
      </c>
      <c r="F260" s="0" t="s">
        <v>4012</v>
      </c>
      <c r="G260" s="0" t="s">
        <v>4710</v>
      </c>
    </row>
    <row customHeight="1" ht="11.25">
      <c r="A261" s="0" t="s">
        <v>16</v>
      </c>
      <c r="B261" s="0" t="s">
        <v>4674</v>
      </c>
      <c r="C261" s="0" t="s">
        <v>4675</v>
      </c>
      <c r="D261" s="0" t="s">
        <v>4674</v>
      </c>
      <c r="E261" s="0" t="s">
        <v>4675</v>
      </c>
      <c r="F261" s="0" t="s">
        <v>4009</v>
      </c>
      <c r="G261" s="0" t="s">
        <v>4711</v>
      </c>
    </row>
    <row customHeight="1" ht="11.25">
      <c r="A262" s="0" t="s">
        <v>16</v>
      </c>
      <c r="B262" s="0" t="s">
        <v>4674</v>
      </c>
      <c r="C262" s="0" t="s">
        <v>4675</v>
      </c>
      <c r="D262" s="0" t="s">
        <v>4325</v>
      </c>
      <c r="E262" s="0" t="s">
        <v>4712</v>
      </c>
      <c r="F262" s="0" t="s">
        <v>4012</v>
      </c>
      <c r="G262" s="0" t="s">
        <v>4713</v>
      </c>
    </row>
    <row customHeight="1" ht="11.25">
      <c r="A263" s="0" t="s">
        <v>16</v>
      </c>
      <c r="B263" s="0" t="s">
        <v>4674</v>
      </c>
      <c r="C263" s="0" t="s">
        <v>4675</v>
      </c>
      <c r="D263" s="0" t="s">
        <v>4714</v>
      </c>
      <c r="E263" s="0" t="s">
        <v>4715</v>
      </c>
      <c r="F263" s="0" t="s">
        <v>4012</v>
      </c>
      <c r="G263" s="0" t="s">
        <v>4716</v>
      </c>
    </row>
    <row customHeight="1" ht="11.25">
      <c r="A264" s="0" t="s">
        <v>16</v>
      </c>
      <c r="B264" s="0" t="s">
        <v>4674</v>
      </c>
      <c r="C264" s="0" t="s">
        <v>4675</v>
      </c>
      <c r="D264" s="0" t="s">
        <v>4717</v>
      </c>
      <c r="E264" s="0" t="s">
        <v>4718</v>
      </c>
      <c r="F264" s="0" t="s">
        <v>4012</v>
      </c>
      <c r="G264" s="0" t="s">
        <v>4719</v>
      </c>
    </row>
    <row customHeight="1" ht="11.25">
      <c r="A265" s="0" t="s">
        <v>16</v>
      </c>
      <c r="B265" s="0" t="s">
        <v>4674</v>
      </c>
      <c r="C265" s="0" t="s">
        <v>4675</v>
      </c>
      <c r="D265" s="0" t="s">
        <v>4720</v>
      </c>
      <c r="E265" s="0" t="s">
        <v>4721</v>
      </c>
      <c r="F265" s="0" t="s">
        <v>4012</v>
      </c>
      <c r="G265" s="0" t="s">
        <v>4722</v>
      </c>
    </row>
    <row customHeight="1" ht="11.25">
      <c r="A266" s="0" t="s">
        <v>16</v>
      </c>
      <c r="B266" s="0" t="s">
        <v>4674</v>
      </c>
      <c r="C266" s="0" t="s">
        <v>4675</v>
      </c>
      <c r="D266" s="0" t="s">
        <v>4723</v>
      </c>
      <c r="E266" s="0" t="s">
        <v>4724</v>
      </c>
      <c r="F266" s="0" t="s">
        <v>4012</v>
      </c>
      <c r="G266" s="0" t="s">
        <v>4725</v>
      </c>
    </row>
    <row customHeight="1" ht="11.25">
      <c r="A267" s="0" t="s">
        <v>16</v>
      </c>
      <c r="B267" s="0" t="s">
        <v>4674</v>
      </c>
      <c r="C267" s="0" t="s">
        <v>4675</v>
      </c>
      <c r="D267" s="0" t="s">
        <v>4726</v>
      </c>
      <c r="E267" s="0" t="s">
        <v>4727</v>
      </c>
      <c r="F267" s="0" t="s">
        <v>4012</v>
      </c>
      <c r="G267" s="0" t="s">
        <v>4728</v>
      </c>
    </row>
    <row customHeight="1" ht="11.25">
      <c r="A268" s="0" t="s">
        <v>16</v>
      </c>
      <c r="B268" s="0" t="s">
        <v>4674</v>
      </c>
      <c r="C268" s="0" t="s">
        <v>4675</v>
      </c>
      <c r="D268" s="0" t="s">
        <v>4729</v>
      </c>
      <c r="E268" s="0" t="s">
        <v>4730</v>
      </c>
      <c r="F268" s="0" t="s">
        <v>4012</v>
      </c>
      <c r="G268" s="0" t="s">
        <v>4731</v>
      </c>
    </row>
    <row customHeight="1" ht="11.25">
      <c r="A269" s="0" t="s">
        <v>16</v>
      </c>
      <c r="B269" s="0" t="s">
        <v>4732</v>
      </c>
      <c r="C269" s="0" t="s">
        <v>4733</v>
      </c>
      <c r="D269" s="0" t="s">
        <v>4734</v>
      </c>
      <c r="E269" s="0" t="s">
        <v>4735</v>
      </c>
      <c r="F269" s="0" t="s">
        <v>4012</v>
      </c>
      <c r="G269" s="0" t="s">
        <v>4736</v>
      </c>
    </row>
    <row customHeight="1" ht="11.25">
      <c r="A270" s="0" t="s">
        <v>16</v>
      </c>
      <c r="B270" s="0" t="s">
        <v>4732</v>
      </c>
      <c r="C270" s="0" t="s">
        <v>4733</v>
      </c>
      <c r="D270" s="0" t="s">
        <v>4737</v>
      </c>
      <c r="E270" s="0" t="s">
        <v>4738</v>
      </c>
      <c r="F270" s="0" t="s">
        <v>4049</v>
      </c>
      <c r="G270" s="0" t="s">
        <v>4739</v>
      </c>
    </row>
    <row customHeight="1" ht="11.25">
      <c r="A271" s="0" t="s">
        <v>16</v>
      </c>
      <c r="B271" s="0" t="s">
        <v>4732</v>
      </c>
      <c r="C271" s="0" t="s">
        <v>4733</v>
      </c>
      <c r="D271" s="0" t="s">
        <v>4740</v>
      </c>
      <c r="E271" s="0" t="s">
        <v>4741</v>
      </c>
      <c r="F271" s="0" t="s">
        <v>4012</v>
      </c>
      <c r="G271" s="0" t="s">
        <v>4742</v>
      </c>
    </row>
    <row customHeight="1" ht="11.25">
      <c r="A272" s="0" t="s">
        <v>16</v>
      </c>
      <c r="B272" s="0" t="s">
        <v>4732</v>
      </c>
      <c r="C272" s="0" t="s">
        <v>4733</v>
      </c>
      <c r="D272" s="0" t="s">
        <v>4732</v>
      </c>
      <c r="E272" s="0" t="s">
        <v>4733</v>
      </c>
      <c r="F272" s="0" t="s">
        <v>4009</v>
      </c>
      <c r="G272" s="0" t="s">
        <v>4743</v>
      </c>
    </row>
    <row customHeight="1" ht="11.25">
      <c r="A273" s="0" t="s">
        <v>16</v>
      </c>
      <c r="B273" s="0" t="s">
        <v>4732</v>
      </c>
      <c r="C273" s="0" t="s">
        <v>4733</v>
      </c>
      <c r="D273" s="0" t="s">
        <v>4744</v>
      </c>
      <c r="E273" s="0" t="s">
        <v>4745</v>
      </c>
      <c r="F273" s="0" t="s">
        <v>4019</v>
      </c>
      <c r="G273" s="0" t="s">
        <v>4746</v>
      </c>
    </row>
    <row customHeight="1" ht="11.25">
      <c r="A274" s="0" t="s">
        <v>16</v>
      </c>
      <c r="B274" s="0" t="s">
        <v>4732</v>
      </c>
      <c r="C274" s="0" t="s">
        <v>4733</v>
      </c>
      <c r="D274" s="0" t="s">
        <v>4747</v>
      </c>
      <c r="E274" s="0" t="s">
        <v>4748</v>
      </c>
      <c r="F274" s="0" t="s">
        <v>4019</v>
      </c>
      <c r="G274" s="0" t="s">
        <v>4749</v>
      </c>
    </row>
    <row customHeight="1" ht="11.25">
      <c r="A275" s="0" t="s">
        <v>16</v>
      </c>
      <c r="B275" s="0" t="s">
        <v>4732</v>
      </c>
      <c r="C275" s="0" t="s">
        <v>4733</v>
      </c>
      <c r="D275" s="0" t="s">
        <v>4750</v>
      </c>
      <c r="E275" s="0" t="s">
        <v>4751</v>
      </c>
      <c r="F275" s="0" t="s">
        <v>4012</v>
      </c>
      <c r="G275" s="0" t="s">
        <v>4752</v>
      </c>
    </row>
    <row customHeight="1" ht="11.25">
      <c r="A276" s="0" t="s">
        <v>16</v>
      </c>
      <c r="B276" s="0" t="s">
        <v>4732</v>
      </c>
      <c r="C276" s="0" t="s">
        <v>4733</v>
      </c>
      <c r="D276" s="0" t="s">
        <v>4753</v>
      </c>
      <c r="E276" s="0" t="s">
        <v>4754</v>
      </c>
      <c r="F276" s="0" t="s">
        <v>4012</v>
      </c>
      <c r="G276" s="0" t="s">
        <v>4755</v>
      </c>
    </row>
    <row customHeight="1" ht="11.25">
      <c r="A277" s="0" t="s">
        <v>16</v>
      </c>
      <c r="B277" s="0" t="s">
        <v>4732</v>
      </c>
      <c r="C277" s="0" t="s">
        <v>4733</v>
      </c>
      <c r="D277" s="0" t="s">
        <v>4756</v>
      </c>
      <c r="E277" s="0" t="s">
        <v>4757</v>
      </c>
      <c r="F277" s="0" t="s">
        <v>4012</v>
      </c>
      <c r="G277" s="0" t="s">
        <v>4758</v>
      </c>
    </row>
    <row customHeight="1" ht="11.25">
      <c r="A278" s="0" t="s">
        <v>16</v>
      </c>
      <c r="B278" s="0" t="s">
        <v>4759</v>
      </c>
      <c r="C278" s="0" t="s">
        <v>4760</v>
      </c>
      <c r="D278" s="0" t="s">
        <v>4058</v>
      </c>
      <c r="E278" s="0" t="s">
        <v>4761</v>
      </c>
      <c r="F278" s="0" t="s">
        <v>4012</v>
      </c>
      <c r="G278" s="0" t="s">
        <v>4762</v>
      </c>
    </row>
    <row customHeight="1" ht="11.25">
      <c r="A279" s="0" t="s">
        <v>16</v>
      </c>
      <c r="B279" s="0" t="s">
        <v>4759</v>
      </c>
      <c r="C279" s="0" t="s">
        <v>4760</v>
      </c>
      <c r="D279" s="0" t="s">
        <v>4763</v>
      </c>
      <c r="E279" s="0" t="s">
        <v>4764</v>
      </c>
      <c r="F279" s="0" t="s">
        <v>4030</v>
      </c>
      <c r="G279" s="0" t="s">
        <v>4765</v>
      </c>
    </row>
    <row customHeight="1" ht="11.25">
      <c r="A280" s="0" t="s">
        <v>16</v>
      </c>
      <c r="B280" s="0" t="s">
        <v>4759</v>
      </c>
      <c r="C280" s="0" t="s">
        <v>4760</v>
      </c>
      <c r="D280" s="0" t="s">
        <v>4766</v>
      </c>
      <c r="E280" s="0" t="s">
        <v>4767</v>
      </c>
      <c r="F280" s="0" t="s">
        <v>4012</v>
      </c>
      <c r="G280" s="0" t="s">
        <v>4768</v>
      </c>
    </row>
    <row customHeight="1" ht="11.25">
      <c r="A281" s="0" t="s">
        <v>16</v>
      </c>
      <c r="B281" s="0" t="s">
        <v>4759</v>
      </c>
      <c r="C281" s="0" t="s">
        <v>4760</v>
      </c>
      <c r="D281" s="0" t="s">
        <v>4769</v>
      </c>
      <c r="E281" s="0" t="s">
        <v>4770</v>
      </c>
      <c r="F281" s="0" t="s">
        <v>4012</v>
      </c>
      <c r="G281" s="0" t="s">
        <v>4771</v>
      </c>
    </row>
    <row customHeight="1" ht="11.25">
      <c r="A282" s="0" t="s">
        <v>16</v>
      </c>
      <c r="B282" s="0" t="s">
        <v>4759</v>
      </c>
      <c r="C282" s="0" t="s">
        <v>4760</v>
      </c>
      <c r="D282" s="0" t="s">
        <v>4772</v>
      </c>
      <c r="E282" s="0" t="s">
        <v>4773</v>
      </c>
      <c r="F282" s="0" t="s">
        <v>4012</v>
      </c>
      <c r="G282" s="0" t="s">
        <v>4774</v>
      </c>
    </row>
    <row customHeight="1" ht="11.25">
      <c r="A283" s="0" t="s">
        <v>16</v>
      </c>
      <c r="B283" s="0" t="s">
        <v>4759</v>
      </c>
      <c r="C283" s="0" t="s">
        <v>4760</v>
      </c>
      <c r="D283" s="0" t="s">
        <v>4775</v>
      </c>
      <c r="E283" s="0" t="s">
        <v>4776</v>
      </c>
      <c r="F283" s="0" t="s">
        <v>4012</v>
      </c>
      <c r="G283" s="0" t="s">
        <v>4777</v>
      </c>
    </row>
    <row customHeight="1" ht="11.25">
      <c r="A284" s="0" t="s">
        <v>16</v>
      </c>
      <c r="B284" s="0" t="s">
        <v>4759</v>
      </c>
      <c r="C284" s="0" t="s">
        <v>4760</v>
      </c>
      <c r="D284" s="0" t="s">
        <v>4778</v>
      </c>
      <c r="E284" s="0" t="s">
        <v>4779</v>
      </c>
      <c r="F284" s="0" t="s">
        <v>4012</v>
      </c>
      <c r="G284" s="0" t="s">
        <v>4780</v>
      </c>
    </row>
    <row customHeight="1" ht="11.25">
      <c r="A285" s="0" t="s">
        <v>16</v>
      </c>
      <c r="B285" s="0" t="s">
        <v>4759</v>
      </c>
      <c r="C285" s="0" t="s">
        <v>4760</v>
      </c>
      <c r="D285" s="0" t="s">
        <v>4781</v>
      </c>
      <c r="E285" s="0" t="s">
        <v>4782</v>
      </c>
      <c r="F285" s="0" t="s">
        <v>4012</v>
      </c>
      <c r="G285" s="0" t="s">
        <v>4783</v>
      </c>
    </row>
    <row customHeight="1" ht="11.25">
      <c r="A286" s="0" t="s">
        <v>16</v>
      </c>
      <c r="B286" s="0" t="s">
        <v>4759</v>
      </c>
      <c r="C286" s="0" t="s">
        <v>4760</v>
      </c>
      <c r="D286" s="0" t="s">
        <v>4699</v>
      </c>
      <c r="E286" s="0" t="s">
        <v>4784</v>
      </c>
      <c r="F286" s="0" t="s">
        <v>4012</v>
      </c>
      <c r="G286" s="0" t="s">
        <v>4785</v>
      </c>
    </row>
    <row customHeight="1" ht="11.25">
      <c r="A287" s="0" t="s">
        <v>16</v>
      </c>
      <c r="B287" s="0" t="s">
        <v>4759</v>
      </c>
      <c r="C287" s="0" t="s">
        <v>4760</v>
      </c>
      <c r="D287" s="0" t="s">
        <v>4786</v>
      </c>
      <c r="E287" s="0" t="s">
        <v>4787</v>
      </c>
      <c r="F287" s="0" t="s">
        <v>4012</v>
      </c>
      <c r="G287" s="0" t="s">
        <v>4788</v>
      </c>
    </row>
    <row customHeight="1" ht="11.25">
      <c r="A288" s="0" t="s">
        <v>16</v>
      </c>
      <c r="B288" s="0" t="s">
        <v>4759</v>
      </c>
      <c r="C288" s="0" t="s">
        <v>4760</v>
      </c>
      <c r="D288" s="0" t="s">
        <v>4789</v>
      </c>
      <c r="E288" s="0" t="s">
        <v>4790</v>
      </c>
      <c r="F288" s="0" t="s">
        <v>4012</v>
      </c>
      <c r="G288" s="0" t="s">
        <v>4791</v>
      </c>
    </row>
    <row customHeight="1" ht="11.25">
      <c r="A289" s="0" t="s">
        <v>16</v>
      </c>
      <c r="B289" s="0" t="s">
        <v>4759</v>
      </c>
      <c r="C289" s="0" t="s">
        <v>4760</v>
      </c>
      <c r="D289" s="0" t="s">
        <v>4792</v>
      </c>
      <c r="E289" s="0" t="s">
        <v>4793</v>
      </c>
      <c r="F289" s="0" t="s">
        <v>4012</v>
      </c>
      <c r="G289" s="0" t="s">
        <v>4794</v>
      </c>
    </row>
    <row customHeight="1" ht="11.25">
      <c r="A290" s="0" t="s">
        <v>16</v>
      </c>
      <c r="B290" s="0" t="s">
        <v>4759</v>
      </c>
      <c r="C290" s="0" t="s">
        <v>4760</v>
      </c>
      <c r="D290" s="0" t="s">
        <v>4759</v>
      </c>
      <c r="E290" s="0" t="s">
        <v>4760</v>
      </c>
      <c r="F290" s="0" t="s">
        <v>4009</v>
      </c>
      <c r="G290" s="0" t="s">
        <v>4795</v>
      </c>
    </row>
    <row customHeight="1" ht="11.25">
      <c r="A291" s="0" t="s">
        <v>16</v>
      </c>
      <c r="B291" s="0" t="s">
        <v>4759</v>
      </c>
      <c r="C291" s="0" t="s">
        <v>4760</v>
      </c>
      <c r="D291" s="0" t="s">
        <v>4796</v>
      </c>
      <c r="E291" s="0" t="s">
        <v>4797</v>
      </c>
      <c r="F291" s="0" t="s">
        <v>4012</v>
      </c>
      <c r="G291" s="0" t="s">
        <v>4798</v>
      </c>
    </row>
    <row customHeight="1" ht="11.25">
      <c r="A292" s="0" t="s">
        <v>16</v>
      </c>
      <c r="B292" s="0" t="s">
        <v>4759</v>
      </c>
      <c r="C292" s="0" t="s">
        <v>4760</v>
      </c>
      <c r="D292" s="0" t="s">
        <v>4799</v>
      </c>
      <c r="E292" s="0" t="s">
        <v>4800</v>
      </c>
      <c r="F292" s="0" t="s">
        <v>4012</v>
      </c>
      <c r="G292" s="0" t="s">
        <v>4801</v>
      </c>
    </row>
    <row customHeight="1" ht="11.25">
      <c r="A293" s="0" t="s">
        <v>16</v>
      </c>
      <c r="B293" s="0" t="s">
        <v>4759</v>
      </c>
      <c r="C293" s="0" t="s">
        <v>4760</v>
      </c>
      <c r="D293" s="0" t="s">
        <v>4802</v>
      </c>
      <c r="E293" s="0" t="s">
        <v>4803</v>
      </c>
      <c r="F293" s="0" t="s">
        <v>4012</v>
      </c>
      <c r="G293" s="0" t="s">
        <v>4804</v>
      </c>
    </row>
    <row customHeight="1" ht="11.25">
      <c r="A294" s="0" t="s">
        <v>16</v>
      </c>
      <c r="B294" s="0" t="s">
        <v>4759</v>
      </c>
      <c r="C294" s="0" t="s">
        <v>4760</v>
      </c>
      <c r="D294" s="0" t="s">
        <v>4805</v>
      </c>
      <c r="E294" s="0" t="s">
        <v>4806</v>
      </c>
      <c r="F294" s="0" t="s">
        <v>4012</v>
      </c>
      <c r="G294" s="0" t="s">
        <v>4807</v>
      </c>
    </row>
    <row customHeight="1" ht="11.25">
      <c r="A295" s="0" t="s">
        <v>16</v>
      </c>
      <c r="B295" s="0" t="s">
        <v>4759</v>
      </c>
      <c r="C295" s="0" t="s">
        <v>4760</v>
      </c>
      <c r="D295" s="0" t="s">
        <v>4808</v>
      </c>
      <c r="E295" s="0" t="s">
        <v>4809</v>
      </c>
      <c r="F295" s="0" t="s">
        <v>4012</v>
      </c>
      <c r="G295" s="0" t="s">
        <v>4810</v>
      </c>
    </row>
    <row customHeight="1" ht="11.25">
      <c r="A296" s="0" t="s">
        <v>16</v>
      </c>
      <c r="B296" s="0" t="s">
        <v>4759</v>
      </c>
      <c r="C296" s="0" t="s">
        <v>4760</v>
      </c>
      <c r="D296" s="0" t="s">
        <v>4811</v>
      </c>
      <c r="E296" s="0" t="s">
        <v>4812</v>
      </c>
      <c r="F296" s="0" t="s">
        <v>4012</v>
      </c>
      <c r="G296" s="0" t="s">
        <v>4813</v>
      </c>
    </row>
    <row customHeight="1" ht="11.25">
      <c r="A297" s="0" t="s">
        <v>16</v>
      </c>
      <c r="B297" s="0" t="s">
        <v>4759</v>
      </c>
      <c r="C297" s="0" t="s">
        <v>4760</v>
      </c>
      <c r="D297" s="0" t="s">
        <v>4814</v>
      </c>
      <c r="E297" s="0" t="s">
        <v>4815</v>
      </c>
      <c r="F297" s="0" t="s">
        <v>4012</v>
      </c>
      <c r="G297" s="0" t="s">
        <v>4816</v>
      </c>
    </row>
    <row customHeight="1" ht="11.25">
      <c r="A298" s="0" t="s">
        <v>16</v>
      </c>
      <c r="B298" s="0" t="s">
        <v>4759</v>
      </c>
      <c r="C298" s="0" t="s">
        <v>4760</v>
      </c>
      <c r="D298" s="0" t="s">
        <v>4817</v>
      </c>
      <c r="E298" s="0" t="s">
        <v>4818</v>
      </c>
      <c r="F298" s="0" t="s">
        <v>4012</v>
      </c>
      <c r="G298" s="0" t="s">
        <v>4819</v>
      </c>
    </row>
    <row customHeight="1" ht="11.25">
      <c r="A299" s="0" t="s">
        <v>16</v>
      </c>
      <c r="B299" s="0" t="s">
        <v>4759</v>
      </c>
      <c r="C299" s="0" t="s">
        <v>4760</v>
      </c>
      <c r="D299" s="0" t="s">
        <v>4158</v>
      </c>
      <c r="E299" s="0" t="s">
        <v>4820</v>
      </c>
      <c r="F299" s="0" t="s">
        <v>4012</v>
      </c>
      <c r="G299" s="0" t="s">
        <v>4821</v>
      </c>
    </row>
    <row customHeight="1" ht="11.25">
      <c r="A300" s="0" t="s">
        <v>16</v>
      </c>
      <c r="B300" s="0" t="s">
        <v>4759</v>
      </c>
      <c r="C300" s="0" t="s">
        <v>4760</v>
      </c>
      <c r="D300" s="0" t="s">
        <v>4822</v>
      </c>
      <c r="E300" s="0" t="s">
        <v>4823</v>
      </c>
      <c r="F300" s="0" t="s">
        <v>4012</v>
      </c>
      <c r="G300" s="0" t="s">
        <v>4824</v>
      </c>
    </row>
    <row customHeight="1" ht="11.25">
      <c r="A301" s="0" t="s">
        <v>16</v>
      </c>
      <c r="B301" s="0" t="s">
        <v>4759</v>
      </c>
      <c r="C301" s="0" t="s">
        <v>4760</v>
      </c>
      <c r="D301" s="0" t="s">
        <v>4825</v>
      </c>
      <c r="E301" s="0" t="s">
        <v>4826</v>
      </c>
      <c r="F301" s="0" t="s">
        <v>4012</v>
      </c>
      <c r="G301" s="0" t="s">
        <v>4827</v>
      </c>
    </row>
    <row customHeight="1" ht="11.25">
      <c r="A302" s="0" t="s">
        <v>16</v>
      </c>
      <c r="B302" s="0" t="s">
        <v>4828</v>
      </c>
      <c r="C302" s="0" t="s">
        <v>4829</v>
      </c>
      <c r="D302" s="0" t="s">
        <v>4830</v>
      </c>
      <c r="E302" s="0" t="s">
        <v>4831</v>
      </c>
      <c r="F302" s="0" t="s">
        <v>4012</v>
      </c>
      <c r="G302" s="0" t="s">
        <v>4832</v>
      </c>
    </row>
    <row customHeight="1" ht="11.25">
      <c r="A303" s="0" t="s">
        <v>16</v>
      </c>
      <c r="B303" s="0" t="s">
        <v>4828</v>
      </c>
      <c r="C303" s="0" t="s">
        <v>4829</v>
      </c>
      <c r="D303" s="0" t="s">
        <v>4833</v>
      </c>
      <c r="E303" s="0" t="s">
        <v>4834</v>
      </c>
      <c r="F303" s="0" t="s">
        <v>4012</v>
      </c>
      <c r="G303" s="0" t="s">
        <v>4835</v>
      </c>
    </row>
    <row customHeight="1" ht="11.25">
      <c r="A304" s="0" t="s">
        <v>16</v>
      </c>
      <c r="B304" s="0" t="s">
        <v>4828</v>
      </c>
      <c r="C304" s="0" t="s">
        <v>4829</v>
      </c>
      <c r="D304" s="0" t="s">
        <v>4836</v>
      </c>
      <c r="E304" s="0" t="s">
        <v>4837</v>
      </c>
      <c r="F304" s="0" t="s">
        <v>4049</v>
      </c>
      <c r="G304" s="0" t="s">
        <v>4838</v>
      </c>
    </row>
    <row customHeight="1" ht="11.25">
      <c r="A305" s="0" t="s">
        <v>16</v>
      </c>
      <c r="B305" s="0" t="s">
        <v>4828</v>
      </c>
      <c r="C305" s="0" t="s">
        <v>4829</v>
      </c>
      <c r="D305" s="0" t="s">
        <v>4839</v>
      </c>
      <c r="E305" s="0" t="s">
        <v>4840</v>
      </c>
      <c r="F305" s="0" t="s">
        <v>4012</v>
      </c>
      <c r="G305" s="0" t="s">
        <v>4841</v>
      </c>
    </row>
    <row customHeight="1" ht="11.25">
      <c r="A306" s="0" t="s">
        <v>16</v>
      </c>
      <c r="B306" s="0" t="s">
        <v>4828</v>
      </c>
      <c r="C306" s="0" t="s">
        <v>4829</v>
      </c>
      <c r="D306" s="0" t="s">
        <v>4828</v>
      </c>
      <c r="E306" s="0" t="s">
        <v>4829</v>
      </c>
      <c r="F306" s="0" t="s">
        <v>4009</v>
      </c>
      <c r="G306" s="0" t="s">
        <v>4842</v>
      </c>
    </row>
    <row customHeight="1" ht="11.25">
      <c r="A307" s="0" t="s">
        <v>16</v>
      </c>
      <c r="B307" s="0" t="s">
        <v>4828</v>
      </c>
      <c r="C307" s="0" t="s">
        <v>4829</v>
      </c>
      <c r="D307" s="0" t="s">
        <v>4843</v>
      </c>
      <c r="E307" s="0" t="s">
        <v>4844</v>
      </c>
      <c r="F307" s="0" t="s">
        <v>4012</v>
      </c>
      <c r="G307" s="0" t="s">
        <v>4845</v>
      </c>
    </row>
    <row customHeight="1" ht="11.25">
      <c r="A308" s="0" t="s">
        <v>16</v>
      </c>
      <c r="B308" s="0" t="s">
        <v>4846</v>
      </c>
      <c r="C308" s="0" t="s">
        <v>4847</v>
      </c>
      <c r="D308" s="0" t="s">
        <v>4848</v>
      </c>
      <c r="E308" s="0" t="s">
        <v>4849</v>
      </c>
      <c r="F308" s="0" t="s">
        <v>4012</v>
      </c>
      <c r="G308" s="0" t="s">
        <v>4850</v>
      </c>
    </row>
    <row customHeight="1" ht="11.25">
      <c r="A309" s="0" t="s">
        <v>16</v>
      </c>
      <c r="B309" s="0" t="s">
        <v>4846</v>
      </c>
      <c r="C309" s="0" t="s">
        <v>4847</v>
      </c>
      <c r="D309" s="0" t="s">
        <v>4851</v>
      </c>
      <c r="E309" s="0" t="s">
        <v>4852</v>
      </c>
      <c r="F309" s="0" t="s">
        <v>4012</v>
      </c>
      <c r="G309" s="0" t="s">
        <v>4853</v>
      </c>
    </row>
    <row customHeight="1" ht="11.25">
      <c r="A310" s="0" t="s">
        <v>16</v>
      </c>
      <c r="B310" s="0" t="s">
        <v>4846</v>
      </c>
      <c r="C310" s="0" t="s">
        <v>4847</v>
      </c>
      <c r="D310" s="0" t="s">
        <v>4854</v>
      </c>
      <c r="E310" s="0" t="s">
        <v>4855</v>
      </c>
      <c r="F310" s="0" t="s">
        <v>4012</v>
      </c>
      <c r="G310" s="0" t="s">
        <v>4856</v>
      </c>
    </row>
    <row customHeight="1" ht="11.25">
      <c r="A311" s="0" t="s">
        <v>16</v>
      </c>
      <c r="B311" s="0" t="s">
        <v>4846</v>
      </c>
      <c r="C311" s="0" t="s">
        <v>4847</v>
      </c>
      <c r="D311" s="0" t="s">
        <v>4857</v>
      </c>
      <c r="E311" s="0" t="s">
        <v>4858</v>
      </c>
      <c r="F311" s="0" t="s">
        <v>4030</v>
      </c>
      <c r="G311" s="0" t="s">
        <v>4859</v>
      </c>
    </row>
    <row customHeight="1" ht="11.25">
      <c r="A312" s="0" t="s">
        <v>16</v>
      </c>
      <c r="B312" s="0" t="s">
        <v>4846</v>
      </c>
      <c r="C312" s="0" t="s">
        <v>4847</v>
      </c>
      <c r="D312" s="0" t="s">
        <v>4860</v>
      </c>
      <c r="E312" s="0" t="s">
        <v>4861</v>
      </c>
      <c r="F312" s="0" t="s">
        <v>4012</v>
      </c>
      <c r="G312" s="0" t="s">
        <v>4862</v>
      </c>
    </row>
    <row customHeight="1" ht="11.25">
      <c r="A313" s="0" t="s">
        <v>16</v>
      </c>
      <c r="B313" s="0" t="s">
        <v>4846</v>
      </c>
      <c r="C313" s="0" t="s">
        <v>4847</v>
      </c>
      <c r="D313" s="0" t="s">
        <v>4863</v>
      </c>
      <c r="E313" s="0" t="s">
        <v>4864</v>
      </c>
      <c r="F313" s="0" t="s">
        <v>4012</v>
      </c>
      <c r="G313" s="0" t="s">
        <v>4865</v>
      </c>
    </row>
    <row customHeight="1" ht="11.25">
      <c r="A314" s="0" t="s">
        <v>16</v>
      </c>
      <c r="B314" s="0" t="s">
        <v>4846</v>
      </c>
      <c r="C314" s="0" t="s">
        <v>4847</v>
      </c>
      <c r="D314" s="0" t="s">
        <v>4866</v>
      </c>
      <c r="E314" s="0" t="s">
        <v>4867</v>
      </c>
      <c r="F314" s="0" t="s">
        <v>4012</v>
      </c>
      <c r="G314" s="0" t="s">
        <v>4868</v>
      </c>
    </row>
    <row customHeight="1" ht="11.25">
      <c r="A315" s="0" t="s">
        <v>16</v>
      </c>
      <c r="B315" s="0" t="s">
        <v>4846</v>
      </c>
      <c r="C315" s="0" t="s">
        <v>4847</v>
      </c>
      <c r="D315" s="0" t="s">
        <v>4869</v>
      </c>
      <c r="E315" s="0" t="s">
        <v>4870</v>
      </c>
      <c r="F315" s="0" t="s">
        <v>4012</v>
      </c>
      <c r="G315" s="0" t="s">
        <v>4871</v>
      </c>
    </row>
    <row customHeight="1" ht="11.25">
      <c r="A316" s="0" t="s">
        <v>16</v>
      </c>
      <c r="B316" s="0" t="s">
        <v>4846</v>
      </c>
      <c r="C316" s="0" t="s">
        <v>4847</v>
      </c>
      <c r="D316" s="0" t="s">
        <v>4872</v>
      </c>
      <c r="E316" s="0" t="s">
        <v>4873</v>
      </c>
      <c r="F316" s="0" t="s">
        <v>4012</v>
      </c>
      <c r="G316" s="0" t="s">
        <v>4874</v>
      </c>
    </row>
    <row customHeight="1" ht="11.25">
      <c r="A317" s="0" t="s">
        <v>16</v>
      </c>
      <c r="B317" s="0" t="s">
        <v>4846</v>
      </c>
      <c r="C317" s="0" t="s">
        <v>4847</v>
      </c>
      <c r="D317" s="0" t="s">
        <v>4846</v>
      </c>
      <c r="E317" s="0" t="s">
        <v>4847</v>
      </c>
      <c r="F317" s="0" t="s">
        <v>4009</v>
      </c>
      <c r="G317" s="0" t="s">
        <v>4875</v>
      </c>
    </row>
    <row customHeight="1" ht="11.25">
      <c r="A318" s="0" t="s">
        <v>16</v>
      </c>
      <c r="B318" s="0" t="s">
        <v>4846</v>
      </c>
      <c r="C318" s="0" t="s">
        <v>4847</v>
      </c>
      <c r="D318" s="0" t="s">
        <v>4876</v>
      </c>
      <c r="E318" s="0" t="s">
        <v>4877</v>
      </c>
      <c r="F318" s="0" t="s">
        <v>4012</v>
      </c>
      <c r="G318" s="0" t="s">
        <v>4878</v>
      </c>
    </row>
    <row customHeight="1" ht="11.25">
      <c r="A319" s="0" t="s">
        <v>16</v>
      </c>
      <c r="B319" s="0" t="s">
        <v>4879</v>
      </c>
      <c r="C319" s="0" t="s">
        <v>4880</v>
      </c>
      <c r="D319" s="0" t="s">
        <v>4881</v>
      </c>
      <c r="E319" s="0" t="s">
        <v>4882</v>
      </c>
      <c r="F319" s="0" t="s">
        <v>4012</v>
      </c>
      <c r="G319" s="0" t="s">
        <v>4883</v>
      </c>
    </row>
    <row customHeight="1" ht="11.25">
      <c r="A320" s="0" t="s">
        <v>16</v>
      </c>
      <c r="B320" s="0" t="s">
        <v>4879</v>
      </c>
      <c r="C320" s="0" t="s">
        <v>4880</v>
      </c>
      <c r="D320" s="0" t="s">
        <v>4163</v>
      </c>
      <c r="E320" s="0" t="s">
        <v>4884</v>
      </c>
      <c r="F320" s="0" t="s">
        <v>4012</v>
      </c>
      <c r="G320" s="0" t="s">
        <v>4885</v>
      </c>
    </row>
    <row customHeight="1" ht="11.25">
      <c r="A321" s="0" t="s">
        <v>16</v>
      </c>
      <c r="B321" s="0" t="s">
        <v>4879</v>
      </c>
      <c r="C321" s="0" t="s">
        <v>4880</v>
      </c>
      <c r="D321" s="0" t="s">
        <v>4679</v>
      </c>
      <c r="E321" s="0" t="s">
        <v>4886</v>
      </c>
      <c r="F321" s="0" t="s">
        <v>4012</v>
      </c>
      <c r="G321" s="0" t="s">
        <v>4887</v>
      </c>
    </row>
    <row customHeight="1" ht="11.25">
      <c r="A322" s="0" t="s">
        <v>16</v>
      </c>
      <c r="B322" s="0" t="s">
        <v>4879</v>
      </c>
      <c r="C322" s="0" t="s">
        <v>4880</v>
      </c>
      <c r="D322" s="0" t="s">
        <v>4888</v>
      </c>
      <c r="E322" s="0" t="s">
        <v>4889</v>
      </c>
      <c r="F322" s="0" t="s">
        <v>4012</v>
      </c>
      <c r="G322" s="0" t="s">
        <v>4890</v>
      </c>
    </row>
    <row customHeight="1" ht="11.25">
      <c r="A323" s="0" t="s">
        <v>16</v>
      </c>
      <c r="B323" s="0" t="s">
        <v>4879</v>
      </c>
      <c r="C323" s="0" t="s">
        <v>4880</v>
      </c>
      <c r="D323" s="0" t="s">
        <v>4690</v>
      </c>
      <c r="E323" s="0" t="s">
        <v>4891</v>
      </c>
      <c r="F323" s="0" t="s">
        <v>4012</v>
      </c>
      <c r="G323" s="0" t="s">
        <v>4892</v>
      </c>
    </row>
    <row customHeight="1" ht="11.25">
      <c r="A324" s="0" t="s">
        <v>16</v>
      </c>
      <c r="B324" s="0" t="s">
        <v>4879</v>
      </c>
      <c r="C324" s="0" t="s">
        <v>4880</v>
      </c>
      <c r="D324" s="0" t="s">
        <v>4893</v>
      </c>
      <c r="E324" s="0" t="s">
        <v>4894</v>
      </c>
      <c r="F324" s="0" t="s">
        <v>4012</v>
      </c>
      <c r="G324" s="0" t="s">
        <v>4895</v>
      </c>
    </row>
    <row customHeight="1" ht="11.25">
      <c r="A325" s="0" t="s">
        <v>16</v>
      </c>
      <c r="B325" s="0" t="s">
        <v>4879</v>
      </c>
      <c r="C325" s="0" t="s">
        <v>4880</v>
      </c>
      <c r="D325" s="0" t="s">
        <v>4896</v>
      </c>
      <c r="E325" s="0" t="s">
        <v>4897</v>
      </c>
      <c r="F325" s="0" t="s">
        <v>4012</v>
      </c>
      <c r="G325" s="0" t="s">
        <v>4898</v>
      </c>
    </row>
    <row customHeight="1" ht="11.25">
      <c r="A326" s="0" t="s">
        <v>16</v>
      </c>
      <c r="B326" s="0" t="s">
        <v>4879</v>
      </c>
      <c r="C326" s="0" t="s">
        <v>4880</v>
      </c>
      <c r="D326" s="0" t="s">
        <v>4899</v>
      </c>
      <c r="E326" s="0" t="s">
        <v>4900</v>
      </c>
      <c r="F326" s="0" t="s">
        <v>4012</v>
      </c>
      <c r="G326" s="0" t="s">
        <v>4901</v>
      </c>
    </row>
    <row customHeight="1" ht="11.25">
      <c r="A327" s="0" t="s">
        <v>16</v>
      </c>
      <c r="B327" s="0" t="s">
        <v>4879</v>
      </c>
      <c r="C327" s="0" t="s">
        <v>4880</v>
      </c>
      <c r="D327" s="0" t="s">
        <v>4902</v>
      </c>
      <c r="E327" s="0" t="s">
        <v>4903</v>
      </c>
      <c r="F327" s="0" t="s">
        <v>4012</v>
      </c>
      <c r="G327" s="0" t="s">
        <v>4904</v>
      </c>
    </row>
    <row customHeight="1" ht="11.25">
      <c r="A328" s="0" t="s">
        <v>16</v>
      </c>
      <c r="B328" s="0" t="s">
        <v>4879</v>
      </c>
      <c r="C328" s="0" t="s">
        <v>4880</v>
      </c>
      <c r="D328" s="0" t="s">
        <v>4905</v>
      </c>
      <c r="E328" s="0" t="s">
        <v>4906</v>
      </c>
      <c r="F328" s="0" t="s">
        <v>4012</v>
      </c>
      <c r="G328" s="0" t="s">
        <v>4907</v>
      </c>
    </row>
    <row customHeight="1" ht="11.25">
      <c r="A329" s="0" t="s">
        <v>16</v>
      </c>
      <c r="B329" s="0" t="s">
        <v>4879</v>
      </c>
      <c r="C329" s="0" t="s">
        <v>4880</v>
      </c>
      <c r="D329" s="0" t="s">
        <v>4908</v>
      </c>
      <c r="E329" s="0" t="s">
        <v>4909</v>
      </c>
      <c r="F329" s="0" t="s">
        <v>4012</v>
      </c>
      <c r="G329" s="0" t="s">
        <v>4910</v>
      </c>
    </row>
    <row customHeight="1" ht="11.25">
      <c r="A330" s="0" t="s">
        <v>16</v>
      </c>
      <c r="B330" s="0" t="s">
        <v>4879</v>
      </c>
      <c r="C330" s="0" t="s">
        <v>4880</v>
      </c>
      <c r="D330" s="0" t="s">
        <v>4911</v>
      </c>
      <c r="E330" s="0" t="s">
        <v>4912</v>
      </c>
      <c r="F330" s="0" t="s">
        <v>4012</v>
      </c>
      <c r="G330" s="0" t="s">
        <v>4913</v>
      </c>
    </row>
    <row customHeight="1" ht="11.25">
      <c r="A331" s="0" t="s">
        <v>16</v>
      </c>
      <c r="B331" s="0" t="s">
        <v>4879</v>
      </c>
      <c r="C331" s="0" t="s">
        <v>4880</v>
      </c>
      <c r="D331" s="0" t="s">
        <v>4914</v>
      </c>
      <c r="E331" s="0" t="s">
        <v>4915</v>
      </c>
      <c r="F331" s="0" t="s">
        <v>4012</v>
      </c>
      <c r="G331" s="0" t="s">
        <v>4916</v>
      </c>
    </row>
    <row customHeight="1" ht="11.25">
      <c r="A332" s="0" t="s">
        <v>16</v>
      </c>
      <c r="B332" s="0" t="s">
        <v>4879</v>
      </c>
      <c r="C332" s="0" t="s">
        <v>4880</v>
      </c>
      <c r="D332" s="0" t="s">
        <v>4917</v>
      </c>
      <c r="E332" s="0" t="s">
        <v>4918</v>
      </c>
      <c r="F332" s="0" t="s">
        <v>4012</v>
      </c>
      <c r="G332" s="0" t="s">
        <v>4919</v>
      </c>
    </row>
    <row customHeight="1" ht="11.25">
      <c r="A333" s="0" t="s">
        <v>16</v>
      </c>
      <c r="B333" s="0" t="s">
        <v>4879</v>
      </c>
      <c r="C333" s="0" t="s">
        <v>4880</v>
      </c>
      <c r="D333" s="0" t="s">
        <v>4879</v>
      </c>
      <c r="E333" s="0" t="s">
        <v>4880</v>
      </c>
      <c r="F333" s="0" t="s">
        <v>4009</v>
      </c>
      <c r="G333" s="0" t="s">
        <v>4920</v>
      </c>
    </row>
    <row customHeight="1" ht="11.25">
      <c r="A334" s="0" t="s">
        <v>16</v>
      </c>
      <c r="B334" s="0" t="s">
        <v>4879</v>
      </c>
      <c r="C334" s="0" t="s">
        <v>4880</v>
      </c>
      <c r="D334" s="0" t="s">
        <v>4921</v>
      </c>
      <c r="E334" s="0" t="s">
        <v>4922</v>
      </c>
      <c r="F334" s="0" t="s">
        <v>4012</v>
      </c>
      <c r="G334" s="0" t="s">
        <v>4923</v>
      </c>
    </row>
    <row customHeight="1" ht="11.25">
      <c r="A335" s="0" t="s">
        <v>16</v>
      </c>
      <c r="B335" s="0" t="s">
        <v>4879</v>
      </c>
      <c r="C335" s="0" t="s">
        <v>4880</v>
      </c>
      <c r="D335" s="0" t="s">
        <v>4924</v>
      </c>
      <c r="E335" s="0" t="s">
        <v>4925</v>
      </c>
      <c r="F335" s="0" t="s">
        <v>4012</v>
      </c>
      <c r="G335" s="0" t="s">
        <v>4926</v>
      </c>
    </row>
    <row customHeight="1" ht="11.25">
      <c r="A336" s="0" t="s">
        <v>16</v>
      </c>
      <c r="B336" s="0" t="s">
        <v>4879</v>
      </c>
      <c r="C336" s="0" t="s">
        <v>4880</v>
      </c>
      <c r="D336" s="0" t="s">
        <v>4927</v>
      </c>
      <c r="E336" s="0" t="s">
        <v>4928</v>
      </c>
      <c r="F336" s="0" t="s">
        <v>4012</v>
      </c>
      <c r="G336" s="0" t="s">
        <v>4929</v>
      </c>
    </row>
    <row customHeight="1" ht="11.25">
      <c r="A337" s="0" t="s">
        <v>16</v>
      </c>
      <c r="B337" s="0" t="s">
        <v>4879</v>
      </c>
      <c r="C337" s="0" t="s">
        <v>4880</v>
      </c>
      <c r="D337" s="0" t="s">
        <v>4431</v>
      </c>
      <c r="E337" s="0" t="s">
        <v>4930</v>
      </c>
      <c r="F337" s="0" t="s">
        <v>4012</v>
      </c>
      <c r="G337" s="0" t="s">
        <v>4931</v>
      </c>
    </row>
    <row customHeight="1" ht="11.25">
      <c r="A338" s="0" t="s">
        <v>16</v>
      </c>
      <c r="B338" s="0" t="s">
        <v>4879</v>
      </c>
      <c r="C338" s="0" t="s">
        <v>4880</v>
      </c>
      <c r="D338" s="0" t="s">
        <v>4932</v>
      </c>
      <c r="E338" s="0" t="s">
        <v>4933</v>
      </c>
      <c r="F338" s="0" t="s">
        <v>4012</v>
      </c>
      <c r="G338" s="0" t="s">
        <v>4934</v>
      </c>
    </row>
    <row customHeight="1" ht="11.25">
      <c r="A339" s="0" t="s">
        <v>16</v>
      </c>
      <c r="B339" s="0" t="s">
        <v>4879</v>
      </c>
      <c r="C339" s="0" t="s">
        <v>4880</v>
      </c>
      <c r="D339" s="0" t="s">
        <v>4935</v>
      </c>
      <c r="E339" s="0" t="s">
        <v>4936</v>
      </c>
      <c r="F339" s="0" t="s">
        <v>4012</v>
      </c>
      <c r="G339" s="0" t="s">
        <v>4937</v>
      </c>
    </row>
    <row customHeight="1" ht="11.25">
      <c r="A340" s="0" t="s">
        <v>16</v>
      </c>
      <c r="B340" s="0" t="s">
        <v>4879</v>
      </c>
      <c r="C340" s="0" t="s">
        <v>4880</v>
      </c>
      <c r="D340" s="0" t="s">
        <v>4938</v>
      </c>
      <c r="E340" s="0" t="s">
        <v>4939</v>
      </c>
      <c r="F340" s="0" t="s">
        <v>4012</v>
      </c>
      <c r="G340" s="0" t="s">
        <v>4940</v>
      </c>
    </row>
    <row customHeight="1" ht="11.25">
      <c r="A341" s="0" t="s">
        <v>16</v>
      </c>
      <c r="B341" s="0" t="s">
        <v>4879</v>
      </c>
      <c r="C341" s="0" t="s">
        <v>4880</v>
      </c>
      <c r="D341" s="0" t="s">
        <v>4941</v>
      </c>
      <c r="E341" s="0" t="s">
        <v>4942</v>
      </c>
      <c r="F341" s="0" t="s">
        <v>4012</v>
      </c>
      <c r="G341" s="0" t="s">
        <v>4943</v>
      </c>
    </row>
    <row customHeight="1" ht="11.25">
      <c r="A342" s="0" t="s">
        <v>16</v>
      </c>
      <c r="B342" s="0" t="s">
        <v>4879</v>
      </c>
      <c r="C342" s="0" t="s">
        <v>4880</v>
      </c>
      <c r="D342" s="0" t="s">
        <v>4944</v>
      </c>
      <c r="E342" s="0" t="s">
        <v>4945</v>
      </c>
      <c r="F342" s="0" t="s">
        <v>4012</v>
      </c>
      <c r="G342" s="0" t="s">
        <v>4946</v>
      </c>
    </row>
    <row customHeight="1" ht="11.25">
      <c r="A343" s="0" t="s">
        <v>16</v>
      </c>
      <c r="B343" s="0" t="s">
        <v>4879</v>
      </c>
      <c r="C343" s="0" t="s">
        <v>4880</v>
      </c>
      <c r="D343" s="0" t="s">
        <v>4158</v>
      </c>
      <c r="E343" s="0" t="s">
        <v>4947</v>
      </c>
      <c r="F343" s="0" t="s">
        <v>4012</v>
      </c>
      <c r="G343" s="0" t="s">
        <v>4948</v>
      </c>
    </row>
    <row customHeight="1" ht="11.25">
      <c r="A344" s="0" t="s">
        <v>16</v>
      </c>
      <c r="B344" s="0" t="s">
        <v>4879</v>
      </c>
      <c r="C344" s="0" t="s">
        <v>4880</v>
      </c>
      <c r="D344" s="0" t="s">
        <v>4949</v>
      </c>
      <c r="E344" s="0" t="s">
        <v>4950</v>
      </c>
      <c r="F344" s="0" t="s">
        <v>4012</v>
      </c>
      <c r="G344" s="0" t="s">
        <v>4951</v>
      </c>
    </row>
    <row customHeight="1" ht="11.25">
      <c r="A345" s="0" t="s">
        <v>16</v>
      </c>
      <c r="B345" s="0" t="s">
        <v>4879</v>
      </c>
      <c r="C345" s="0" t="s">
        <v>4880</v>
      </c>
      <c r="D345" s="0" t="s">
        <v>4952</v>
      </c>
      <c r="E345" s="0" t="s">
        <v>4953</v>
      </c>
      <c r="F345" s="0" t="s">
        <v>4012</v>
      </c>
      <c r="G345" s="0" t="s">
        <v>4954</v>
      </c>
    </row>
    <row customHeight="1" ht="11.25">
      <c r="A346" s="0" t="s">
        <v>16</v>
      </c>
      <c r="B346" s="0" t="s">
        <v>4955</v>
      </c>
      <c r="C346" s="0" t="s">
        <v>4956</v>
      </c>
      <c r="D346" s="0" t="s">
        <v>4957</v>
      </c>
      <c r="E346" s="0" t="s">
        <v>4958</v>
      </c>
      <c r="F346" s="0" t="s">
        <v>4012</v>
      </c>
      <c r="G346" s="0" t="s">
        <v>4959</v>
      </c>
    </row>
    <row customHeight="1" ht="11.25">
      <c r="A347" s="0" t="s">
        <v>16</v>
      </c>
      <c r="B347" s="0" t="s">
        <v>4955</v>
      </c>
      <c r="C347" s="0" t="s">
        <v>4956</v>
      </c>
      <c r="D347" s="0" t="s">
        <v>4064</v>
      </c>
      <c r="E347" s="0" t="s">
        <v>4960</v>
      </c>
      <c r="F347" s="0" t="s">
        <v>4012</v>
      </c>
      <c r="G347" s="0" t="s">
        <v>4961</v>
      </c>
    </row>
    <row customHeight="1" ht="11.25">
      <c r="A348" s="0" t="s">
        <v>16</v>
      </c>
      <c r="B348" s="0" t="s">
        <v>4955</v>
      </c>
      <c r="C348" s="0" t="s">
        <v>4956</v>
      </c>
      <c r="D348" s="0" t="s">
        <v>4962</v>
      </c>
      <c r="E348" s="0" t="s">
        <v>4963</v>
      </c>
      <c r="F348" s="0" t="s">
        <v>4012</v>
      </c>
      <c r="G348" s="0" t="s">
        <v>4964</v>
      </c>
    </row>
    <row customHeight="1" ht="11.25">
      <c r="A349" s="0" t="s">
        <v>16</v>
      </c>
      <c r="B349" s="0" t="s">
        <v>4955</v>
      </c>
      <c r="C349" s="0" t="s">
        <v>4956</v>
      </c>
      <c r="D349" s="0" t="s">
        <v>4965</v>
      </c>
      <c r="E349" s="0" t="s">
        <v>4966</v>
      </c>
      <c r="F349" s="0" t="s">
        <v>4012</v>
      </c>
      <c r="G349" s="0" t="s">
        <v>4967</v>
      </c>
    </row>
    <row customHeight="1" ht="11.25">
      <c r="A350" s="0" t="s">
        <v>16</v>
      </c>
      <c r="B350" s="0" t="s">
        <v>4955</v>
      </c>
      <c r="C350" s="0" t="s">
        <v>4956</v>
      </c>
      <c r="D350" s="0" t="s">
        <v>4968</v>
      </c>
      <c r="E350" s="0" t="s">
        <v>4969</v>
      </c>
      <c r="F350" s="0" t="s">
        <v>4012</v>
      </c>
      <c r="G350" s="0" t="s">
        <v>4970</v>
      </c>
    </row>
    <row customHeight="1" ht="11.25">
      <c r="A351" s="0" t="s">
        <v>16</v>
      </c>
      <c r="B351" s="0" t="s">
        <v>4955</v>
      </c>
      <c r="C351" s="0" t="s">
        <v>4956</v>
      </c>
      <c r="D351" s="0" t="s">
        <v>4971</v>
      </c>
      <c r="E351" s="0" t="s">
        <v>4972</v>
      </c>
      <c r="F351" s="0" t="s">
        <v>4012</v>
      </c>
      <c r="G351" s="0" t="s">
        <v>4973</v>
      </c>
    </row>
    <row customHeight="1" ht="11.25">
      <c r="A352" s="0" t="s">
        <v>16</v>
      </c>
      <c r="B352" s="0" t="s">
        <v>4955</v>
      </c>
      <c r="C352" s="0" t="s">
        <v>4956</v>
      </c>
      <c r="D352" s="0" t="s">
        <v>4974</v>
      </c>
      <c r="E352" s="0" t="s">
        <v>4975</v>
      </c>
      <c r="F352" s="0" t="s">
        <v>4012</v>
      </c>
      <c r="G352" s="0" t="s">
        <v>4976</v>
      </c>
    </row>
    <row customHeight="1" ht="11.25">
      <c r="A353" s="0" t="s">
        <v>16</v>
      </c>
      <c r="B353" s="0" t="s">
        <v>4955</v>
      </c>
      <c r="C353" s="0" t="s">
        <v>4956</v>
      </c>
      <c r="D353" s="0" t="s">
        <v>4325</v>
      </c>
      <c r="E353" s="0" t="s">
        <v>4977</v>
      </c>
      <c r="F353" s="0" t="s">
        <v>4012</v>
      </c>
      <c r="G353" s="0" t="s">
        <v>4978</v>
      </c>
    </row>
    <row customHeight="1" ht="11.25">
      <c r="A354" s="0" t="s">
        <v>16</v>
      </c>
      <c r="B354" s="0" t="s">
        <v>4955</v>
      </c>
      <c r="C354" s="0" t="s">
        <v>4956</v>
      </c>
      <c r="D354" s="0" t="s">
        <v>4979</v>
      </c>
      <c r="E354" s="0" t="s">
        <v>4980</v>
      </c>
      <c r="F354" s="0" t="s">
        <v>4012</v>
      </c>
      <c r="G354" s="0" t="s">
        <v>4981</v>
      </c>
    </row>
    <row customHeight="1" ht="11.25">
      <c r="A355" s="0" t="s">
        <v>16</v>
      </c>
      <c r="B355" s="0" t="s">
        <v>4955</v>
      </c>
      <c r="C355" s="0" t="s">
        <v>4956</v>
      </c>
      <c r="D355" s="0" t="s">
        <v>4955</v>
      </c>
      <c r="E355" s="0" t="s">
        <v>4956</v>
      </c>
      <c r="F355" s="0" t="s">
        <v>4009</v>
      </c>
      <c r="G355" s="0" t="s">
        <v>4982</v>
      </c>
    </row>
    <row customHeight="1" ht="11.25">
      <c r="A356" s="0" t="s">
        <v>16</v>
      </c>
      <c r="B356" s="0" t="s">
        <v>4955</v>
      </c>
      <c r="C356" s="0" t="s">
        <v>4956</v>
      </c>
      <c r="D356" s="0" t="s">
        <v>4983</v>
      </c>
      <c r="E356" s="0" t="s">
        <v>4984</v>
      </c>
      <c r="F356" s="0" t="s">
        <v>4012</v>
      </c>
      <c r="G356" s="0" t="s">
        <v>4985</v>
      </c>
    </row>
    <row customHeight="1" ht="11.25">
      <c r="A357" s="0" t="s">
        <v>16</v>
      </c>
      <c r="B357" s="0" t="s">
        <v>4955</v>
      </c>
      <c r="C357" s="0" t="s">
        <v>4956</v>
      </c>
      <c r="D357" s="0" t="s">
        <v>4986</v>
      </c>
      <c r="E357" s="0" t="s">
        <v>4987</v>
      </c>
      <c r="F357" s="0" t="s">
        <v>4012</v>
      </c>
      <c r="G357" s="0" t="s">
        <v>4988</v>
      </c>
    </row>
    <row customHeight="1" ht="11.25">
      <c r="A358" s="0" t="s">
        <v>16</v>
      </c>
      <c r="B358" s="0" t="s">
        <v>4955</v>
      </c>
      <c r="C358" s="0" t="s">
        <v>4956</v>
      </c>
      <c r="D358" s="0" t="s">
        <v>4989</v>
      </c>
      <c r="E358" s="0" t="s">
        <v>4990</v>
      </c>
      <c r="F358" s="0" t="s">
        <v>4012</v>
      </c>
      <c r="G358" s="0" t="s">
        <v>4991</v>
      </c>
    </row>
    <row customHeight="1" ht="11.25">
      <c r="A359" s="0" t="s">
        <v>16</v>
      </c>
      <c r="B359" s="0" t="s">
        <v>4955</v>
      </c>
      <c r="C359" s="0" t="s">
        <v>4956</v>
      </c>
      <c r="D359" s="0" t="s">
        <v>4992</v>
      </c>
      <c r="E359" s="0" t="s">
        <v>4993</v>
      </c>
      <c r="F359" s="0" t="s">
        <v>4012</v>
      </c>
      <c r="G359" s="0" t="s">
        <v>4994</v>
      </c>
    </row>
    <row customHeight="1" ht="11.25">
      <c r="A360" s="0" t="s">
        <v>16</v>
      </c>
      <c r="B360" s="0" t="s">
        <v>4955</v>
      </c>
      <c r="C360" s="0" t="s">
        <v>4956</v>
      </c>
      <c r="D360" s="0" t="s">
        <v>4995</v>
      </c>
      <c r="E360" s="0" t="s">
        <v>4996</v>
      </c>
      <c r="F360" s="0" t="s">
        <v>4012</v>
      </c>
      <c r="G360" s="0" t="s">
        <v>4997</v>
      </c>
    </row>
    <row customHeight="1" ht="11.25">
      <c r="A361" s="0" t="s">
        <v>16</v>
      </c>
      <c r="B361" s="0" t="s">
        <v>4998</v>
      </c>
      <c r="C361" s="0" t="s">
        <v>4999</v>
      </c>
      <c r="D361" s="0" t="s">
        <v>5000</v>
      </c>
      <c r="E361" s="0" t="s">
        <v>5001</v>
      </c>
      <c r="F361" s="0" t="s">
        <v>4012</v>
      </c>
      <c r="G361" s="0" t="s">
        <v>5002</v>
      </c>
    </row>
    <row customHeight="1" ht="11.25">
      <c r="A362" s="0" t="s">
        <v>16</v>
      </c>
      <c r="B362" s="0" t="s">
        <v>4998</v>
      </c>
      <c r="C362" s="0" t="s">
        <v>4999</v>
      </c>
      <c r="D362" s="0" t="s">
        <v>5003</v>
      </c>
      <c r="E362" s="0" t="s">
        <v>5004</v>
      </c>
      <c r="F362" s="0" t="s">
        <v>4012</v>
      </c>
      <c r="G362" s="0" t="s">
        <v>5005</v>
      </c>
    </row>
    <row customHeight="1" ht="11.25">
      <c r="A363" s="0" t="s">
        <v>16</v>
      </c>
      <c r="B363" s="0" t="s">
        <v>4998</v>
      </c>
      <c r="C363" s="0" t="s">
        <v>4999</v>
      </c>
      <c r="D363" s="0" t="s">
        <v>5006</v>
      </c>
      <c r="E363" s="0" t="s">
        <v>5007</v>
      </c>
      <c r="F363" s="0" t="s">
        <v>4012</v>
      </c>
      <c r="G363" s="0" t="s">
        <v>5008</v>
      </c>
    </row>
    <row customHeight="1" ht="11.25">
      <c r="A364" s="0" t="s">
        <v>16</v>
      </c>
      <c r="B364" s="0" t="s">
        <v>4998</v>
      </c>
      <c r="C364" s="0" t="s">
        <v>4999</v>
      </c>
      <c r="D364" s="0" t="s">
        <v>5009</v>
      </c>
      <c r="E364" s="0" t="s">
        <v>5010</v>
      </c>
      <c r="F364" s="0" t="s">
        <v>4019</v>
      </c>
      <c r="G364" s="0" t="s">
        <v>5011</v>
      </c>
    </row>
    <row customHeight="1" ht="11.25">
      <c r="A365" s="0" t="s">
        <v>16</v>
      </c>
      <c r="B365" s="0" t="s">
        <v>4998</v>
      </c>
      <c r="C365" s="0" t="s">
        <v>4999</v>
      </c>
      <c r="D365" s="0" t="s">
        <v>5012</v>
      </c>
      <c r="E365" s="0" t="s">
        <v>5013</v>
      </c>
      <c r="F365" s="0" t="s">
        <v>4019</v>
      </c>
      <c r="G365" s="0" t="s">
        <v>5014</v>
      </c>
    </row>
    <row customHeight="1" ht="11.25">
      <c r="A366" s="0" t="s">
        <v>16</v>
      </c>
      <c r="B366" s="0" t="s">
        <v>4998</v>
      </c>
      <c r="C366" s="0" t="s">
        <v>4999</v>
      </c>
      <c r="D366" s="0" t="s">
        <v>5015</v>
      </c>
      <c r="E366" s="0" t="s">
        <v>5016</v>
      </c>
      <c r="F366" s="0" t="s">
        <v>4012</v>
      </c>
      <c r="G366" s="0" t="s">
        <v>5017</v>
      </c>
    </row>
    <row customHeight="1" ht="11.25">
      <c r="A367" s="0" t="s">
        <v>16</v>
      </c>
      <c r="B367" s="0" t="s">
        <v>4998</v>
      </c>
      <c r="C367" s="0" t="s">
        <v>4999</v>
      </c>
      <c r="D367" s="0" t="s">
        <v>5018</v>
      </c>
      <c r="E367" s="0" t="s">
        <v>5019</v>
      </c>
      <c r="F367" s="0" t="s">
        <v>4012</v>
      </c>
      <c r="G367" s="0" t="s">
        <v>5020</v>
      </c>
    </row>
    <row customHeight="1" ht="11.25">
      <c r="A368" s="0" t="s">
        <v>16</v>
      </c>
      <c r="B368" s="0" t="s">
        <v>4998</v>
      </c>
      <c r="C368" s="0" t="s">
        <v>4999</v>
      </c>
      <c r="D368" s="0" t="s">
        <v>4998</v>
      </c>
      <c r="E368" s="0" t="s">
        <v>4999</v>
      </c>
      <c r="F368" s="0" t="s">
        <v>4009</v>
      </c>
      <c r="G368" s="0" t="s">
        <v>5021</v>
      </c>
    </row>
    <row customHeight="1" ht="11.25">
      <c r="A369" s="0" t="s">
        <v>16</v>
      </c>
      <c r="B369" s="0" t="s">
        <v>4998</v>
      </c>
      <c r="C369" s="0" t="s">
        <v>4999</v>
      </c>
      <c r="D369" s="0" t="s">
        <v>5022</v>
      </c>
      <c r="E369" s="0" t="s">
        <v>5023</v>
      </c>
      <c r="F369" s="0" t="s">
        <v>4012</v>
      </c>
      <c r="G369" s="0" t="s">
        <v>5024</v>
      </c>
    </row>
    <row customHeight="1" ht="11.25">
      <c r="A370" s="0" t="s">
        <v>16</v>
      </c>
      <c r="B370" s="0" t="s">
        <v>4998</v>
      </c>
      <c r="C370" s="0" t="s">
        <v>4999</v>
      </c>
      <c r="D370" s="0" t="s">
        <v>5025</v>
      </c>
      <c r="E370" s="0" t="s">
        <v>5026</v>
      </c>
      <c r="F370" s="0" t="s">
        <v>4012</v>
      </c>
      <c r="G370" s="0" t="s">
        <v>5027</v>
      </c>
    </row>
    <row customHeight="1" ht="11.25">
      <c r="A371" s="0" t="s">
        <v>16</v>
      </c>
      <c r="B371" s="0" t="s">
        <v>5028</v>
      </c>
      <c r="C371" s="0" t="s">
        <v>5029</v>
      </c>
      <c r="D371" s="0" t="s">
        <v>5030</v>
      </c>
      <c r="E371" s="0" t="s">
        <v>5031</v>
      </c>
      <c r="F371" s="0" t="s">
        <v>4012</v>
      </c>
      <c r="G371" s="0" t="s">
        <v>5032</v>
      </c>
    </row>
    <row customHeight="1" ht="11.25">
      <c r="A372" s="0" t="s">
        <v>16</v>
      </c>
      <c r="B372" s="0" t="s">
        <v>5028</v>
      </c>
      <c r="C372" s="0" t="s">
        <v>5029</v>
      </c>
      <c r="D372" s="0" t="s">
        <v>5033</v>
      </c>
      <c r="E372" s="0" t="s">
        <v>5034</v>
      </c>
      <c r="F372" s="0" t="s">
        <v>4012</v>
      </c>
      <c r="G372" s="0" t="s">
        <v>5035</v>
      </c>
    </row>
    <row customHeight="1" ht="11.25">
      <c r="A373" s="0" t="s">
        <v>16</v>
      </c>
      <c r="B373" s="0" t="s">
        <v>5028</v>
      </c>
      <c r="C373" s="0" t="s">
        <v>5029</v>
      </c>
      <c r="D373" s="0" t="s">
        <v>5000</v>
      </c>
      <c r="E373" s="0" t="s">
        <v>5036</v>
      </c>
      <c r="F373" s="0" t="s">
        <v>4012</v>
      </c>
      <c r="G373" s="0" t="s">
        <v>5037</v>
      </c>
    </row>
    <row customHeight="1" ht="11.25">
      <c r="A374" s="0" t="s">
        <v>16</v>
      </c>
      <c r="B374" s="0" t="s">
        <v>5028</v>
      </c>
      <c r="C374" s="0" t="s">
        <v>5029</v>
      </c>
      <c r="D374" s="0" t="s">
        <v>5038</v>
      </c>
      <c r="E374" s="0" t="s">
        <v>5039</v>
      </c>
      <c r="F374" s="0" t="s">
        <v>4012</v>
      </c>
      <c r="G374" s="0" t="s">
        <v>5040</v>
      </c>
    </row>
    <row customHeight="1" ht="11.25">
      <c r="A375" s="0" t="s">
        <v>16</v>
      </c>
      <c r="B375" s="0" t="s">
        <v>5028</v>
      </c>
      <c r="C375" s="0" t="s">
        <v>5029</v>
      </c>
      <c r="D375" s="0" t="s">
        <v>4094</v>
      </c>
      <c r="E375" s="0" t="s">
        <v>5041</v>
      </c>
      <c r="F375" s="0" t="s">
        <v>4012</v>
      </c>
      <c r="G375" s="0" t="s">
        <v>5042</v>
      </c>
    </row>
    <row customHeight="1" ht="11.25">
      <c r="A376" s="0" t="s">
        <v>16</v>
      </c>
      <c r="B376" s="0" t="s">
        <v>5028</v>
      </c>
      <c r="C376" s="0" t="s">
        <v>5029</v>
      </c>
      <c r="D376" s="0" t="s">
        <v>5043</v>
      </c>
      <c r="E376" s="0" t="s">
        <v>5044</v>
      </c>
      <c r="F376" s="0" t="s">
        <v>4012</v>
      </c>
      <c r="G376" s="0" t="s">
        <v>5045</v>
      </c>
    </row>
    <row customHeight="1" ht="11.25">
      <c r="A377" s="0" t="s">
        <v>16</v>
      </c>
      <c r="B377" s="0" t="s">
        <v>5028</v>
      </c>
      <c r="C377" s="0" t="s">
        <v>5029</v>
      </c>
      <c r="D377" s="0" t="s">
        <v>5046</v>
      </c>
      <c r="E377" s="0" t="s">
        <v>5047</v>
      </c>
      <c r="F377" s="0" t="s">
        <v>4012</v>
      </c>
      <c r="G377" s="0" t="s">
        <v>5048</v>
      </c>
    </row>
    <row customHeight="1" ht="11.25">
      <c r="A378" s="0" t="s">
        <v>16</v>
      </c>
      <c r="B378" s="0" t="s">
        <v>5028</v>
      </c>
      <c r="C378" s="0" t="s">
        <v>5029</v>
      </c>
      <c r="D378" s="0" t="s">
        <v>5049</v>
      </c>
      <c r="E378" s="0" t="s">
        <v>5050</v>
      </c>
      <c r="F378" s="0" t="s">
        <v>4012</v>
      </c>
      <c r="G378" s="0" t="s">
        <v>5051</v>
      </c>
    </row>
    <row customHeight="1" ht="11.25">
      <c r="A379" s="0" t="s">
        <v>16</v>
      </c>
      <c r="B379" s="0" t="s">
        <v>5028</v>
      </c>
      <c r="C379" s="0" t="s">
        <v>5029</v>
      </c>
      <c r="D379" s="0" t="s">
        <v>5052</v>
      </c>
      <c r="E379" s="0" t="s">
        <v>5053</v>
      </c>
      <c r="F379" s="0" t="s">
        <v>4012</v>
      </c>
      <c r="G379" s="0" t="s">
        <v>5054</v>
      </c>
    </row>
    <row customHeight="1" ht="11.25">
      <c r="A380" s="0" t="s">
        <v>16</v>
      </c>
      <c r="B380" s="0" t="s">
        <v>5028</v>
      </c>
      <c r="C380" s="0" t="s">
        <v>5029</v>
      </c>
      <c r="D380" s="0" t="s">
        <v>5055</v>
      </c>
      <c r="E380" s="0" t="s">
        <v>5056</v>
      </c>
      <c r="F380" s="0" t="s">
        <v>4012</v>
      </c>
      <c r="G380" s="0" t="s">
        <v>5057</v>
      </c>
    </row>
    <row customHeight="1" ht="11.25">
      <c r="A381" s="0" t="s">
        <v>16</v>
      </c>
      <c r="B381" s="0" t="s">
        <v>5028</v>
      </c>
      <c r="C381" s="0" t="s">
        <v>5029</v>
      </c>
      <c r="D381" s="0" t="s">
        <v>5058</v>
      </c>
      <c r="E381" s="0" t="s">
        <v>5059</v>
      </c>
      <c r="F381" s="0" t="s">
        <v>4012</v>
      </c>
      <c r="G381" s="0" t="s">
        <v>5060</v>
      </c>
    </row>
    <row customHeight="1" ht="11.25">
      <c r="A382" s="0" t="s">
        <v>16</v>
      </c>
      <c r="B382" s="0" t="s">
        <v>5028</v>
      </c>
      <c r="C382" s="0" t="s">
        <v>5029</v>
      </c>
      <c r="D382" s="0" t="s">
        <v>5061</v>
      </c>
      <c r="E382" s="0" t="s">
        <v>5062</v>
      </c>
      <c r="F382" s="0" t="s">
        <v>4012</v>
      </c>
      <c r="G382" s="0" t="s">
        <v>5063</v>
      </c>
    </row>
    <row customHeight="1" ht="11.25">
      <c r="A383" s="0" t="s">
        <v>16</v>
      </c>
      <c r="B383" s="0" t="s">
        <v>5028</v>
      </c>
      <c r="C383" s="0" t="s">
        <v>5029</v>
      </c>
      <c r="D383" s="0" t="s">
        <v>5064</v>
      </c>
      <c r="E383" s="0" t="s">
        <v>5065</v>
      </c>
      <c r="F383" s="0" t="s">
        <v>4012</v>
      </c>
      <c r="G383" s="0" t="s">
        <v>5066</v>
      </c>
    </row>
    <row customHeight="1" ht="11.25">
      <c r="A384" s="0" t="s">
        <v>16</v>
      </c>
      <c r="B384" s="0" t="s">
        <v>5028</v>
      </c>
      <c r="C384" s="0" t="s">
        <v>5029</v>
      </c>
      <c r="D384" s="0" t="s">
        <v>5067</v>
      </c>
      <c r="E384" s="0" t="s">
        <v>5068</v>
      </c>
      <c r="F384" s="0" t="s">
        <v>4012</v>
      </c>
      <c r="G384" s="0" t="s">
        <v>5069</v>
      </c>
    </row>
    <row customHeight="1" ht="11.25">
      <c r="A385" s="0" t="s">
        <v>16</v>
      </c>
      <c r="B385" s="0" t="s">
        <v>5028</v>
      </c>
      <c r="C385" s="0" t="s">
        <v>5029</v>
      </c>
      <c r="D385" s="0" t="s">
        <v>5070</v>
      </c>
      <c r="E385" s="0" t="s">
        <v>5071</v>
      </c>
      <c r="F385" s="0" t="s">
        <v>4012</v>
      </c>
      <c r="G385" s="0" t="s">
        <v>5072</v>
      </c>
    </row>
    <row customHeight="1" ht="11.25">
      <c r="A386" s="0" t="s">
        <v>16</v>
      </c>
      <c r="B386" s="0" t="s">
        <v>5028</v>
      </c>
      <c r="C386" s="0" t="s">
        <v>5029</v>
      </c>
      <c r="D386" s="0" t="s">
        <v>5073</v>
      </c>
      <c r="E386" s="0" t="s">
        <v>5074</v>
      </c>
      <c r="F386" s="0" t="s">
        <v>4012</v>
      </c>
      <c r="G386" s="0" t="s">
        <v>5075</v>
      </c>
    </row>
    <row customHeight="1" ht="11.25">
      <c r="A387" s="0" t="s">
        <v>16</v>
      </c>
      <c r="B387" s="0" t="s">
        <v>5028</v>
      </c>
      <c r="C387" s="0" t="s">
        <v>5029</v>
      </c>
      <c r="D387" s="0" t="s">
        <v>5076</v>
      </c>
      <c r="E387" s="0" t="s">
        <v>5077</v>
      </c>
      <c r="F387" s="0" t="s">
        <v>4012</v>
      </c>
      <c r="G387" s="0" t="s">
        <v>5078</v>
      </c>
    </row>
    <row customHeight="1" ht="11.25">
      <c r="A388" s="0" t="s">
        <v>16</v>
      </c>
      <c r="B388" s="0" t="s">
        <v>5028</v>
      </c>
      <c r="C388" s="0" t="s">
        <v>5029</v>
      </c>
      <c r="D388" s="0" t="s">
        <v>5079</v>
      </c>
      <c r="E388" s="0" t="s">
        <v>5080</v>
      </c>
      <c r="F388" s="0" t="s">
        <v>4012</v>
      </c>
      <c r="G388" s="0" t="s">
        <v>5081</v>
      </c>
    </row>
    <row customHeight="1" ht="11.25">
      <c r="A389" s="0" t="s">
        <v>16</v>
      </c>
      <c r="B389" s="0" t="s">
        <v>5028</v>
      </c>
      <c r="C389" s="0" t="s">
        <v>5029</v>
      </c>
      <c r="D389" s="0" t="s">
        <v>5028</v>
      </c>
      <c r="E389" s="0" t="s">
        <v>5029</v>
      </c>
      <c r="F389" s="0" t="s">
        <v>4009</v>
      </c>
      <c r="G389" s="0" t="s">
        <v>5082</v>
      </c>
    </row>
    <row customHeight="1" ht="11.25">
      <c r="A390" s="0" t="s">
        <v>16</v>
      </c>
      <c r="B390" s="0" t="s">
        <v>5028</v>
      </c>
      <c r="C390" s="0" t="s">
        <v>5029</v>
      </c>
      <c r="D390" s="0" t="s">
        <v>5083</v>
      </c>
      <c r="E390" s="0" t="s">
        <v>5084</v>
      </c>
      <c r="F390" s="0" t="s">
        <v>4012</v>
      </c>
      <c r="G390" s="0" t="s">
        <v>5085</v>
      </c>
    </row>
    <row customHeight="1" ht="11.25">
      <c r="A391" s="0" t="s">
        <v>16</v>
      </c>
      <c r="B391" s="0" t="s">
        <v>5028</v>
      </c>
      <c r="C391" s="0" t="s">
        <v>5029</v>
      </c>
      <c r="D391" s="0" t="s">
        <v>4158</v>
      </c>
      <c r="E391" s="0" t="s">
        <v>5086</v>
      </c>
      <c r="F391" s="0" t="s">
        <v>4012</v>
      </c>
      <c r="G391" s="0" t="s">
        <v>5087</v>
      </c>
    </row>
    <row customHeight="1" ht="11.25">
      <c r="A392" s="0" t="s">
        <v>16</v>
      </c>
      <c r="B392" s="0" t="s">
        <v>5028</v>
      </c>
      <c r="C392" s="0" t="s">
        <v>5029</v>
      </c>
      <c r="D392" s="0" t="s">
        <v>5088</v>
      </c>
      <c r="E392" s="0" t="s">
        <v>5089</v>
      </c>
      <c r="F392" s="0" t="s">
        <v>4012</v>
      </c>
      <c r="G392" s="0" t="s">
        <v>5090</v>
      </c>
    </row>
    <row customHeight="1" ht="11.25">
      <c r="A393" s="0" t="s">
        <v>16</v>
      </c>
      <c r="B393" s="0" t="s">
        <v>5091</v>
      </c>
      <c r="C393" s="0" t="s">
        <v>5092</v>
      </c>
      <c r="D393" s="0" t="s">
        <v>5093</v>
      </c>
      <c r="E393" s="0" t="s">
        <v>5094</v>
      </c>
      <c r="F393" s="0" t="s">
        <v>4012</v>
      </c>
      <c r="G393" s="0" t="s">
        <v>5095</v>
      </c>
    </row>
    <row customHeight="1" ht="11.25">
      <c r="A394" s="0" t="s">
        <v>16</v>
      </c>
      <c r="B394" s="0" t="s">
        <v>5091</v>
      </c>
      <c r="C394" s="0" t="s">
        <v>5092</v>
      </c>
      <c r="D394" s="0" t="s">
        <v>5096</v>
      </c>
      <c r="E394" s="0" t="s">
        <v>5097</v>
      </c>
      <c r="F394" s="0" t="s">
        <v>4049</v>
      </c>
      <c r="G394" s="0" t="s">
        <v>5098</v>
      </c>
    </row>
    <row customHeight="1" ht="11.25">
      <c r="A395" s="0" t="s">
        <v>16</v>
      </c>
      <c r="B395" s="0" t="s">
        <v>5091</v>
      </c>
      <c r="C395" s="0" t="s">
        <v>5092</v>
      </c>
      <c r="D395" s="0" t="s">
        <v>5099</v>
      </c>
      <c r="E395" s="0" t="s">
        <v>5100</v>
      </c>
      <c r="F395" s="0" t="s">
        <v>4012</v>
      </c>
      <c r="G395" s="0" t="s">
        <v>5101</v>
      </c>
    </row>
    <row customHeight="1" ht="11.25">
      <c r="A396" s="0" t="s">
        <v>16</v>
      </c>
      <c r="B396" s="0" t="s">
        <v>5091</v>
      </c>
      <c r="C396" s="0" t="s">
        <v>5092</v>
      </c>
      <c r="D396" s="0" t="s">
        <v>5102</v>
      </c>
      <c r="E396" s="0" t="s">
        <v>5103</v>
      </c>
      <c r="F396" s="0" t="s">
        <v>4019</v>
      </c>
      <c r="G396" s="0" t="s">
        <v>5104</v>
      </c>
    </row>
    <row customHeight="1" ht="11.25">
      <c r="A397" s="0" t="s">
        <v>16</v>
      </c>
      <c r="B397" s="0" t="s">
        <v>5091</v>
      </c>
      <c r="C397" s="0" t="s">
        <v>5092</v>
      </c>
      <c r="D397" s="0" t="s">
        <v>5105</v>
      </c>
      <c r="E397" s="0" t="s">
        <v>5106</v>
      </c>
      <c r="F397" s="0" t="s">
        <v>4019</v>
      </c>
      <c r="G397" s="0" t="s">
        <v>5107</v>
      </c>
    </row>
    <row customHeight="1" ht="11.25">
      <c r="A398" s="0" t="s">
        <v>16</v>
      </c>
      <c r="B398" s="0" t="s">
        <v>5091</v>
      </c>
      <c r="C398" s="0" t="s">
        <v>5092</v>
      </c>
      <c r="D398" s="0" t="s">
        <v>5108</v>
      </c>
      <c r="E398" s="0" t="s">
        <v>5109</v>
      </c>
      <c r="F398" s="0" t="s">
        <v>4019</v>
      </c>
      <c r="G398" s="0" t="s">
        <v>5110</v>
      </c>
    </row>
    <row customHeight="1" ht="11.25">
      <c r="A399" s="0" t="s">
        <v>16</v>
      </c>
      <c r="B399" s="0" t="s">
        <v>5091</v>
      </c>
      <c r="C399" s="0" t="s">
        <v>5092</v>
      </c>
      <c r="D399" s="0" t="s">
        <v>5111</v>
      </c>
      <c r="E399" s="0" t="s">
        <v>5112</v>
      </c>
      <c r="F399" s="0" t="s">
        <v>4019</v>
      </c>
      <c r="G399" s="0" t="s">
        <v>5113</v>
      </c>
    </row>
    <row customHeight="1" ht="11.25">
      <c r="A400" s="0" t="s">
        <v>16</v>
      </c>
      <c r="B400" s="0" t="s">
        <v>5091</v>
      </c>
      <c r="C400" s="0" t="s">
        <v>5092</v>
      </c>
      <c r="D400" s="0" t="s">
        <v>5114</v>
      </c>
      <c r="E400" s="0" t="s">
        <v>5115</v>
      </c>
      <c r="F400" s="0" t="s">
        <v>4019</v>
      </c>
      <c r="G400" s="0" t="s">
        <v>5116</v>
      </c>
    </row>
    <row customHeight="1" ht="11.25">
      <c r="A401" s="0" t="s">
        <v>16</v>
      </c>
      <c r="B401" s="0" t="s">
        <v>5091</v>
      </c>
      <c r="C401" s="0" t="s">
        <v>5092</v>
      </c>
      <c r="D401" s="0" t="s">
        <v>5117</v>
      </c>
      <c r="E401" s="0" t="s">
        <v>5118</v>
      </c>
      <c r="F401" s="0" t="s">
        <v>4012</v>
      </c>
      <c r="G401" s="0" t="s">
        <v>5119</v>
      </c>
    </row>
    <row customHeight="1" ht="11.25">
      <c r="A402" s="0" t="s">
        <v>16</v>
      </c>
      <c r="B402" s="0" t="s">
        <v>5091</v>
      </c>
      <c r="C402" s="0" t="s">
        <v>5092</v>
      </c>
      <c r="D402" s="0" t="s">
        <v>5120</v>
      </c>
      <c r="E402" s="0" t="s">
        <v>5121</v>
      </c>
      <c r="F402" s="0" t="s">
        <v>4012</v>
      </c>
      <c r="G402" s="0" t="s">
        <v>5122</v>
      </c>
    </row>
    <row customHeight="1" ht="11.25">
      <c r="A403" s="0" t="s">
        <v>16</v>
      </c>
      <c r="B403" s="0" t="s">
        <v>5091</v>
      </c>
      <c r="C403" s="0" t="s">
        <v>5092</v>
      </c>
      <c r="D403" s="0" t="s">
        <v>5091</v>
      </c>
      <c r="E403" s="0" t="s">
        <v>5092</v>
      </c>
      <c r="F403" s="0" t="s">
        <v>4009</v>
      </c>
      <c r="G403" s="0" t="s">
        <v>5123</v>
      </c>
    </row>
    <row customHeight="1" ht="11.25">
      <c r="A404" s="0" t="s">
        <v>16</v>
      </c>
      <c r="B404" s="0" t="s">
        <v>5091</v>
      </c>
      <c r="C404" s="0" t="s">
        <v>5092</v>
      </c>
      <c r="D404" s="0" t="s">
        <v>5124</v>
      </c>
      <c r="E404" s="0" t="s">
        <v>5125</v>
      </c>
      <c r="F404" s="0" t="s">
        <v>4012</v>
      </c>
      <c r="G404" s="0" t="s">
        <v>5126</v>
      </c>
    </row>
    <row customHeight="1" ht="11.25">
      <c r="A405" s="0" t="s">
        <v>16</v>
      </c>
      <c r="B405" s="0" t="s">
        <v>5127</v>
      </c>
      <c r="C405" s="0" t="s">
        <v>5128</v>
      </c>
      <c r="D405" s="0" t="s">
        <v>5129</v>
      </c>
      <c r="E405" s="0" t="s">
        <v>5130</v>
      </c>
      <c r="F405" s="0" t="s">
        <v>4012</v>
      </c>
      <c r="G405" s="0" t="s">
        <v>5131</v>
      </c>
    </row>
    <row customHeight="1" ht="11.25">
      <c r="A406" s="0" t="s">
        <v>16</v>
      </c>
      <c r="B406" s="0" t="s">
        <v>5127</v>
      </c>
      <c r="C406" s="0" t="s">
        <v>5128</v>
      </c>
      <c r="D406" s="0" t="s">
        <v>5132</v>
      </c>
      <c r="E406" s="0" t="s">
        <v>5133</v>
      </c>
      <c r="F406" s="0" t="s">
        <v>4012</v>
      </c>
      <c r="G406" s="0" t="s">
        <v>5134</v>
      </c>
    </row>
    <row customHeight="1" ht="11.25">
      <c r="A407" s="0" t="s">
        <v>16</v>
      </c>
      <c r="B407" s="0" t="s">
        <v>5127</v>
      </c>
      <c r="C407" s="0" t="s">
        <v>5128</v>
      </c>
      <c r="D407" s="0" t="s">
        <v>5135</v>
      </c>
      <c r="E407" s="0" t="s">
        <v>5136</v>
      </c>
      <c r="F407" s="0" t="s">
        <v>4019</v>
      </c>
      <c r="G407" s="0" t="s">
        <v>5137</v>
      </c>
    </row>
    <row customHeight="1" ht="11.25">
      <c r="A408" s="0" t="s">
        <v>16</v>
      </c>
      <c r="B408" s="0" t="s">
        <v>5127</v>
      </c>
      <c r="C408" s="0" t="s">
        <v>5128</v>
      </c>
      <c r="D408" s="0" t="s">
        <v>5138</v>
      </c>
      <c r="E408" s="0" t="s">
        <v>5139</v>
      </c>
      <c r="F408" s="0" t="s">
        <v>4019</v>
      </c>
      <c r="G408" s="0" t="s">
        <v>5140</v>
      </c>
    </row>
    <row customHeight="1" ht="11.25">
      <c r="A409" s="0" t="s">
        <v>16</v>
      </c>
      <c r="B409" s="0" t="s">
        <v>5127</v>
      </c>
      <c r="C409" s="0" t="s">
        <v>5128</v>
      </c>
      <c r="D409" s="0" t="s">
        <v>5141</v>
      </c>
      <c r="E409" s="0" t="s">
        <v>5142</v>
      </c>
      <c r="F409" s="0" t="s">
        <v>4019</v>
      </c>
      <c r="G409" s="0" t="s">
        <v>5143</v>
      </c>
    </row>
    <row customHeight="1" ht="11.25">
      <c r="A410" s="0" t="s">
        <v>16</v>
      </c>
      <c r="B410" s="0" t="s">
        <v>5127</v>
      </c>
      <c r="C410" s="0" t="s">
        <v>5128</v>
      </c>
      <c r="D410" s="0" t="s">
        <v>5144</v>
      </c>
      <c r="E410" s="0" t="s">
        <v>5145</v>
      </c>
      <c r="F410" s="0" t="s">
        <v>4012</v>
      </c>
      <c r="G410" s="0" t="s">
        <v>5146</v>
      </c>
    </row>
    <row customHeight="1" ht="11.25">
      <c r="A411" s="0" t="s">
        <v>16</v>
      </c>
      <c r="B411" s="0" t="s">
        <v>5127</v>
      </c>
      <c r="C411" s="0" t="s">
        <v>5128</v>
      </c>
      <c r="D411" s="0" t="s">
        <v>5147</v>
      </c>
      <c r="E411" s="0" t="s">
        <v>5148</v>
      </c>
      <c r="F411" s="0" t="s">
        <v>4012</v>
      </c>
      <c r="G411" s="0" t="s">
        <v>5149</v>
      </c>
    </row>
    <row customHeight="1" ht="11.25">
      <c r="A412" s="0" t="s">
        <v>16</v>
      </c>
      <c r="B412" s="0" t="s">
        <v>5127</v>
      </c>
      <c r="C412" s="0" t="s">
        <v>5128</v>
      </c>
      <c r="D412" s="0" t="s">
        <v>5150</v>
      </c>
      <c r="E412" s="0" t="s">
        <v>5151</v>
      </c>
      <c r="F412" s="0" t="s">
        <v>4012</v>
      </c>
      <c r="G412" s="0" t="s">
        <v>5152</v>
      </c>
    </row>
    <row customHeight="1" ht="11.25">
      <c r="A413" s="0" t="s">
        <v>16</v>
      </c>
      <c r="B413" s="0" t="s">
        <v>5127</v>
      </c>
      <c r="C413" s="0" t="s">
        <v>5128</v>
      </c>
      <c r="D413" s="0" t="s">
        <v>5127</v>
      </c>
      <c r="E413" s="0" t="s">
        <v>5128</v>
      </c>
      <c r="F413" s="0" t="s">
        <v>4009</v>
      </c>
      <c r="G413" s="0" t="s">
        <v>5153</v>
      </c>
    </row>
    <row customHeight="1" ht="11.25">
      <c r="A414" s="0" t="s">
        <v>16</v>
      </c>
      <c r="B414" s="0" t="s">
        <v>5127</v>
      </c>
      <c r="C414" s="0" t="s">
        <v>5128</v>
      </c>
      <c r="D414" s="0" t="s">
        <v>5154</v>
      </c>
      <c r="E414" s="0" t="s">
        <v>5155</v>
      </c>
      <c r="F414" s="0" t="s">
        <v>4012</v>
      </c>
      <c r="G414" s="0" t="s">
        <v>5156</v>
      </c>
    </row>
    <row customHeight="1" ht="11.25">
      <c r="A415" s="0" t="s">
        <v>16</v>
      </c>
      <c r="B415" s="0" t="s">
        <v>5127</v>
      </c>
      <c r="C415" s="0" t="s">
        <v>5128</v>
      </c>
      <c r="D415" s="0" t="s">
        <v>5157</v>
      </c>
      <c r="E415" s="0" t="s">
        <v>5158</v>
      </c>
      <c r="F415" s="0" t="s">
        <v>4012</v>
      </c>
      <c r="G415" s="0" t="s">
        <v>5159</v>
      </c>
    </row>
    <row customHeight="1" ht="11.25">
      <c r="A416" s="0" t="s">
        <v>16</v>
      </c>
      <c r="B416" s="0" t="s">
        <v>5160</v>
      </c>
      <c r="C416" s="0" t="s">
        <v>5161</v>
      </c>
      <c r="D416" s="0" t="s">
        <v>4340</v>
      </c>
      <c r="E416" s="0" t="s">
        <v>5162</v>
      </c>
      <c r="F416" s="0" t="s">
        <v>4012</v>
      </c>
      <c r="G416" s="0" t="s">
        <v>5163</v>
      </c>
    </row>
    <row customHeight="1" ht="11.25">
      <c r="A417" s="0" t="s">
        <v>16</v>
      </c>
      <c r="B417" s="0" t="s">
        <v>5160</v>
      </c>
      <c r="C417" s="0" t="s">
        <v>5161</v>
      </c>
      <c r="D417" s="0" t="s">
        <v>5164</v>
      </c>
      <c r="E417" s="0" t="s">
        <v>5165</v>
      </c>
      <c r="F417" s="0" t="s">
        <v>4030</v>
      </c>
      <c r="G417" s="0" t="s">
        <v>5166</v>
      </c>
    </row>
    <row customHeight="1" ht="11.25">
      <c r="A418" s="0" t="s">
        <v>16</v>
      </c>
      <c r="B418" s="0" t="s">
        <v>5160</v>
      </c>
      <c r="C418" s="0" t="s">
        <v>5161</v>
      </c>
      <c r="D418" s="0" t="s">
        <v>5167</v>
      </c>
      <c r="E418" s="0" t="s">
        <v>5168</v>
      </c>
      <c r="F418" s="0" t="s">
        <v>4012</v>
      </c>
      <c r="G418" s="0" t="s">
        <v>5169</v>
      </c>
    </row>
    <row customHeight="1" ht="11.25">
      <c r="A419" s="0" t="s">
        <v>16</v>
      </c>
      <c r="B419" s="0" t="s">
        <v>5160</v>
      </c>
      <c r="C419" s="0" t="s">
        <v>5161</v>
      </c>
      <c r="D419" s="0" t="s">
        <v>5170</v>
      </c>
      <c r="E419" s="0" t="s">
        <v>5171</v>
      </c>
      <c r="F419" s="0" t="s">
        <v>4012</v>
      </c>
      <c r="G419" s="0" t="s">
        <v>5172</v>
      </c>
    </row>
    <row customHeight="1" ht="11.25">
      <c r="A420" s="0" t="s">
        <v>16</v>
      </c>
      <c r="B420" s="0" t="s">
        <v>5160</v>
      </c>
      <c r="C420" s="0" t="s">
        <v>5161</v>
      </c>
      <c r="D420" s="0" t="s">
        <v>5173</v>
      </c>
      <c r="E420" s="0" t="s">
        <v>5174</v>
      </c>
      <c r="F420" s="0" t="s">
        <v>4012</v>
      </c>
      <c r="G420" s="0" t="s">
        <v>5175</v>
      </c>
    </row>
    <row customHeight="1" ht="11.25">
      <c r="A421" s="0" t="s">
        <v>16</v>
      </c>
      <c r="B421" s="0" t="s">
        <v>5160</v>
      </c>
      <c r="C421" s="0" t="s">
        <v>5161</v>
      </c>
      <c r="D421" s="0" t="s">
        <v>5176</v>
      </c>
      <c r="E421" s="0" t="s">
        <v>5177</v>
      </c>
      <c r="F421" s="0" t="s">
        <v>4012</v>
      </c>
      <c r="G421" s="0" t="s">
        <v>5178</v>
      </c>
    </row>
    <row customHeight="1" ht="11.25">
      <c r="A422" s="0" t="s">
        <v>16</v>
      </c>
      <c r="B422" s="0" t="s">
        <v>5160</v>
      </c>
      <c r="C422" s="0" t="s">
        <v>5161</v>
      </c>
      <c r="D422" s="0" t="s">
        <v>5179</v>
      </c>
      <c r="E422" s="0" t="s">
        <v>5180</v>
      </c>
      <c r="F422" s="0" t="s">
        <v>4012</v>
      </c>
      <c r="G422" s="0" t="s">
        <v>5181</v>
      </c>
    </row>
    <row customHeight="1" ht="11.25">
      <c r="A423" s="0" t="s">
        <v>16</v>
      </c>
      <c r="B423" s="0" t="s">
        <v>5160</v>
      </c>
      <c r="C423" s="0" t="s">
        <v>5161</v>
      </c>
      <c r="D423" s="0" t="s">
        <v>5182</v>
      </c>
      <c r="E423" s="0" t="s">
        <v>5183</v>
      </c>
      <c r="F423" s="0" t="s">
        <v>4012</v>
      </c>
      <c r="G423" s="0" t="s">
        <v>5184</v>
      </c>
    </row>
    <row customHeight="1" ht="11.25">
      <c r="A424" s="0" t="s">
        <v>16</v>
      </c>
      <c r="B424" s="0" t="s">
        <v>5160</v>
      </c>
      <c r="C424" s="0" t="s">
        <v>5161</v>
      </c>
      <c r="D424" s="0" t="s">
        <v>5185</v>
      </c>
      <c r="E424" s="0" t="s">
        <v>5186</v>
      </c>
      <c r="F424" s="0" t="s">
        <v>4012</v>
      </c>
      <c r="G424" s="0" t="s">
        <v>5187</v>
      </c>
    </row>
    <row customHeight="1" ht="11.25">
      <c r="A425" s="0" t="s">
        <v>16</v>
      </c>
      <c r="B425" s="0" t="s">
        <v>5160</v>
      </c>
      <c r="C425" s="0" t="s">
        <v>5161</v>
      </c>
      <c r="D425" s="0" t="s">
        <v>5188</v>
      </c>
      <c r="E425" s="0" t="s">
        <v>5189</v>
      </c>
      <c r="F425" s="0" t="s">
        <v>4012</v>
      </c>
      <c r="G425" s="0" t="s">
        <v>5190</v>
      </c>
    </row>
    <row customHeight="1" ht="11.25">
      <c r="A426" s="0" t="s">
        <v>16</v>
      </c>
      <c r="B426" s="0" t="s">
        <v>5160</v>
      </c>
      <c r="C426" s="0" t="s">
        <v>5161</v>
      </c>
      <c r="D426" s="0" t="s">
        <v>5191</v>
      </c>
      <c r="E426" s="0" t="s">
        <v>5192</v>
      </c>
      <c r="F426" s="0" t="s">
        <v>4012</v>
      </c>
      <c r="G426" s="0" t="s">
        <v>5193</v>
      </c>
    </row>
    <row customHeight="1" ht="11.25">
      <c r="A427" s="0" t="s">
        <v>16</v>
      </c>
      <c r="B427" s="0" t="s">
        <v>5160</v>
      </c>
      <c r="C427" s="0" t="s">
        <v>5161</v>
      </c>
      <c r="D427" s="0" t="s">
        <v>5194</v>
      </c>
      <c r="E427" s="0" t="s">
        <v>5195</v>
      </c>
      <c r="F427" s="0" t="s">
        <v>4012</v>
      </c>
      <c r="G427" s="0" t="s">
        <v>5196</v>
      </c>
    </row>
    <row customHeight="1" ht="11.25">
      <c r="A428" s="0" t="s">
        <v>16</v>
      </c>
      <c r="B428" s="0" t="s">
        <v>5160</v>
      </c>
      <c r="C428" s="0" t="s">
        <v>5161</v>
      </c>
      <c r="D428" s="0" t="s">
        <v>5197</v>
      </c>
      <c r="E428" s="0" t="s">
        <v>5198</v>
      </c>
      <c r="F428" s="0" t="s">
        <v>4012</v>
      </c>
      <c r="G428" s="0" t="s">
        <v>5199</v>
      </c>
    </row>
    <row customHeight="1" ht="11.25">
      <c r="A429" s="0" t="s">
        <v>16</v>
      </c>
      <c r="B429" s="0" t="s">
        <v>5160</v>
      </c>
      <c r="C429" s="0" t="s">
        <v>5161</v>
      </c>
      <c r="D429" s="0" t="s">
        <v>5200</v>
      </c>
      <c r="E429" s="0" t="s">
        <v>5201</v>
      </c>
      <c r="F429" s="0" t="s">
        <v>4019</v>
      </c>
      <c r="G429" s="0" t="s">
        <v>5202</v>
      </c>
    </row>
    <row customHeight="1" ht="11.25">
      <c r="A430" s="0" t="s">
        <v>16</v>
      </c>
      <c r="B430" s="0" t="s">
        <v>5160</v>
      </c>
      <c r="C430" s="0" t="s">
        <v>5161</v>
      </c>
      <c r="D430" s="0" t="s">
        <v>5203</v>
      </c>
      <c r="E430" s="0" t="s">
        <v>5204</v>
      </c>
      <c r="F430" s="0" t="s">
        <v>4012</v>
      </c>
      <c r="G430" s="0" t="s">
        <v>5205</v>
      </c>
    </row>
    <row customHeight="1" ht="11.25">
      <c r="A431" s="0" t="s">
        <v>16</v>
      </c>
      <c r="B431" s="0" t="s">
        <v>5160</v>
      </c>
      <c r="C431" s="0" t="s">
        <v>5161</v>
      </c>
      <c r="D431" s="0" t="s">
        <v>5206</v>
      </c>
      <c r="E431" s="0" t="s">
        <v>5207</v>
      </c>
      <c r="F431" s="0" t="s">
        <v>4012</v>
      </c>
      <c r="G431" s="0" t="s">
        <v>5208</v>
      </c>
    </row>
    <row customHeight="1" ht="11.25">
      <c r="A432" s="0" t="s">
        <v>16</v>
      </c>
      <c r="B432" s="0" t="s">
        <v>5160</v>
      </c>
      <c r="C432" s="0" t="s">
        <v>5161</v>
      </c>
      <c r="D432" s="0" t="s">
        <v>5209</v>
      </c>
      <c r="E432" s="0" t="s">
        <v>5210</v>
      </c>
      <c r="F432" s="0" t="s">
        <v>4012</v>
      </c>
      <c r="G432" s="0" t="s">
        <v>5211</v>
      </c>
    </row>
    <row customHeight="1" ht="11.25">
      <c r="A433" s="0" t="s">
        <v>16</v>
      </c>
      <c r="B433" s="0" t="s">
        <v>5160</v>
      </c>
      <c r="C433" s="0" t="s">
        <v>5161</v>
      </c>
      <c r="D433" s="0" t="s">
        <v>5212</v>
      </c>
      <c r="E433" s="0" t="s">
        <v>5213</v>
      </c>
      <c r="F433" s="0" t="s">
        <v>4012</v>
      </c>
      <c r="G433" s="0" t="s">
        <v>5214</v>
      </c>
    </row>
    <row customHeight="1" ht="11.25">
      <c r="A434" s="0" t="s">
        <v>16</v>
      </c>
      <c r="B434" s="0" t="s">
        <v>5160</v>
      </c>
      <c r="C434" s="0" t="s">
        <v>5161</v>
      </c>
      <c r="D434" s="0" t="s">
        <v>5160</v>
      </c>
      <c r="E434" s="0" t="s">
        <v>5161</v>
      </c>
      <c r="F434" s="0" t="s">
        <v>4009</v>
      </c>
      <c r="G434" s="0" t="s">
        <v>5215</v>
      </c>
    </row>
    <row customHeight="1" ht="11.25">
      <c r="A435" s="0" t="s">
        <v>16</v>
      </c>
      <c r="B435" s="0" t="s">
        <v>5216</v>
      </c>
      <c r="C435" s="0" t="s">
        <v>5217</v>
      </c>
      <c r="D435" s="0" t="s">
        <v>5218</v>
      </c>
      <c r="E435" s="0" t="s">
        <v>5219</v>
      </c>
      <c r="F435" s="0" t="s">
        <v>4012</v>
      </c>
      <c r="G435" s="0" t="s">
        <v>5220</v>
      </c>
    </row>
    <row customHeight="1" ht="11.25">
      <c r="A436" s="0" t="s">
        <v>16</v>
      </c>
      <c r="B436" s="0" t="s">
        <v>5216</v>
      </c>
      <c r="C436" s="0" t="s">
        <v>5217</v>
      </c>
      <c r="D436" s="0" t="s">
        <v>4163</v>
      </c>
      <c r="E436" s="0" t="s">
        <v>5221</v>
      </c>
      <c r="F436" s="0" t="s">
        <v>4012</v>
      </c>
      <c r="G436" s="0" t="s">
        <v>5222</v>
      </c>
    </row>
    <row customHeight="1" ht="11.25">
      <c r="A437" s="0" t="s">
        <v>16</v>
      </c>
      <c r="B437" s="0" t="s">
        <v>5216</v>
      </c>
      <c r="C437" s="0" t="s">
        <v>5217</v>
      </c>
      <c r="D437" s="0" t="s">
        <v>5223</v>
      </c>
      <c r="E437" s="0" t="s">
        <v>5224</v>
      </c>
      <c r="F437" s="0" t="s">
        <v>4012</v>
      </c>
      <c r="G437" s="0" t="s">
        <v>5225</v>
      </c>
    </row>
    <row customHeight="1" ht="11.25">
      <c r="A438" s="0" t="s">
        <v>16</v>
      </c>
      <c r="B438" s="0" t="s">
        <v>5216</v>
      </c>
      <c r="C438" s="0" t="s">
        <v>5217</v>
      </c>
      <c r="D438" s="0" t="s">
        <v>5226</v>
      </c>
      <c r="E438" s="0" t="s">
        <v>5227</v>
      </c>
      <c r="F438" s="0" t="s">
        <v>4012</v>
      </c>
      <c r="G438" s="0" t="s">
        <v>5228</v>
      </c>
    </row>
    <row customHeight="1" ht="11.25">
      <c r="A439" s="0" t="s">
        <v>16</v>
      </c>
      <c r="B439" s="0" t="s">
        <v>5216</v>
      </c>
      <c r="C439" s="0" t="s">
        <v>5217</v>
      </c>
      <c r="D439" s="0" t="s">
        <v>4068</v>
      </c>
      <c r="E439" s="0" t="s">
        <v>5229</v>
      </c>
      <c r="F439" s="0" t="s">
        <v>4012</v>
      </c>
      <c r="G439" s="0" t="s">
        <v>5230</v>
      </c>
    </row>
    <row customHeight="1" ht="11.25">
      <c r="A440" s="0" t="s">
        <v>16</v>
      </c>
      <c r="B440" s="0" t="s">
        <v>5216</v>
      </c>
      <c r="C440" s="0" t="s">
        <v>5217</v>
      </c>
      <c r="D440" s="0" t="s">
        <v>5231</v>
      </c>
      <c r="E440" s="0" t="s">
        <v>5232</v>
      </c>
      <c r="F440" s="0" t="s">
        <v>4012</v>
      </c>
      <c r="G440" s="0" t="s">
        <v>5233</v>
      </c>
    </row>
    <row customHeight="1" ht="11.25">
      <c r="A441" s="0" t="s">
        <v>16</v>
      </c>
      <c r="B441" s="0" t="s">
        <v>5216</v>
      </c>
      <c r="C441" s="0" t="s">
        <v>5217</v>
      </c>
      <c r="D441" s="0" t="s">
        <v>5234</v>
      </c>
      <c r="E441" s="0" t="s">
        <v>5235</v>
      </c>
      <c r="F441" s="0" t="s">
        <v>4012</v>
      </c>
      <c r="G441" s="0" t="s">
        <v>5236</v>
      </c>
    </row>
    <row customHeight="1" ht="11.25">
      <c r="A442" s="0" t="s">
        <v>16</v>
      </c>
      <c r="B442" s="0" t="s">
        <v>5216</v>
      </c>
      <c r="C442" s="0" t="s">
        <v>5217</v>
      </c>
      <c r="D442" s="0" t="s">
        <v>5237</v>
      </c>
      <c r="E442" s="0" t="s">
        <v>5238</v>
      </c>
      <c r="F442" s="0" t="s">
        <v>4012</v>
      </c>
      <c r="G442" s="0" t="s">
        <v>5239</v>
      </c>
    </row>
    <row customHeight="1" ht="11.25">
      <c r="A443" s="0" t="s">
        <v>16</v>
      </c>
      <c r="B443" s="0" t="s">
        <v>5216</v>
      </c>
      <c r="C443" s="0" t="s">
        <v>5217</v>
      </c>
      <c r="D443" s="0" t="s">
        <v>5240</v>
      </c>
      <c r="E443" s="0" t="s">
        <v>5241</v>
      </c>
      <c r="F443" s="0" t="s">
        <v>4012</v>
      </c>
      <c r="G443" s="0" t="s">
        <v>5242</v>
      </c>
    </row>
    <row customHeight="1" ht="11.25">
      <c r="A444" s="0" t="s">
        <v>16</v>
      </c>
      <c r="B444" s="0" t="s">
        <v>5216</v>
      </c>
      <c r="C444" s="0" t="s">
        <v>5217</v>
      </c>
      <c r="D444" s="0" t="s">
        <v>5243</v>
      </c>
      <c r="E444" s="0" t="s">
        <v>5244</v>
      </c>
      <c r="F444" s="0" t="s">
        <v>4012</v>
      </c>
      <c r="G444" s="0" t="s">
        <v>5245</v>
      </c>
    </row>
    <row customHeight="1" ht="11.25">
      <c r="A445" s="0" t="s">
        <v>16</v>
      </c>
      <c r="B445" s="0" t="s">
        <v>5216</v>
      </c>
      <c r="C445" s="0" t="s">
        <v>5217</v>
      </c>
      <c r="D445" s="0" t="s">
        <v>5246</v>
      </c>
      <c r="E445" s="0" t="s">
        <v>5247</v>
      </c>
      <c r="F445" s="0" t="s">
        <v>4012</v>
      </c>
      <c r="G445" s="0" t="s">
        <v>5248</v>
      </c>
    </row>
    <row customHeight="1" ht="11.25">
      <c r="A446" s="0" t="s">
        <v>16</v>
      </c>
      <c r="B446" s="0" t="s">
        <v>5216</v>
      </c>
      <c r="C446" s="0" t="s">
        <v>5217</v>
      </c>
      <c r="D446" s="0" t="s">
        <v>5249</v>
      </c>
      <c r="E446" s="0" t="s">
        <v>5250</v>
      </c>
      <c r="F446" s="0" t="s">
        <v>4012</v>
      </c>
      <c r="G446" s="0" t="s">
        <v>5251</v>
      </c>
    </row>
    <row customHeight="1" ht="11.25">
      <c r="A447" s="0" t="s">
        <v>16</v>
      </c>
      <c r="B447" s="0" t="s">
        <v>5216</v>
      </c>
      <c r="C447" s="0" t="s">
        <v>5217</v>
      </c>
      <c r="D447" s="0" t="s">
        <v>5252</v>
      </c>
      <c r="E447" s="0" t="s">
        <v>5253</v>
      </c>
      <c r="F447" s="0" t="s">
        <v>4012</v>
      </c>
      <c r="G447" s="0" t="s">
        <v>5254</v>
      </c>
    </row>
    <row customHeight="1" ht="11.25">
      <c r="A448" s="0" t="s">
        <v>16</v>
      </c>
      <c r="B448" s="0" t="s">
        <v>5216</v>
      </c>
      <c r="C448" s="0" t="s">
        <v>5217</v>
      </c>
      <c r="D448" s="0" t="s">
        <v>5255</v>
      </c>
      <c r="E448" s="0" t="s">
        <v>5256</v>
      </c>
      <c r="F448" s="0" t="s">
        <v>4012</v>
      </c>
      <c r="G448" s="0" t="s">
        <v>5257</v>
      </c>
    </row>
    <row customHeight="1" ht="11.25">
      <c r="A449" s="0" t="s">
        <v>16</v>
      </c>
      <c r="B449" s="0" t="s">
        <v>5216</v>
      </c>
      <c r="C449" s="0" t="s">
        <v>5217</v>
      </c>
      <c r="D449" s="0" t="s">
        <v>5258</v>
      </c>
      <c r="E449" s="0" t="s">
        <v>5259</v>
      </c>
      <c r="F449" s="0" t="s">
        <v>4012</v>
      </c>
      <c r="G449" s="0" t="s">
        <v>5260</v>
      </c>
    </row>
    <row customHeight="1" ht="11.25">
      <c r="A450" s="0" t="s">
        <v>16</v>
      </c>
      <c r="B450" s="0" t="s">
        <v>5216</v>
      </c>
      <c r="C450" s="0" t="s">
        <v>5217</v>
      </c>
      <c r="D450" s="0" t="s">
        <v>4080</v>
      </c>
      <c r="E450" s="0" t="s">
        <v>5261</v>
      </c>
      <c r="F450" s="0" t="s">
        <v>4012</v>
      </c>
      <c r="G450" s="0" t="s">
        <v>5262</v>
      </c>
    </row>
    <row customHeight="1" ht="11.25">
      <c r="A451" s="0" t="s">
        <v>16</v>
      </c>
      <c r="B451" s="0" t="s">
        <v>5216</v>
      </c>
      <c r="C451" s="0" t="s">
        <v>5217</v>
      </c>
      <c r="D451" s="0" t="s">
        <v>5216</v>
      </c>
      <c r="E451" s="0" t="s">
        <v>5217</v>
      </c>
      <c r="F451" s="0" t="s">
        <v>4009</v>
      </c>
      <c r="G451" s="0" t="s">
        <v>5263</v>
      </c>
    </row>
    <row customHeight="1" ht="11.25">
      <c r="A452" s="0" t="s">
        <v>16</v>
      </c>
      <c r="B452" s="0" t="s">
        <v>5216</v>
      </c>
      <c r="C452" s="0" t="s">
        <v>5217</v>
      </c>
      <c r="D452" s="0" t="s">
        <v>5264</v>
      </c>
      <c r="E452" s="0" t="s">
        <v>5265</v>
      </c>
      <c r="F452" s="0" t="s">
        <v>4012</v>
      </c>
      <c r="G452" s="0" t="s">
        <v>5266</v>
      </c>
    </row>
    <row customHeight="1" ht="11.25">
      <c r="A453" s="0" t="s">
        <v>16</v>
      </c>
      <c r="B453" s="0" t="s">
        <v>5267</v>
      </c>
      <c r="C453" s="0" t="s">
        <v>5268</v>
      </c>
      <c r="D453" s="0" t="s">
        <v>5269</v>
      </c>
      <c r="E453" s="0" t="s">
        <v>5270</v>
      </c>
      <c r="F453" s="0" t="s">
        <v>4012</v>
      </c>
      <c r="G453" s="0" t="s">
        <v>5271</v>
      </c>
    </row>
    <row customHeight="1" ht="11.25">
      <c r="A454" s="0" t="s">
        <v>16</v>
      </c>
      <c r="B454" s="0" t="s">
        <v>5267</v>
      </c>
      <c r="C454" s="0" t="s">
        <v>5268</v>
      </c>
      <c r="D454" s="0" t="s">
        <v>5272</v>
      </c>
      <c r="E454" s="0" t="s">
        <v>5273</v>
      </c>
      <c r="F454" s="0" t="s">
        <v>4012</v>
      </c>
      <c r="G454" s="0" t="s">
        <v>5274</v>
      </c>
    </row>
    <row customHeight="1" ht="11.25">
      <c r="A455" s="0" t="s">
        <v>16</v>
      </c>
      <c r="B455" s="0" t="s">
        <v>5267</v>
      </c>
      <c r="C455" s="0" t="s">
        <v>5268</v>
      </c>
      <c r="D455" s="0" t="s">
        <v>5275</v>
      </c>
      <c r="E455" s="0" t="s">
        <v>5276</v>
      </c>
      <c r="F455" s="0" t="s">
        <v>4012</v>
      </c>
      <c r="G455" s="0" t="s">
        <v>5277</v>
      </c>
    </row>
    <row customHeight="1" ht="11.25">
      <c r="A456" s="0" t="s">
        <v>16</v>
      </c>
      <c r="B456" s="0" t="s">
        <v>5267</v>
      </c>
      <c r="C456" s="0" t="s">
        <v>5268</v>
      </c>
      <c r="D456" s="0" t="s">
        <v>5267</v>
      </c>
      <c r="E456" s="0" t="s">
        <v>5268</v>
      </c>
      <c r="F456" s="0" t="s">
        <v>4009</v>
      </c>
      <c r="G456" s="0" t="s">
        <v>5278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30A18-DA37-E8C1-C177-0.D8F3B653}"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701" width="9.140625"/>
    <col min="2" max="2" style="1701" width="84.28125" customWidth="1"/>
    <col min="3" max="3" style="1701" width="9.140625"/>
  </cols>
  <sheetData>
    <row customHeight="1" ht="11.25">
      <c r="A1" s="845" t="s">
        <v>5437</v>
      </c>
      <c r="B1" s="845" t="s">
        <v>5438</v>
      </c>
      <c r="C1" s="845" t="s">
        <v>1447</v>
      </c>
    </row>
    <row customHeight="1" ht="11.25">
      <c r="A2" s="845">
        <v>4189678</v>
      </c>
      <c r="B2" s="845" t="s">
        <v>5439</v>
      </c>
      <c r="C2" s="845" t="s">
        <v>5440</v>
      </c>
    </row>
    <row customHeight="1" ht="11.25">
      <c r="A3" s="845">
        <v>4190415</v>
      </c>
      <c r="B3" s="845" t="s">
        <v>5441</v>
      </c>
      <c r="C3" s="845" t="s">
        <v>5440</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066A92-05F4-F619-2368-0.ED57355}"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72" width="38.421875" customWidth="1"/>
    <col min="2" max="5" style="172" width="9.140625"/>
  </cols>
  <sheetData>
    <row customHeight="1" ht="15">
      <c r="A1" s="173" t="s">
        <v>5442</v>
      </c>
      <c r="B1" s="173" t="s">
        <v>5443</v>
      </c>
      <c r="C1" s="173"/>
      <c r="D1" s="173"/>
      <c r="E1" s="173"/>
    </row>
    <row customHeight="1" ht="15">
      <c r="A2" s="173"/>
      <c r="B2" s="173"/>
      <c r="C2" s="173"/>
      <c r="D2" s="173"/>
      <c r="E2" s="173"/>
    </row>
    <row customHeight="1" ht="15">
      <c r="A3" s="173"/>
      <c r="B3" s="173"/>
      <c r="C3" s="173"/>
      <c r="D3" s="173"/>
      <c r="E3" s="173"/>
    </row>
    <row customHeight="1" ht="15">
      <c r="A4" s="173"/>
      <c r="B4" s="173"/>
      <c r="C4" s="173"/>
      <c r="D4" s="173"/>
      <c r="E4" s="173"/>
    </row>
    <row customHeight="1" ht="15">
      <c r="A5" s="173"/>
      <c r="B5" s="173"/>
      <c r="C5" s="173"/>
      <c r="D5" s="173"/>
      <c r="E5" s="173"/>
    </row>
    <row customHeight="1" ht="15">
      <c r="A6" s="173"/>
      <c r="B6" s="173"/>
      <c r="C6" s="173"/>
      <c r="D6" s="173"/>
      <c r="E6" s="173"/>
    </row>
    <row customHeight="1" ht="15">
      <c r="A7" s="173"/>
      <c r="B7" s="173"/>
      <c r="C7" s="173"/>
      <c r="D7" s="173"/>
      <c r="E7" s="173"/>
    </row>
    <row customHeight="1" ht="15">
      <c r="A8" s="173"/>
      <c r="B8" s="173"/>
      <c r="C8" s="173"/>
      <c r="D8" s="173"/>
      <c r="E8" s="173"/>
    </row>
  </sheetData>
  <sheetProtection sheet="1" formatColumns="0" formatRows="0"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8D7A84-A1E2-E10E-708E-0.1AC49BD3}"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5444</v>
      </c>
      <c r="B1" s="0" t="b">
        <v>1</v>
      </c>
    </row>
    <row customHeight="1" ht="11.25">
      <c r="A2" s="0" t="s">
        <v>5445</v>
      </c>
      <c r="B2" s="0" t="b">
        <v>0</v>
      </c>
    </row>
    <row customHeight="1" ht="11.25">
      <c r="A3" s="0" t="s">
        <v>5446</v>
      </c>
      <c r="B3" s="0" t="b">
        <v>1</v>
      </c>
    </row>
    <row customHeight="1" ht="11.25">
      <c r="A4" s="0" t="s">
        <v>5447</v>
      </c>
      <c r="B4" s="0" t="b">
        <v>0</v>
      </c>
    </row>
    <row customHeight="1" ht="11.25">
      <c r="A5" s="0" t="s">
        <v>5448</v>
      </c>
      <c r="B5" s="0" t="b">
        <v>0</v>
      </c>
    </row>
    <row customHeight="1" ht="11.25">
      <c r="A6" s="0" t="s">
        <v>5449</v>
      </c>
      <c r="B6" s="0" t="b">
        <v>0</v>
      </c>
    </row>
    <row customHeight="1" ht="11.25">
      <c r="A7" s="0" t="s">
        <v>5450</v>
      </c>
      <c r="B7" s="0" t="b">
        <v>0</v>
      </c>
    </row>
    <row customHeight="1" ht="11.25">
      <c r="A8" s="0" t="s">
        <v>5451</v>
      </c>
      <c r="B8" s="0" t="b">
        <v>0</v>
      </c>
    </row>
    <row customHeight="1" ht="11.25">
      <c r="A9" s="0" t="s">
        <v>5452</v>
      </c>
      <c r="B9" s="0" t="b">
        <v>0</v>
      </c>
    </row>
    <row customHeight="1" ht="11.25">
      <c r="A10" s="0" t="s">
        <v>5453</v>
      </c>
      <c r="B10" s="0" t="b">
        <v>0</v>
      </c>
    </row>
    <row customHeight="1" ht="11.25">
      <c r="A11" s="0" t="s">
        <v>5454</v>
      </c>
      <c r="B11" s="0" t="b">
        <v>1</v>
      </c>
    </row>
    <row customHeight="1" ht="11.25">
      <c r="A12" s="0" t="s">
        <v>5455</v>
      </c>
      <c r="B12" s="0" t="b">
        <v>0</v>
      </c>
    </row>
    <row customHeight="1" ht="11.25">
      <c r="A13" s="0" t="s">
        <v>5456</v>
      </c>
      <c r="B13" s="0" t="b">
        <v>0</v>
      </c>
    </row>
    <row customHeight="1" ht="11.25">
      <c r="A14" s="0" t="s">
        <v>5457</v>
      </c>
      <c r="B14" s="0" t="b">
        <v>0</v>
      </c>
    </row>
    <row customHeight="1" ht="11.25">
      <c r="A15" s="0" t="s">
        <v>5458</v>
      </c>
      <c r="B15" s="0" t="b">
        <v>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8A227-3CF6-C872-E134-0.3A08E827}"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712" width="9.140625"/>
  </cols>
  <sheetData>
    <row customHeight="1" ht="12.75">
      <c r="A1" s="62"/>
    </row>
  </sheetData>
  <sheetProtection sheet="1"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10794E-2046-423E-0219-0.5EC48A44}"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60" width="36.28125" customWidth="1"/>
    <col min="2" max="2" style="1860" width="21.140625" customWidth="1"/>
  </cols>
  <sheetData>
    <row customHeight="1" ht="11.25">
      <c r="A1" s="77" t="s">
        <v>5459</v>
      </c>
      <c r="B1" s="77" t="s">
        <v>5460</v>
      </c>
    </row>
    <row customHeight="1" ht="11.25">
      <c r="A2" s="74" t="s">
        <v>5461</v>
      </c>
      <c r="B2" s="74" t="s">
        <v>5462</v>
      </c>
    </row>
    <row customHeight="1" ht="11.25">
      <c r="A3" s="74" t="s">
        <v>5463</v>
      </c>
      <c r="B3" s="74" t="s">
        <v>5464</v>
      </c>
    </row>
    <row customHeight="1" ht="11.25">
      <c r="A4" s="74" t="s">
        <v>5465</v>
      </c>
      <c r="B4" s="74" t="s">
        <v>5466</v>
      </c>
    </row>
    <row customHeight="1" ht="11.25">
      <c r="A5" s="74" t="s">
        <v>5467</v>
      </c>
      <c r="B5" s="74" t="s">
        <v>5468</v>
      </c>
    </row>
    <row customHeight="1" ht="11.25">
      <c r="A6" s="74" t="s">
        <v>5469</v>
      </c>
      <c r="B6" s="74" t="s">
        <v>5470</v>
      </c>
    </row>
    <row customHeight="1" ht="11.25">
      <c r="A7" s="74" t="s">
        <v>5471</v>
      </c>
      <c r="B7" s="74" t="s">
        <v>5472</v>
      </c>
    </row>
    <row customHeight="1" ht="11.25">
      <c r="A8" s="74" t="s">
        <v>5473</v>
      </c>
      <c r="B8" s="74" t="s">
        <v>5474</v>
      </c>
    </row>
    <row customHeight="1" ht="11.25">
      <c r="A9" s="74" t="s">
        <v>5475</v>
      </c>
      <c r="B9" s="74" t="s">
        <v>5476</v>
      </c>
    </row>
    <row customHeight="1" ht="11.25">
      <c r="A10" s="74" t="s">
        <v>5477</v>
      </c>
      <c r="B10" s="74" t="s">
        <v>5478</v>
      </c>
    </row>
    <row customHeight="1" ht="11.25">
      <c r="A11" s="74" t="s">
        <v>5479</v>
      </c>
      <c r="B11" s="74" t="s">
        <v>5480</v>
      </c>
    </row>
    <row customHeight="1" ht="11.25">
      <c r="A12" s="74" t="s">
        <v>5481</v>
      </c>
      <c r="B12" s="74" t="s">
        <v>5482</v>
      </c>
    </row>
    <row customHeight="1" ht="11.25">
      <c r="A13" s="74" t="s">
        <v>5483</v>
      </c>
      <c r="B13" s="74" t="s">
        <v>5484</v>
      </c>
    </row>
    <row customHeight="1" ht="11.25">
      <c r="A14" s="74" t="s">
        <v>5485</v>
      </c>
      <c r="B14" s="74" t="s">
        <v>5486</v>
      </c>
    </row>
    <row customHeight="1" ht="11.25">
      <c r="A15" s="74" t="s">
        <v>5487</v>
      </c>
      <c r="B15" s="74" t="s">
        <v>5488</v>
      </c>
    </row>
    <row customHeight="1" ht="11.25">
      <c r="A16" s="74" t="s">
        <v>5489</v>
      </c>
      <c r="B16" s="74" t="s">
        <v>5490</v>
      </c>
    </row>
    <row customHeight="1" ht="11.25">
      <c r="A17" s="74" t="s">
        <v>5491</v>
      </c>
      <c r="B17" s="74" t="s">
        <v>5492</v>
      </c>
    </row>
    <row customHeight="1" ht="11.25">
      <c r="A18" s="74" t="s">
        <v>5493</v>
      </c>
      <c r="B18" s="74" t="s">
        <v>5494</v>
      </c>
    </row>
    <row customHeight="1" ht="11.25">
      <c r="A19" s="74" t="s">
        <v>5495</v>
      </c>
      <c r="B19" s="74" t="s">
        <v>5496</v>
      </c>
    </row>
    <row customHeight="1" ht="11.25">
      <c r="A20" s="74" t="s">
        <v>5497</v>
      </c>
      <c r="B20" s="74" t="s">
        <v>5498</v>
      </c>
    </row>
    <row customHeight="1" ht="11.25">
      <c r="A21" s="74" t="s">
        <v>5499</v>
      </c>
      <c r="B21" s="74" t="s">
        <v>5500</v>
      </c>
    </row>
    <row customHeight="1" ht="11.25">
      <c r="A22" s="74" t="s">
        <v>5501</v>
      </c>
      <c r="B22" s="74" t="s">
        <v>5502</v>
      </c>
    </row>
    <row customHeight="1" ht="11.25">
      <c r="A23" s="74" t="s">
        <v>5503</v>
      </c>
      <c r="B23" s="74" t="s">
        <v>5504</v>
      </c>
    </row>
    <row customHeight="1" ht="11.25">
      <c r="A24" s="74" t="s">
        <v>5505</v>
      </c>
      <c r="B24" s="74" t="s">
        <v>5506</v>
      </c>
    </row>
    <row customHeight="1" ht="11.25">
      <c r="A25" s="74" t="s">
        <v>5507</v>
      </c>
      <c r="B25" s="74" t="s">
        <v>5508</v>
      </c>
    </row>
    <row customHeight="1" ht="11.25">
      <c r="A26" s="74" t="s">
        <v>5509</v>
      </c>
      <c r="B26" s="74" t="s">
        <v>5510</v>
      </c>
    </row>
    <row customHeight="1" ht="11.25">
      <c r="A27" s="74" t="s">
        <v>5511</v>
      </c>
      <c r="B27" s="74" t="s">
        <v>5512</v>
      </c>
    </row>
    <row customHeight="1" ht="11.25">
      <c r="A28" s="74" t="s">
        <v>5513</v>
      </c>
      <c r="B28" s="74" t="s">
        <v>5514</v>
      </c>
    </row>
    <row customHeight="1" ht="11.25">
      <c r="A29" s="74" t="s">
        <v>5515</v>
      </c>
      <c r="B29" s="74" t="s">
        <v>5516</v>
      </c>
    </row>
    <row customHeight="1" ht="11.25">
      <c r="A30" s="74" t="s">
        <v>5517</v>
      </c>
      <c r="B30" s="74" t="s">
        <v>5518</v>
      </c>
    </row>
    <row customHeight="1" ht="11.25">
      <c r="A31" s="74" t="s">
        <v>5519</v>
      </c>
      <c r="B31" s="74" t="s">
        <v>5520</v>
      </c>
    </row>
    <row customHeight="1" ht="11.25">
      <c r="A32" s="74" t="s">
        <v>5521</v>
      </c>
      <c r="B32" s="74" t="s">
        <v>5522</v>
      </c>
    </row>
    <row customHeight="1" ht="11.25">
      <c r="A33" s="74" t="s">
        <v>5523</v>
      </c>
      <c r="B33" s="74" t="s">
        <v>5524</v>
      </c>
    </row>
    <row customHeight="1" ht="11.25">
      <c r="A34" s="74" t="s">
        <v>5525</v>
      </c>
      <c r="B34" s="74" t="s">
        <v>5526</v>
      </c>
    </row>
    <row customHeight="1" ht="11.25">
      <c r="A35" s="74" t="s">
        <v>5527</v>
      </c>
      <c r="B35" s="74" t="s">
        <v>5528</v>
      </c>
    </row>
    <row customHeight="1" ht="11.25">
      <c r="A36" s="74" t="s">
        <v>5529</v>
      </c>
      <c r="B36" s="74" t="s">
        <v>5530</v>
      </c>
    </row>
    <row customHeight="1" ht="11.25">
      <c r="A37" s="74" t="s">
        <v>5531</v>
      </c>
      <c r="B37" s="74" t="s">
        <v>5532</v>
      </c>
    </row>
    <row customHeight="1" ht="11.25">
      <c r="A38" s="74" t="s">
        <v>5533</v>
      </c>
      <c r="B38" s="74" t="s">
        <v>5534</v>
      </c>
    </row>
    <row customHeight="1" ht="11.25">
      <c r="A39" s="74" t="s">
        <v>5535</v>
      </c>
      <c r="B39" s="74" t="s">
        <v>5536</v>
      </c>
    </row>
    <row customHeight="1" ht="11.25">
      <c r="A40" s="74" t="s">
        <v>5537</v>
      </c>
      <c r="B40" s="74" t="s">
        <v>5538</v>
      </c>
    </row>
    <row customHeight="1" ht="11.25">
      <c r="A41" s="74" t="s">
        <v>5539</v>
      </c>
      <c r="B41" s="74" t="s">
        <v>5540</v>
      </c>
    </row>
    <row customHeight="1" ht="11.25">
      <c r="A42" s="74" t="s">
        <v>5541</v>
      </c>
      <c r="B42" s="74" t="s">
        <v>5542</v>
      </c>
    </row>
    <row customHeight="1" ht="11.25">
      <c r="A43" s="74" t="s">
        <v>5543</v>
      </c>
      <c r="B43" s="74" t="s">
        <v>5544</v>
      </c>
    </row>
    <row customHeight="1" ht="11.25">
      <c r="A44" s="74" t="s">
        <v>5545</v>
      </c>
      <c r="B44" s="74" t="s">
        <v>5546</v>
      </c>
    </row>
    <row customHeight="1" ht="11.25">
      <c r="A45" s="74" t="s">
        <v>5547</v>
      </c>
      <c r="B45" s="74" t="s">
        <v>5548</v>
      </c>
    </row>
    <row customHeight="1" ht="11.25">
      <c r="A46" s="74" t="s">
        <v>5549</v>
      </c>
      <c r="B46" s="74" t="s">
        <v>5550</v>
      </c>
    </row>
    <row customHeight="1" ht="11.25">
      <c r="A47" s="74" t="s">
        <v>5551</v>
      </c>
      <c r="B47" s="74" t="s">
        <v>5552</v>
      </c>
    </row>
    <row customHeight="1" ht="11.25">
      <c r="A48" s="74" t="s">
        <v>5553</v>
      </c>
      <c r="B48" s="74" t="s">
        <v>5554</v>
      </c>
    </row>
    <row customHeight="1" ht="11.25">
      <c r="A49" s="74" t="s">
        <v>5555</v>
      </c>
      <c r="B49" s="74" t="s">
        <v>5556</v>
      </c>
    </row>
    <row customHeight="1" ht="11.25">
      <c r="A50" s="74" t="s">
        <v>5557</v>
      </c>
      <c r="B50" s="74" t="s">
        <v>5558</v>
      </c>
    </row>
    <row customHeight="1" ht="11.25">
      <c r="A51" s="74" t="s">
        <v>5559</v>
      </c>
      <c r="B51" s="74" t="s">
        <v>5560</v>
      </c>
    </row>
    <row customHeight="1" ht="11.25">
      <c r="A52" s="74" t="s">
        <v>5561</v>
      </c>
      <c r="B52" s="74" t="s">
        <v>5562</v>
      </c>
    </row>
    <row customHeight="1" ht="11.25">
      <c r="A53" s="74" t="s">
        <v>5563</v>
      </c>
      <c r="B53" s="74" t="s">
        <v>5564</v>
      </c>
    </row>
    <row customHeight="1" ht="11.25">
      <c r="A54" s="74" t="s">
        <v>5565</v>
      </c>
      <c r="B54" s="74" t="s">
        <v>5566</v>
      </c>
    </row>
    <row customHeight="1" ht="11.25">
      <c r="A55" s="74" t="s">
        <v>5567</v>
      </c>
      <c r="B55" s="74" t="s">
        <v>5568</v>
      </c>
    </row>
    <row customHeight="1" ht="11.25">
      <c r="A56" s="74" t="s">
        <v>5569</v>
      </c>
      <c r="B56" s="74" t="s">
        <v>5570</v>
      </c>
    </row>
    <row customHeight="1" ht="11.25">
      <c r="A57" s="74" t="s">
        <v>5571</v>
      </c>
      <c r="B57" s="74" t="s">
        <v>5572</v>
      </c>
    </row>
    <row customHeight="1" ht="11.25">
      <c r="A58" s="74" t="s">
        <v>5573</v>
      </c>
      <c r="B58" s="74" t="s">
        <v>5574</v>
      </c>
    </row>
    <row customHeight="1" ht="11.25">
      <c r="A59" s="74" t="s">
        <v>5575</v>
      </c>
      <c r="B59" s="74" t="s">
        <v>5576</v>
      </c>
    </row>
    <row customHeight="1" ht="11.25">
      <c r="A60" s="74" t="s">
        <v>5577</v>
      </c>
      <c r="B60" s="74" t="s">
        <v>5578</v>
      </c>
    </row>
    <row customHeight="1" ht="11.25">
      <c r="A61" s="74"/>
      <c r="B61" s="74" t="s">
        <v>5579</v>
      </c>
    </row>
    <row customHeight="1" ht="11.25">
      <c r="A62" s="74"/>
      <c r="B62" s="74" t="s">
        <v>5580</v>
      </c>
    </row>
    <row customHeight="1" ht="11.25">
      <c r="A63" s="74"/>
      <c r="B63" s="74" t="s">
        <v>5581</v>
      </c>
    </row>
    <row customHeight="1" ht="11.25">
      <c r="A64" s="74"/>
      <c r="B64" s="74" t="s">
        <v>5582</v>
      </c>
    </row>
    <row customHeight="1" ht="11.25">
      <c r="A65" s="74"/>
      <c r="B65" s="74" t="s">
        <v>5583</v>
      </c>
    </row>
    <row customHeight="1" ht="11.25">
      <c r="A66" s="74"/>
      <c r="B66" s="74" t="s">
        <v>5584</v>
      </c>
    </row>
    <row customHeight="1" ht="11.25">
      <c r="A67" s="74"/>
      <c r="B67" s="74" t="s">
        <v>5585</v>
      </c>
    </row>
    <row customHeight="1" ht="11.25">
      <c r="A68" s="74"/>
      <c r="B68" s="74" t="s">
        <v>5586</v>
      </c>
    </row>
    <row customHeight="1" ht="11.25">
      <c r="A69" s="74"/>
      <c r="B69" s="74" t="s">
        <v>5587</v>
      </c>
    </row>
    <row customHeight="1" ht="11.25">
      <c r="A70" s="74"/>
      <c r="B70" s="74" t="s">
        <v>5588</v>
      </c>
    </row>
    <row customHeight="1" ht="11.25">
      <c r="A71" s="74"/>
      <c r="B71" s="74"/>
    </row>
    <row customHeight="1" ht="11.25">
      <c r="A72" s="74"/>
      <c r="B72" s="74"/>
    </row>
    <row customHeight="1" ht="11.25">
      <c r="A73" s="74"/>
      <c r="B73" s="74"/>
    </row>
    <row customHeight="1" ht="11.25">
      <c r="A74" s="74"/>
      <c r="B74" s="74"/>
    </row>
    <row customHeight="1" ht="11.25">
      <c r="A75" s="74"/>
      <c r="B75" s="74"/>
    </row>
    <row customHeight="1" ht="11.25">
      <c r="A76" s="74"/>
      <c r="B76" s="74"/>
    </row>
    <row customHeight="1" ht="11.25">
      <c r="A77" s="74"/>
      <c r="B77" s="74"/>
    </row>
    <row customHeight="1" ht="11.25">
      <c r="A78" s="74"/>
      <c r="B78" s="74"/>
    </row>
    <row customHeight="1" ht="11.25">
      <c r="A79" s="74"/>
      <c r="B79" s="74"/>
    </row>
    <row customHeight="1" ht="11.25">
      <c r="A80" s="74"/>
      <c r="B80" s="74"/>
    </row>
    <row customHeight="1" ht="11.25">
      <c r="A81" s="74"/>
      <c r="B81" s="74"/>
    </row>
    <row customHeight="1" ht="11.25">
      <c r="A82" s="74"/>
      <c r="B82" s="74"/>
    </row>
    <row customHeight="1" ht="11.25">
      <c r="A83" s="74"/>
      <c r="B83" s="74"/>
    </row>
    <row customHeight="1" ht="11.25">
      <c r="A84" s="74"/>
      <c r="B84" s="74"/>
    </row>
    <row customHeight="1" ht="11.25">
      <c r="A85" s="74"/>
      <c r="B85" s="74"/>
    </row>
    <row customHeight="1" ht="11.25">
      <c r="A86" s="74"/>
      <c r="B86" s="74"/>
    </row>
    <row customHeight="1" ht="11.25">
      <c r="A87" s="74"/>
      <c r="B87" s="74"/>
    </row>
    <row customHeight="1" ht="11.25">
      <c r="A88" s="74"/>
      <c r="B88" s="74"/>
    </row>
    <row customHeight="1" ht="11.25">
      <c r="A89" s="74"/>
      <c r="B89" s="74"/>
    </row>
    <row customHeight="1" ht="11.25">
      <c r="A90" s="74"/>
      <c r="B90" s="74"/>
    </row>
    <row customHeight="1" ht="11.25">
      <c r="A91" s="74"/>
      <c r="B91" s="74"/>
    </row>
    <row customHeight="1" ht="11.25">
      <c r="A92" s="74"/>
      <c r="B92" s="74"/>
    </row>
    <row customHeight="1" ht="11.25">
      <c r="A93" s="74"/>
      <c r="B93" s="74"/>
    </row>
    <row customHeight="1" ht="11.25">
      <c r="A94" s="74"/>
      <c r="B94" s="74"/>
    </row>
    <row customHeight="1" ht="11.25">
      <c r="A95" s="74"/>
      <c r="B95" s="74"/>
    </row>
    <row customHeight="1" ht="11.25">
      <c r="A96" s="74"/>
      <c r="B96" s="74"/>
    </row>
    <row customHeight="1" ht="11.25">
      <c r="A97" s="74"/>
      <c r="B97" s="74"/>
    </row>
    <row customHeight="1" ht="11.25">
      <c r="A98" s="74"/>
      <c r="B98" s="74"/>
    </row>
    <row customHeight="1" ht="11.25">
      <c r="A99" s="74"/>
      <c r="B99" s="74"/>
    </row>
    <row customHeight="1" ht="11.25">
      <c r="A100" s="74"/>
      <c r="B100" s="74"/>
    </row>
    <row customHeight="1" ht="11.25">
      <c r="A101" s="74"/>
      <c r="B101" s="74"/>
    </row>
    <row customHeight="1" ht="11.25">
      <c r="A102" s="74"/>
      <c r="B102" s="74"/>
    </row>
    <row customHeight="1" ht="11.25">
      <c r="A103" s="74"/>
      <c r="B103" s="74"/>
    </row>
    <row customHeight="1" ht="11.25">
      <c r="A104" s="74"/>
      <c r="B104" s="74"/>
    </row>
    <row customHeight="1" ht="11.25">
      <c r="A105" s="74"/>
      <c r="B105" s="74"/>
    </row>
    <row customHeight="1" ht="11.25">
      <c r="A106" s="74"/>
      <c r="B106" s="74"/>
    </row>
    <row customHeight="1" ht="11.25">
      <c r="A107" s="74"/>
      <c r="B107" s="74"/>
    </row>
    <row customHeight="1" ht="11.25">
      <c r="A108" s="74"/>
      <c r="B108" s="74"/>
    </row>
    <row customHeight="1" ht="11.25">
      <c r="A109" s="74"/>
      <c r="B109" s="74"/>
    </row>
    <row customHeight="1" ht="11.25">
      <c r="A110" s="74"/>
      <c r="B110" s="74"/>
    </row>
    <row customHeight="1" ht="11.25">
      <c r="A111" s="74"/>
      <c r="B111" s="74"/>
    </row>
    <row customHeight="1" ht="11.25">
      <c r="A112" s="74"/>
      <c r="B112" s="74"/>
    </row>
    <row customHeight="1" ht="11.25">
      <c r="A113" s="74"/>
      <c r="B113" s="74"/>
    </row>
    <row customHeight="1" ht="11.25">
      <c r="A114" s="74"/>
      <c r="B114" s="74"/>
    </row>
    <row customHeight="1" ht="11.25">
      <c r="A115" s="74"/>
      <c r="B115" s="74"/>
    </row>
    <row customHeight="1" ht="11.25">
      <c r="A116" s="74"/>
      <c r="B116" s="74"/>
    </row>
    <row customHeight="1" ht="11.25">
      <c r="A117" s="74"/>
      <c r="B117" s="74"/>
    </row>
    <row customHeight="1" ht="11.25">
      <c r="A118" s="74"/>
      <c r="B118" s="74"/>
    </row>
    <row customHeight="1" ht="11.25">
      <c r="A119" s="74"/>
      <c r="B119" s="74"/>
    </row>
    <row customHeight="1" ht="11.25">
      <c r="A120" s="74"/>
      <c r="B120" s="74"/>
    </row>
    <row customHeight="1" ht="11.25">
      <c r="A121" s="74"/>
      <c r="B121" s="74"/>
    </row>
    <row customHeight="1" ht="11.25">
      <c r="A122" s="74"/>
      <c r="B122" s="74"/>
    </row>
    <row customHeight="1" ht="11.25">
      <c r="A123" s="74"/>
      <c r="B123" s="74"/>
    </row>
    <row customHeight="1" ht="11.25">
      <c r="A124" s="74"/>
      <c r="B124" s="74"/>
    </row>
    <row customHeight="1" ht="11.25">
      <c r="A125" s="74"/>
      <c r="B125" s="74"/>
    </row>
    <row customHeight="1" ht="11.25">
      <c r="A126" s="74"/>
      <c r="B126" s="74"/>
    </row>
    <row customHeight="1" ht="11.25">
      <c r="A127" s="74"/>
      <c r="B127" s="74"/>
    </row>
    <row customHeight="1" ht="11.25">
      <c r="A128" s="74"/>
      <c r="B128" s="74"/>
    </row>
    <row customHeight="1" ht="11.25">
      <c r="A129" s="74"/>
      <c r="B129" s="74"/>
    </row>
    <row customHeight="1" ht="11.25">
      <c r="A130" s="74"/>
      <c r="B130" s="74"/>
    </row>
    <row customHeight="1" ht="11.25">
      <c r="A131" s="74"/>
      <c r="B131" s="74"/>
    </row>
    <row customHeight="1" ht="11.25">
      <c r="A132" s="74"/>
      <c r="B132" s="74"/>
    </row>
    <row customHeight="1" ht="11.25">
      <c r="A133" s="74"/>
      <c r="B133" s="74"/>
    </row>
    <row customHeight="1" ht="11.25">
      <c r="A134" s="74"/>
      <c r="B134" s="74"/>
    </row>
    <row customHeight="1" ht="11.25">
      <c r="A135" s="74"/>
      <c r="B135" s="74"/>
    </row>
    <row customHeight="1" ht="11.25">
      <c r="A136" s="74"/>
      <c r="B136" s="74"/>
    </row>
    <row customHeight="1" ht="11.25">
      <c r="A137" s="74"/>
      <c r="B137" s="74"/>
    </row>
    <row customHeight="1" ht="11.25">
      <c r="A138" s="74"/>
      <c r="B138" s="74"/>
    </row>
    <row customHeight="1" ht="11.25">
      <c r="A139" s="74"/>
      <c r="B139" s="74"/>
    </row>
    <row customHeight="1" ht="11.25">
      <c r="A140" s="74"/>
      <c r="B140" s="74"/>
    </row>
    <row customHeight="1" ht="11.25">
      <c r="A141" s="74"/>
      <c r="B141" s="74"/>
    </row>
    <row customHeight="1" ht="11.25">
      <c r="A142" s="74"/>
      <c r="B142" s="74"/>
    </row>
    <row customHeight="1" ht="11.25">
      <c r="A143" s="74"/>
      <c r="B143" s="74"/>
    </row>
    <row customHeight="1" ht="11.25">
      <c r="A144" s="74"/>
      <c r="B144" s="74"/>
    </row>
    <row customHeight="1" ht="11.25">
      <c r="A145" s="74"/>
      <c r="B145" s="74"/>
    </row>
    <row customHeight="1" ht="11.25">
      <c r="A146" s="74"/>
      <c r="B146" s="74"/>
    </row>
    <row customHeight="1" ht="11.25">
      <c r="A147" s="74"/>
      <c r="B147" s="74"/>
    </row>
    <row customHeight="1" ht="11.25">
      <c r="A148" s="74"/>
      <c r="B148" s="74"/>
    </row>
    <row customHeight="1" ht="11.25">
      <c r="A149" s="74"/>
      <c r="B149" s="74"/>
    </row>
    <row customHeight="1" ht="11.25">
      <c r="A150" s="74"/>
      <c r="B150" s="74"/>
    </row>
    <row customHeight="1" ht="11.25">
      <c r="A151" s="74"/>
      <c r="B151" s="74"/>
    </row>
    <row customHeight="1" ht="11.25">
      <c r="A152" s="74"/>
      <c r="B152" s="74"/>
    </row>
    <row customHeight="1" ht="11.25">
      <c r="A153" s="74"/>
      <c r="B153" s="74"/>
    </row>
    <row customHeight="1" ht="11.25">
      <c r="A154" s="74"/>
      <c r="B154" s="74"/>
    </row>
    <row customHeight="1" ht="11.25">
      <c r="A155" s="74"/>
      <c r="B155" s="74"/>
    </row>
    <row customHeight="1" ht="11.25">
      <c r="A156" s="74"/>
      <c r="B156" s="74"/>
    </row>
    <row customHeight="1" ht="11.25">
      <c r="A157" s="74"/>
      <c r="B157" s="74"/>
    </row>
    <row customHeight="1" ht="11.25">
      <c r="A158" s="74"/>
      <c r="B158" s="74"/>
    </row>
    <row customHeight="1" ht="11.25">
      <c r="A159" s="74"/>
      <c r="B159" s="74"/>
    </row>
    <row customHeight="1" ht="11.25">
      <c r="A160" s="74"/>
      <c r="B160" s="74"/>
    </row>
    <row customHeight="1" ht="11.25">
      <c r="A161" s="74"/>
      <c r="B161" s="74"/>
    </row>
    <row customHeight="1" ht="11.25">
      <c r="A162" s="74"/>
      <c r="B162" s="74"/>
    </row>
    <row customHeight="1" ht="11.25">
      <c r="A163" s="74"/>
      <c r="B163" s="74"/>
    </row>
    <row customHeight="1" ht="11.25">
      <c r="A164" s="74"/>
      <c r="B164" s="74"/>
    </row>
    <row customHeight="1" ht="11.25">
      <c r="A165" s="74"/>
      <c r="B165" s="74"/>
    </row>
    <row customHeight="1" ht="11.25">
      <c r="A166" s="74"/>
      <c r="B166" s="74"/>
    </row>
    <row customHeight="1" ht="11.25">
      <c r="A167" s="74"/>
      <c r="B167" s="74"/>
    </row>
    <row customHeight="1" ht="11.25">
      <c r="A168" s="74"/>
      <c r="B168" s="74"/>
    </row>
    <row customHeight="1" ht="11.25">
      <c r="A169" s="74"/>
      <c r="B169" s="74"/>
    </row>
    <row customHeight="1" ht="11.25">
      <c r="A170" s="74"/>
      <c r="B170" s="74"/>
    </row>
    <row customHeight="1" ht="11.25">
      <c r="A171" s="74"/>
      <c r="B171" s="74"/>
    </row>
    <row customHeight="1" ht="11.25">
      <c r="A172" s="74"/>
      <c r="B172" s="74"/>
    </row>
    <row customHeight="1" ht="11.25">
      <c r="A173" s="74"/>
      <c r="B173" s="74"/>
    </row>
    <row customHeight="1" ht="11.25">
      <c r="A174" s="74"/>
      <c r="B174" s="74"/>
    </row>
    <row customHeight="1" ht="11.25">
      <c r="A175" s="74"/>
      <c r="B175" s="74"/>
    </row>
    <row customHeight="1" ht="11.25">
      <c r="A176" s="74"/>
      <c r="B176" s="74"/>
    </row>
    <row customHeight="1" ht="11.25">
      <c r="A177" s="74"/>
      <c r="B177" s="74"/>
    </row>
    <row customHeight="1" ht="11.25">
      <c r="A178" s="74"/>
      <c r="B178" s="74"/>
    </row>
    <row customHeight="1" ht="11.25">
      <c r="A179" s="74"/>
      <c r="B179" s="74"/>
    </row>
    <row customHeight="1" ht="11.25">
      <c r="A180" s="74"/>
      <c r="B180" s="74"/>
    </row>
    <row customHeight="1" ht="11.25">
      <c r="A181" s="74"/>
      <c r="B181" s="74"/>
    </row>
    <row customHeight="1" ht="11.25">
      <c r="A182" s="74"/>
      <c r="B182" s="74"/>
    </row>
    <row customHeight="1" ht="11.25">
      <c r="A183" s="74"/>
      <c r="B183" s="74"/>
    </row>
    <row customHeight="1" ht="11.25">
      <c r="A184" s="74"/>
      <c r="B184" s="74"/>
    </row>
    <row customHeight="1" ht="11.25">
      <c r="A185" s="74"/>
      <c r="B185" s="74"/>
    </row>
    <row customHeight="1" ht="11.25">
      <c r="A186" s="74"/>
      <c r="B186" s="74"/>
    </row>
    <row customHeight="1" ht="11.25">
      <c r="A187" s="74"/>
      <c r="B187" s="74"/>
    </row>
    <row customHeight="1" ht="11.25">
      <c r="A188" s="74"/>
      <c r="B188" s="74"/>
    </row>
    <row customHeight="1" ht="11.25">
      <c r="A189" s="74"/>
      <c r="B189" s="74"/>
    </row>
    <row customHeight="1" ht="11.25">
      <c r="A190" s="74"/>
      <c r="B190" s="74"/>
    </row>
    <row customHeight="1" ht="11.25">
      <c r="A191" s="74"/>
      <c r="B191" s="74"/>
    </row>
    <row customHeight="1" ht="11.25">
      <c r="A192" s="74"/>
      <c r="B192" s="74"/>
    </row>
    <row customHeight="1" ht="11.25">
      <c r="A193" s="74"/>
      <c r="B193" s="74"/>
    </row>
    <row customHeight="1" ht="11.25">
      <c r="A194" s="74"/>
      <c r="B194" s="74"/>
    </row>
    <row customHeight="1" ht="11.25">
      <c r="A195" s="74"/>
      <c r="B195" s="74"/>
    </row>
    <row customHeight="1" ht="11.25">
      <c r="A196" s="74"/>
      <c r="B196" s="74"/>
    </row>
    <row customHeight="1" ht="11.25">
      <c r="A197" s="74"/>
      <c r="B197" s="74"/>
    </row>
    <row customHeight="1" ht="11.25">
      <c r="A198" s="74"/>
      <c r="B198" s="74"/>
    </row>
    <row customHeight="1" ht="11.25">
      <c r="A199" s="74"/>
      <c r="B199" s="74"/>
    </row>
    <row customHeight="1" ht="11.25">
      <c r="A200" s="74"/>
      <c r="B200" s="74"/>
    </row>
    <row customHeight="1" ht="11.25">
      <c r="A201" s="74"/>
      <c r="B201" s="74"/>
    </row>
    <row customHeight="1" ht="11.25">
      <c r="A202" s="74"/>
      <c r="B202" s="74"/>
    </row>
    <row customHeight="1" ht="11.25">
      <c r="A203" s="74"/>
      <c r="B203" s="74"/>
    </row>
    <row customHeight="1" ht="11.25">
      <c r="A204" s="74"/>
      <c r="B204" s="74"/>
    </row>
    <row customHeight="1" ht="11.25">
      <c r="A205" s="74"/>
      <c r="B205" s="74"/>
    </row>
    <row customHeight="1" ht="11.25">
      <c r="A206" s="74"/>
      <c r="B206" s="74"/>
    </row>
    <row customHeight="1" ht="11.25">
      <c r="A207" s="74"/>
      <c r="B207" s="74"/>
    </row>
    <row customHeight="1" ht="11.25">
      <c r="A208" s="74"/>
      <c r="B208" s="74"/>
    </row>
    <row customHeight="1" ht="11.25">
      <c r="A209" s="74"/>
      <c r="B209" s="74"/>
    </row>
    <row customHeight="1" ht="11.25">
      <c r="A210" s="74"/>
      <c r="B210" s="74"/>
    </row>
    <row customHeight="1" ht="11.25">
      <c r="A211" s="74"/>
      <c r="B211" s="74"/>
    </row>
    <row customHeight="1" ht="11.25">
      <c r="A212" s="74"/>
      <c r="B212" s="74"/>
    </row>
    <row customHeight="1" ht="11.25">
      <c r="A213" s="74"/>
      <c r="B213" s="74"/>
    </row>
    <row customHeight="1" ht="11.25">
      <c r="A214" s="74"/>
      <c r="B214" s="74"/>
    </row>
    <row customHeight="1" ht="11.25">
      <c r="A215" s="74"/>
      <c r="B215" s="74"/>
    </row>
    <row customHeight="1" ht="11.25">
      <c r="A216" s="74"/>
      <c r="B216" s="74"/>
    </row>
    <row customHeight="1" ht="11.25">
      <c r="A217" s="74"/>
      <c r="B217" s="74"/>
    </row>
    <row customHeight="1" ht="11.25">
      <c r="A218" s="74"/>
      <c r="B218" s="74"/>
    </row>
    <row customHeight="1" ht="11.25">
      <c r="A219" s="74"/>
      <c r="B219" s="74"/>
    </row>
    <row customHeight="1" ht="11.25">
      <c r="A220" s="74"/>
      <c r="B220" s="74"/>
    </row>
    <row customHeight="1" ht="11.25">
      <c r="A221" s="74"/>
      <c r="B221" s="74"/>
    </row>
    <row customHeight="1" ht="11.25">
      <c r="A222" s="74"/>
      <c r="B222" s="74"/>
    </row>
    <row customHeight="1" ht="11.25">
      <c r="A223" s="74"/>
      <c r="B223" s="74"/>
    </row>
    <row customHeight="1" ht="11.25">
      <c r="A224" s="74"/>
      <c r="B224" s="74"/>
    </row>
    <row customHeight="1" ht="11.25">
      <c r="A225" s="74"/>
      <c r="B225" s="74"/>
    </row>
    <row customHeight="1" ht="11.25">
      <c r="A226" s="74"/>
      <c r="B226" s="74"/>
    </row>
    <row customHeight="1" ht="11.25">
      <c r="A227" s="74"/>
      <c r="B227" s="74"/>
    </row>
    <row customHeight="1" ht="11.25">
      <c r="A228" s="74"/>
      <c r="B228" s="74"/>
    </row>
    <row customHeight="1" ht="11.25">
      <c r="A229" s="74"/>
      <c r="B229" s="74"/>
    </row>
    <row customHeight="1" ht="11.25">
      <c r="A230" s="74"/>
      <c r="B230" s="74"/>
    </row>
    <row customHeight="1" ht="11.25">
      <c r="A231" s="74"/>
      <c r="B231" s="74"/>
    </row>
    <row customHeight="1" ht="11.25">
      <c r="A232" s="74"/>
      <c r="B232" s="74"/>
    </row>
    <row customHeight="1" ht="11.25">
      <c r="A233" s="74"/>
      <c r="B233" s="74"/>
    </row>
    <row customHeight="1" ht="11.25">
      <c r="A234" s="74"/>
      <c r="B234" s="74"/>
    </row>
    <row customHeight="1" ht="11.25">
      <c r="A235" s="74"/>
      <c r="B235" s="74"/>
    </row>
    <row customHeight="1" ht="11.25">
      <c r="A236" s="74"/>
      <c r="B236" s="74"/>
    </row>
    <row customHeight="1" ht="11.25">
      <c r="A237" s="74"/>
      <c r="B237" s="74"/>
    </row>
    <row customHeight="1" ht="11.25">
      <c r="A238" s="74"/>
      <c r="B238" s="74"/>
    </row>
    <row customHeight="1" ht="11.25">
      <c r="A239" s="74"/>
      <c r="B239" s="74"/>
    </row>
    <row customHeight="1" ht="11.25">
      <c r="A240" s="74"/>
      <c r="B240" s="74"/>
    </row>
    <row customHeight="1" ht="11.25">
      <c r="A241" s="74"/>
      <c r="B241" s="74"/>
    </row>
    <row customHeight="1" ht="11.25">
      <c r="A242" s="74"/>
      <c r="B242" s="74"/>
    </row>
    <row customHeight="1" ht="11.25">
      <c r="A243" s="74"/>
      <c r="B243" s="74"/>
    </row>
    <row customHeight="1" ht="11.25">
      <c r="A244" s="74"/>
      <c r="B244" s="74"/>
    </row>
    <row customHeight="1" ht="11.25">
      <c r="A245" s="74"/>
      <c r="B245" s="74"/>
    </row>
    <row customHeight="1" ht="11.25">
      <c r="A246" s="74"/>
      <c r="B246" s="74"/>
    </row>
    <row customHeight="1" ht="11.25">
      <c r="A247" s="74"/>
      <c r="B247" s="74"/>
    </row>
    <row customHeight="1" ht="11.25">
      <c r="A248" s="74"/>
      <c r="B248" s="74"/>
    </row>
    <row customHeight="1" ht="11.25">
      <c r="A249" s="74"/>
      <c r="B249" s="74"/>
    </row>
    <row customHeight="1" ht="11.25">
      <c r="A250" s="74"/>
      <c r="B250" s="74"/>
    </row>
    <row customHeight="1" ht="11.25">
      <c r="A251" s="74"/>
      <c r="B251" s="74"/>
    </row>
    <row customHeight="1" ht="11.25">
      <c r="A252" s="74"/>
      <c r="B252" s="74"/>
    </row>
    <row customHeight="1" ht="11.25">
      <c r="A253" s="74"/>
      <c r="B253" s="74"/>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10B2B9-A978-206E-9FC9-0.9446B795}"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60" width="3.7109375" customWidth="1"/>
    <col min="2" max="2" style="1860" width="90.7109375" customWidth="1"/>
    <col min="3" max="4" style="1860" width="9.140625"/>
  </cols>
  <sheetData>
    <row customHeight="1" ht="11.25">
      <c r="B1" s="103" t="s">
        <v>5589</v>
      </c>
    </row>
    <row customHeight="1" ht="90">
      <c r="B2" s="104" t="s">
        <v>5590</v>
      </c>
    </row>
    <row customHeight="1" ht="67.5">
      <c r="B3" s="104" t="s">
        <v>5591</v>
      </c>
    </row>
    <row customHeight="1" ht="33.75">
      <c r="B4" s="104" t="s">
        <v>5592</v>
      </c>
    </row>
    <row customHeight="1" ht="11.25">
      <c r="B5" s="104" t="s">
        <v>5593</v>
      </c>
    </row>
    <row customHeight="1" ht="22.5">
      <c r="B6" s="104" t="s">
        <v>5594</v>
      </c>
    </row>
    <row customHeight="1" ht="22.5">
      <c r="B7" s="104" t="s">
        <v>5595</v>
      </c>
    </row>
    <row customHeight="1" ht="22.5">
      <c r="B8" s="104" t="s">
        <v>5596</v>
      </c>
    </row>
    <row customHeight="1" ht="22.5">
      <c r="B9" s="104" t="s">
        <v>5597</v>
      </c>
    </row>
    <row customHeight="1" ht="56.25">
      <c r="B10" s="104" t="s">
        <v>5598</v>
      </c>
    </row>
    <row customHeight="1" ht="12.75">
      <c r="B11" s="169" t="s">
        <v>5599</v>
      </c>
    </row>
    <row customHeight="1" ht="11.25">
      <c r="B12" s="103" t="s">
        <v>5600</v>
      </c>
    </row>
    <row customHeight="1" ht="22.5">
      <c r="B13" s="104" t="s">
        <v>5601</v>
      </c>
    </row>
    <row customHeight="1" ht="67.5">
      <c r="B14" s="104" t="s">
        <v>5602</v>
      </c>
    </row>
    <row customHeight="1" ht="22.5">
      <c r="B15" s="104" t="s">
        <v>5603</v>
      </c>
    </row>
    <row customHeight="1" ht="11.25">
      <c r="B16" s="103" t="s">
        <v>5604</v>
      </c>
      <c r="D16" s="110"/>
    </row>
    <row customHeight="1" ht="33.75">
      <c r="B17" s="104" t="s">
        <v>5605</v>
      </c>
    </row>
    <row customHeight="1" ht="33.75">
      <c r="B18" s="104" t="s">
        <v>5606</v>
      </c>
    </row>
    <row customHeight="1" ht="11.25">
      <c r="B19" s="104" t="s">
        <v>5607</v>
      </c>
    </row>
    <row customHeight="1" ht="33.75">
      <c r="B20" s="104" t="s">
        <v>5608</v>
      </c>
    </row>
    <row customHeight="1" ht="11.25">
      <c r="B21" s="103" t="s">
        <v>5609</v>
      </c>
    </row>
    <row customHeight="1" ht="11.25">
      <c r="B22" s="104" t="s">
        <v>5610</v>
      </c>
    </row>
    <row r="24" customHeight="1" ht="22.5">
      <c r="B24" s="171" t="s">
        <v>5611</v>
      </c>
    </row>
    <row r="26" customHeight="1" ht="11.25">
      <c r="B26" s="103" t="s">
        <v>5612</v>
      </c>
    </row>
    <row customHeight="1" ht="22.5">
      <c r="B27" s="170" t="s">
        <v>418</v>
      </c>
    </row>
    <row customHeight="1" ht="56.25">
      <c r="B28" s="170" t="s">
        <v>5613</v>
      </c>
    </row>
    <row customHeight="1" ht="11.25">
      <c r="B29" s="220" t="s">
        <v>5614</v>
      </c>
    </row>
    <row customHeight="1" ht="22.5">
      <c r="B30" s="170" t="s">
        <v>5615</v>
      </c>
    </row>
    <row r="32" customHeight="1" ht="11.25">
      <c r="A32" s="198"/>
      <c r="B32" s="199" t="s">
        <v>5616</v>
      </c>
    </row>
    <row customHeight="1" ht="14.25">
      <c r="A33" s="200">
        <v>1</v>
      </c>
      <c r="B33" s="201" t="s">
        <v>5617</v>
      </c>
    </row>
    <row customHeight="1" ht="14.25">
      <c r="A34" s="200">
        <v>2</v>
      </c>
      <c r="B34" s="201" t="s">
        <v>5618</v>
      </c>
    </row>
    <row customHeight="1" ht="11.25">
      <c r="B35" s="199" t="s">
        <v>5619</v>
      </c>
    </row>
    <row customHeight="1" ht="11.25">
      <c r="B36" s="201" t="s">
        <v>5620</v>
      </c>
    </row>
  </sheetData>
  <sheetProtection sheet="1"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48CC14-8F6E-5706-5625-0.83989463}"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42" width="9.140625" hidden="1" customWidth="1"/>
    <col min="2" max="2" style="1645" width="9.140625" hidden="1" customWidth="1"/>
    <col min="3" max="3" style="1852" width="3.00390625" customWidth="1"/>
    <col min="4" max="4" style="1645" width="5.00390625" customWidth="1"/>
    <col min="5" max="5" style="1645" width="38.00390625" customWidth="1"/>
    <col min="6" max="7" style="1645" width="3.00390625" customWidth="1"/>
    <col min="8" max="8" style="1645" width="38.00390625" customWidth="1"/>
    <col min="9" max="9" style="1645" width="35.00390625" customWidth="1"/>
    <col min="10" max="10" style="1645" width="103.00390625" customWidth="1"/>
    <col min="11" max="11" style="1829" width="3.00390625" customWidth="1"/>
    <col min="12" max="14" style="1652" width="10.00390625" customWidth="1"/>
    <col min="15" max="15" style="1652" width="13.00390625" customWidth="1"/>
    <col min="16" max="16" style="1652" width="15.00390625" customWidth="1"/>
    <col min="17" max="17" style="1652" width="16.00390625" customWidth="1"/>
    <col min="18" max="21" style="1652" width="10.00390625" customWidth="1"/>
    <col min="22" max="22" style="1645" width="10.57421875" hidden="1"/>
  </cols>
  <sheetData>
    <row customHeight="1" ht="22.5" hidden="1">
      <c r="E1" s="422"/>
      <c r="F1" s="422"/>
      <c r="G1" s="422"/>
      <c r="H1" s="2227" t="s">
        <v>374</v>
      </c>
      <c r="I1" s="2227"/>
      <c r="V1" s="1617" t="s">
        <v>14</v>
      </c>
    </row>
    <row s="1645" customFormat="1" customHeight="1" ht="14.25" hidden="1">
      <c r="C2" s="1629"/>
      <c r="D2" s="2243" t="s">
        <v>124</v>
      </c>
      <c r="E2" s="2245"/>
      <c r="F2" s="1635"/>
      <c r="G2" s="1630" t="s">
        <v>124</v>
      </c>
      <c r="H2" s="1633"/>
      <c r="I2" s="1631"/>
      <c r="L2" s="1632"/>
      <c r="M2" s="1632"/>
      <c r="N2" s="1632"/>
      <c r="O2" s="1632" t="s">
        <v>404</v>
      </c>
      <c r="P2" s="1632"/>
      <c r="Q2" s="1632"/>
      <c r="R2" s="1634" t="s">
        <v>403</v>
      </c>
      <c r="S2" s="1634" t="s">
        <v>403</v>
      </c>
      <c r="T2" s="1632"/>
      <c r="U2" s="1632"/>
      <c r="V2" s="1628">
        <v>0</v>
      </c>
    </row>
    <row s="1645" customFormat="1" customHeight="1" ht="14.25" hidden="1">
      <c r="C3" s="1629"/>
      <c r="D3" s="2244"/>
      <c r="E3" s="2246"/>
      <c r="F3" s="415"/>
      <c r="G3" s="879"/>
      <c r="H3" s="879" t="s">
        <v>405</v>
      </c>
      <c r="I3" s="323"/>
      <c r="L3" s="1632"/>
      <c r="M3" s="1632"/>
      <c r="N3" s="1632"/>
      <c r="O3" s="1632"/>
      <c r="P3" s="1632"/>
      <c r="Q3" s="1632"/>
      <c r="R3" s="1634"/>
      <c r="S3" s="1634"/>
      <c r="T3" s="1632"/>
      <c r="U3" s="1632"/>
      <c r="V3" s="1628">
        <v>0</v>
      </c>
    </row>
    <row customHeight="1" ht="14.25" hidden="1">
      <c r="V4" s="1617">
        <v>0</v>
      </c>
    </row>
    <row s="1623" customFormat="1" customHeight="1" ht="5.25">
      <c r="C5" s="711"/>
      <c r="D5" s="712"/>
      <c r="E5" s="712"/>
      <c r="F5" s="712"/>
      <c r="G5" s="712"/>
      <c r="H5" s="712" t="s">
        <v>378</v>
      </c>
      <c r="I5" s="712"/>
      <c r="J5" s="712"/>
      <c r="L5" s="1624"/>
      <c r="M5" s="1624"/>
      <c r="N5" s="1624"/>
      <c r="O5" s="1624"/>
      <c r="P5" s="1624"/>
      <c r="Q5" s="1624"/>
      <c r="R5" s="1624"/>
      <c r="S5" s="1624"/>
      <c r="T5" s="1624"/>
      <c r="U5" s="1624"/>
      <c r="V5" s="1623">
        <v>5</v>
      </c>
    </row>
    <row customHeight="1" ht="29.25">
      <c r="C6" s="1526"/>
      <c r="D6" s="2247" t="s">
        <v>406</v>
      </c>
      <c r="E6" s="2247"/>
      <c r="F6" s="2247"/>
      <c r="G6" s="2247"/>
      <c r="H6" s="2247"/>
      <c r="I6" s="2247"/>
      <c r="J6" s="501"/>
      <c r="K6" s="1625"/>
      <c r="V6" s="1617">
        <v>28</v>
      </c>
    </row>
    <row customHeight="1" ht="18">
      <c r="C7" s="1526"/>
      <c r="D7" s="2186" t="str">
        <f>IF(org=0,"Не определено",org)</f>
        <v>АО «ДГК» СП «Нерюнгринская ГРЭС»</v>
      </c>
      <c r="E7" s="2186"/>
      <c r="F7" s="2186"/>
      <c r="G7" s="2186"/>
      <c r="H7" s="2186"/>
      <c r="I7" s="2186"/>
      <c r="J7" s="501"/>
      <c r="K7" s="1625"/>
      <c r="V7" s="1617">
        <v>17</v>
      </c>
    </row>
    <row s="1622" customFormat="1" customHeight="1" ht="5.25">
      <c r="A8" s="1621"/>
      <c r="C8" s="496"/>
      <c r="D8" s="495"/>
      <c r="E8" s="495"/>
      <c r="F8" s="495"/>
      <c r="G8" s="495"/>
      <c r="H8" s="495"/>
      <c r="I8" s="495"/>
      <c r="J8" s="495"/>
      <c r="L8" s="1624"/>
      <c r="M8" s="1624"/>
      <c r="N8" s="1624"/>
      <c r="O8" s="1624"/>
      <c r="P8" s="1624"/>
      <c r="Q8" s="1624"/>
      <c r="R8" s="1624"/>
      <c r="S8" s="1624"/>
      <c r="T8" s="1624"/>
      <c r="U8" s="1624"/>
      <c r="V8" s="1622">
        <v>5</v>
      </c>
    </row>
    <row s="1622" customFormat="1" customHeight="1" ht="5.25">
      <c r="A9" s="1621"/>
      <c r="C9" s="496"/>
      <c r="D9" s="495"/>
      <c r="E9" s="495"/>
      <c r="F9" s="495"/>
      <c r="G9" s="495"/>
      <c r="H9" s="495"/>
      <c r="I9" s="495"/>
      <c r="J9" s="495"/>
      <c r="L9" s="1632"/>
      <c r="M9" s="1632"/>
      <c r="N9" s="1632"/>
      <c r="O9" s="1632"/>
      <c r="P9" s="1632"/>
      <c r="Q9" s="1632"/>
      <c r="R9" s="1632"/>
      <c r="S9" s="1632"/>
      <c r="T9" s="1632"/>
      <c r="U9" s="1632"/>
      <c r="V9" s="1622">
        <v>5</v>
      </c>
    </row>
    <row customHeight="1" ht="14.699999999999998">
      <c r="C10" s="1526"/>
      <c r="D10" s="2228" t="s">
        <v>322</v>
      </c>
      <c r="E10" s="2229"/>
      <c r="F10" s="2229"/>
      <c r="G10" s="2229"/>
      <c r="H10" s="2229"/>
      <c r="I10" s="2229"/>
      <c r="J10" s="2233" t="s">
        <v>323</v>
      </c>
      <c r="V10" s="1617">
        <v>14</v>
      </c>
    </row>
    <row customHeight="1" ht="27.299999999999997">
      <c r="C11" s="1526"/>
      <c r="D11" s="2137" t="s">
        <v>88</v>
      </c>
      <c r="E11" s="2233" t="s">
        <v>120</v>
      </c>
      <c r="F11" s="2202" t="s">
        <v>88</v>
      </c>
      <c r="G11" s="2203"/>
      <c r="H11" s="2185" t="s">
        <v>407</v>
      </c>
      <c r="I11" s="2185" t="s">
        <v>408</v>
      </c>
      <c r="J11" s="2233"/>
      <c r="V11" s="1617">
        <v>26</v>
      </c>
    </row>
    <row customHeight="1" ht="14.699999999999998">
      <c r="C12" s="1526"/>
      <c r="D12" s="2137"/>
      <c r="E12" s="2233"/>
      <c r="F12" s="2210"/>
      <c r="G12" s="2211"/>
      <c r="H12" s="2242"/>
      <c r="I12" s="2242"/>
      <c r="J12" s="2233"/>
      <c r="V12" s="1617">
        <v>14</v>
      </c>
    </row>
    <row s="1651" customFormat="1" customHeight="1" ht="11.25" hidden="1">
      <c r="C13" s="508"/>
      <c r="D13" s="509" t="s">
        <v>398</v>
      </c>
      <c r="E13" s="509"/>
      <c r="F13" s="509"/>
      <c r="G13" s="509"/>
      <c r="H13" s="507"/>
      <c r="I13" s="507"/>
      <c r="J13" s="445"/>
      <c r="L13" s="1624"/>
      <c r="M13" s="1624"/>
      <c r="N13" s="1624"/>
      <c r="O13" s="1624"/>
      <c r="P13" s="1624"/>
      <c r="Q13" s="1624"/>
      <c r="R13" s="1624"/>
      <c r="S13" s="1624"/>
      <c r="T13" s="1624"/>
      <c r="U13" s="1624"/>
      <c r="V13" s="506">
        <v>0</v>
      </c>
    </row>
    <row customHeight="1" ht="14.699999999999998">
      <c r="A14" s="1617"/>
      <c r="C14" s="1526"/>
      <c r="D14" s="2243" t="s">
        <v>124</v>
      </c>
      <c r="E14" s="2245"/>
      <c r="F14" s="1627"/>
      <c r="G14" s="1626" t="s">
        <v>124</v>
      </c>
      <c r="H14" s="1633"/>
      <c r="I14" s="1631"/>
      <c r="J14" s="2179" t="s">
        <v>409</v>
      </c>
      <c r="K14" s="1617"/>
      <c r="R14" s="510" t="s">
        <v>403</v>
      </c>
      <c r="S14" s="510" t="s">
        <v>403</v>
      </c>
      <c r="V14" s="1617">
        <v>14</v>
      </c>
    </row>
    <row customHeight="1" ht="14.699999999999998">
      <c r="A15" s="1617"/>
      <c r="C15" s="1526"/>
      <c r="D15" s="2244"/>
      <c r="E15" s="2246"/>
      <c r="F15" s="415"/>
      <c r="G15" s="879"/>
      <c r="H15" s="879" t="s">
        <v>405</v>
      </c>
      <c r="I15" s="323"/>
      <c r="J15" s="2180"/>
      <c r="K15" s="1617"/>
      <c r="R15" s="510"/>
      <c r="S15" s="510"/>
      <c r="V15" s="1617">
        <v>14</v>
      </c>
    </row>
    <row customHeight="1" ht="14.699999999999998">
      <c r="A16" s="1617"/>
      <c r="C16" s="1526"/>
      <c r="D16" s="415"/>
      <c r="E16" s="879" t="s">
        <v>145</v>
      </c>
      <c r="F16" s="323"/>
      <c r="G16" s="323"/>
      <c r="H16" s="416"/>
      <c r="I16" s="416"/>
      <c r="J16" s="2181"/>
      <c r="K16" s="1617"/>
      <c r="V16" s="1617">
        <v>14</v>
      </c>
    </row>
    <row customHeight="1" ht="14.699999999999998">
      <c r="K17" s="1617"/>
      <c r="V17" s="1617">
        <v>14</v>
      </c>
    </row>
    <row customHeight="1" ht="22.5" hidden="1">
      <c r="A18" s="1618" t="s">
        <v>82</v>
      </c>
      <c r="B18" s="1617">
        <v>0</v>
      </c>
      <c r="C18" s="461">
        <v>3</v>
      </c>
      <c r="D18" s="1617">
        <v>5</v>
      </c>
      <c r="E18" s="1617">
        <v>38</v>
      </c>
      <c r="F18" s="1617">
        <v>3</v>
      </c>
      <c r="G18" s="1617">
        <v>3</v>
      </c>
      <c r="H18" s="1617">
        <v>38</v>
      </c>
      <c r="I18" s="1617">
        <v>35</v>
      </c>
      <c r="J18" s="1617">
        <v>103</v>
      </c>
      <c r="K18" s="1619">
        <v>3</v>
      </c>
      <c r="L18" s="1624">
        <v>10</v>
      </c>
      <c r="M18" s="1624">
        <v>10</v>
      </c>
      <c r="N18" s="1624">
        <v>10</v>
      </c>
      <c r="O18" s="1624">
        <v>13</v>
      </c>
      <c r="P18" s="1624">
        <v>15</v>
      </c>
      <c r="Q18" s="1624">
        <v>16</v>
      </c>
      <c r="R18" s="1624">
        <v>10</v>
      </c>
      <c r="S18" s="1624">
        <v>10</v>
      </c>
      <c r="T18" s="1624">
        <v>10</v>
      </c>
      <c r="U18" s="1624">
        <v>10</v>
      </c>
      <c r="V18" s="1617">
        <v>23</v>
      </c>
    </row>
  </sheetData>
  <sheetProtection sheet="1" formatColumns="0" formatRows="0" autoFilter="0" sort="1" insertRows="1" insertColumns="1" deleteRows="1" deleteColumns="1"/>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tTemplate">
    <vt:bool>true</vt:bool>
  </property>
  <property fmtid="{D5CDD505-2E9C-101B-9397-08002B2CF9AE}" pid="3" name="Version">
    <vt:lpwstr>FAS.JKH.OPEN.INFO.QUARTER.WARM</vt:lpwstr>
  </property>
  <property fmtid="{D5CDD505-2E9C-101B-9397-08002B2CF9AE}" pid="4" name="UserComments">
    <vt:lpwstr/>
  </property>
  <property fmtid="{D5CDD505-2E9C-101B-9397-08002B2CF9AE}" pid="5" name="PeriodLength">
    <vt:lpwstr/>
  </property>
  <property fmtid="{D5CDD505-2E9C-101B-9397-08002B2CF9AE}" pid="6" name="XsltDocFilePath">
    <vt:lpwstr/>
  </property>
  <property fmtid="{D5CDD505-2E9C-101B-9397-08002B2CF9AE}" pid="7" name="XslViewFilePath">
    <vt:lpwstr/>
  </property>
  <property fmtid="{D5CDD505-2E9C-101B-9397-08002B2CF9AE}" pid="8" name="RootDocFilePath">
    <vt:lpwstr/>
  </property>
  <property fmtid="{D5CDD505-2E9C-101B-9397-08002B2CF9AE}" pid="9" name="HtmlTempFilePath">
    <vt:lpwstr/>
  </property>
  <property fmtid="{D5CDD505-2E9C-101B-9397-08002B2CF9AE}" pid="10" name="keywords">
    <vt:lpwstr/>
  </property>
  <property fmtid="{D5CDD505-2E9C-101B-9397-08002B2CF9AE}" pid="11" name="Status">
    <vt:lpwstr>1</vt:lpwstr>
  </property>
  <property fmtid="{D5CDD505-2E9C-101B-9397-08002B2CF9AE}" pid="12" name="CurrentVersion">
    <vt:lpwstr>0.5</vt:lpwstr>
  </property>
  <property fmtid="{D5CDD505-2E9C-101B-9397-08002B2CF9AE}" pid="13" name="XMLTempFilePath">
    <vt:lpwstr/>
  </property>
  <property fmtid="{D5CDD505-2E9C-101B-9397-08002B2CF9AE}" pid="14" name="entityid">
    <vt:lpwstr/>
  </property>
  <property fmtid="{D5CDD505-2E9C-101B-9397-08002B2CF9AE}" pid="15" name="Period">
    <vt:lpwstr/>
  </property>
  <property fmtid="{D5CDD505-2E9C-101B-9397-08002B2CF9AE}" pid="16" name="TemplateOperationMode">
    <vt:i4>2</vt:i4>
  </property>
  <property fmtid="{D5CDD505-2E9C-101B-9397-08002B2CF9AE}" pid="17" name="Periodicity">
    <vt:lpwstr>YEAR</vt:lpwstr>
  </property>
  <property fmtid="{D5CDD505-2E9C-101B-9397-08002B2CF9AE}" pid="18" name="TypePlanning">
    <vt:lpwstr>PLAN</vt:lpwstr>
  </property>
  <property fmtid="{D5CDD505-2E9C-101B-9397-08002B2CF9AE}" pid="19" name="ProtectBook">
    <vt:i4>0</vt:i4>
  </property>
</Properties>
</file>